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40" activeTab="43"/>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Детализация'!$A$754:$A$754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Детализация'!$F$754</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Детализация'!$AH$754</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REESTR_IP!$A$2:$I$68</definedName>
    <definedName name="VD_LIST">REESTR_VED!$A$2:$B$11</definedName>
    <definedName name="VD_ID_LIST">REESTR_VED!$A$2:$A$11</definedName>
    <definedName name="VD_NAME_LIST">REESTR_VED!$B$2:$B$11</definedName>
    <definedName name="et_B_FHD20_1">et_union_hor!$127:$135</definedName>
    <definedName name="IP_MAIN_ip_5">ИП!$13:$14</definedName>
    <definedName name="IP_QRE_ip_5">'ИП. КНЭ'!$21:$23</definedName>
    <definedName name="IP_DETAILED_ip_5">'ИП. Детализация'!$14:$753</definedName>
    <definedName name="IP_FIN_PLAN_ip_5">'ИП. Финансовый план'!$K$11:$R$11</definedName>
    <definedName name="REESTR_INFR_RANGE">REESTR_OBJ_INFR!$A$2:$AL$106</definedName>
    <definedName name="TEMP_LIST_KS">ИП!$AB$13</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<sst xmlns="http://schemas.openxmlformats.org/spreadsheetml/2006/main" count="25933" uniqueCount="5761">
  <si>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</si>
  <si>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</si>
  <si>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</si>
  <si>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</si>
  <si>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</si>
  <si>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</si>
  <si>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</si>
  <si>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</si>
  <si>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</si>
  <si>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</si>
  <si>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</si>
  <si>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</si>
  <si>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</si>
  <si>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</si>
  <si>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</si>
  <si>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</si>
  <si>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</si>
  <si>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</si>
  <si>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</si>
  <si>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</si>
  <si>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</si>
  <si>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</si>
  <si>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</si>
  <si>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</si>
  <si>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</si>
  <si>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</si>
  <si>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</si>
  <si>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</si>
  <si>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</si>
  <si>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</si>
  <si>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</si>
  <si>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</si>
  <si>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</si>
  <si>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</si>
  <si>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</si>
  <si>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</si>
  <si>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</si>
  <si>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</si>
  <si>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</si>
  <si>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</si>
  <si>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</si>
  <si>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</si>
  <si>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</si>
  <si>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</si>
  <si>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</si>
  <si>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</si>
  <si>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</si>
  <si>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</si>
  <si>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</si>
  <si>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</si>
  <si>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</si>
  <si>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</si>
  <si>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</si>
  <si>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</si>
  <si>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</si>
  <si>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</si>
  <si>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</si>
  <si>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</si>
  <si>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</si>
  <si>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</si>
  <si>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</si>
  <si>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</si>
  <si>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</si>
  <si>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</si>
  <si>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</si>
  <si>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</si>
  <si>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</si>
  <si>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</si>
  <si>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</si>
  <si>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</si>
  <si>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</si>
  <si>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</si>
  <si>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</si>
  <si>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</si>
  <si>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</si>
  <si>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Леонова Галина Александровна</t>
  </si>
  <si>
    <t>Должность</t>
  </si>
  <si>
    <t xml:space="preserve">Главный специалист </t>
  </si>
  <si>
    <t>Контактный телефон</t>
  </si>
  <si>
    <t>(4212)26-41-99</t>
  </si>
  <si>
    <t>E-mail</t>
  </si>
  <si>
    <t>leonova-ga@dgk.ru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</si>
  <si>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</si>
  <si>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</si>
  <si>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</si>
  <si>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</si>
  <si>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</si>
  <si>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</si>
  <si>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</si>
  <si>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</si>
  <si>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</si>
  <si>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</si>
  <si>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</si>
  <si>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</si>
  <si>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</si>
  <si>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</si>
  <si>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</si>
  <si>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</si>
  <si>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</si>
  <si>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</si>
  <si>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</si>
  <si>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</si>
  <si>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</si>
  <si>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</si>
  <si>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</si>
  <si>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</si>
  <si>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</si>
  <si>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</si>
  <si>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</si>
  <si>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</si>
  <si>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</si>
  <si>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</si>
  <si>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</si>
  <si>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</si>
  <si>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</si>
  <si>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</si>
  <si>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</si>
  <si>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</si>
  <si>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</si>
  <si>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</si>
  <si>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</si>
  <si>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</si>
  <si>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</si>
  <si>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</si>
  <si>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</si>
  <si>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</si>
  <si>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</si>
  <si>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</si>
  <si>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</si>
  <si>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</si>
  <si>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</si>
  <si>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</si>
  <si>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</si>
  <si>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</si>
  <si>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</si>
  <si>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</si>
  <si>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</si>
  <si>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</si>
  <si>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</si>
  <si>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</si>
  <si>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</si>
  <si>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</si>
  <si>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</si>
  <si>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</si>
  <si>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</si>
  <si>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</si>
  <si>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</si>
  <si>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</si>
  <si>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</si>
  <si>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</si>
  <si>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</si>
  <si>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</si>
  <si>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</si>
  <si>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</si>
  <si>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</si>
  <si>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</si>
  <si>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</si>
  <si>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</si>
  <si>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</si>
  <si>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</si>
  <si>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</si>
  <si>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</si>
  <si>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</si>
  <si>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</si>
  <si>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</si>
  <si>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</si>
  <si>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</si>
  <si>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</si>
  <si>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</si>
  <si>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</si>
  <si>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</si>
  <si>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</si>
  <si>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</si>
  <si>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</si>
  <si>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</si>
  <si>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</si>
  <si>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</si>
  <si>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</si>
  <si>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</si>
  <si>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</si>
  <si>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</si>
  <si>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</si>
  <si>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</si>
  <si>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</si>
  <si>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</si>
  <si>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</si>
  <si>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</si>
  <si>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</si>
  <si>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</si>
  <si>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</si>
  <si>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</si>
  <si>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</si>
  <si>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</si>
  <si>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</si>
  <si>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</si>
  <si>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</si>
  <si>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</si>
  <si>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</si>
  <si>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</si>
  <si>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</si>
  <si>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</si>
  <si>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</si>
  <si>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</si>
  <si>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</si>
  <si>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</si>
  <si>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</si>
  <si>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</si>
  <si>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</si>
  <si>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</si>
  <si>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</si>
  <si>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</si>
  <si>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</si>
  <si>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</si>
  <si>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</si>
  <si>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</si>
  <si>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</si>
  <si>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</si>
  <si>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</si>
  <si>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</si>
  <si>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</si>
  <si>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</si>
  <si>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</si>
  <si>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</si>
  <si>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</si>
  <si>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</si>
  <si>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</si>
  <si>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</si>
  <si>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</si>
  <si>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</si>
  <si>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</si>
  <si>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</si>
  <si>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</si>
  <si>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</si>
  <si>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</si>
  <si>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</si>
  <si>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</si>
  <si>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</si>
  <si>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</si>
  <si>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</si>
  <si>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</si>
  <si>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</si>
  <si>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</si>
  <si>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</si>
  <si>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</si>
  <si>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</si>
  <si>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</si>
  <si>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</si>
  <si>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</si>
  <si>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</si>
  <si>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</si>
  <si>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</si>
  <si>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</si>
  <si>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</si>
  <si>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</si>
  <si>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</si>
  <si>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</si>
  <si>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</si>
  <si>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</si>
  <si>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</si>
  <si>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</si>
  <si>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</si>
  <si>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</si>
  <si>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</si>
  <si>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</si>
  <si>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</si>
  <si>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</si>
  <si>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</si>
  <si>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</si>
  <si>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</si>
  <si>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</si>
  <si>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</si>
  <si>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</si>
  <si>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</si>
  <si>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</si>
  <si>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</si>
  <si>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</si>
  <si>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</si>
  <si>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</si>
  <si>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</si>
  <si>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</si>
  <si>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</si>
  <si>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</si>
  <si>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</si>
  <si>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</si>
  <si>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</si>
  <si>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</si>
  <si>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</si>
  <si>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</si>
  <si>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</si>
  <si>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</si>
  <si>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</si>
  <si>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</si>
  <si>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</si>
  <si>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</si>
  <si>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</si>
  <si>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</si>
  <si>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</si>
  <si>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</si>
  <si>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</si>
  <si>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</si>
  <si>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</si>
  <si>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</si>
  <si>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</si>
  <si>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</si>
  <si>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</si>
  <si>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</si>
  <si>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</si>
  <si>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</si>
  <si>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</si>
  <si>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</si>
  <si>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</si>
  <si>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</si>
  <si>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</si>
  <si>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</si>
  <si>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</si>
  <si>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</si>
  <si>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</si>
  <si>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</si>
  <si>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</si>
  <si>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</si>
  <si>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</si>
  <si>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</si>
  <si>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</si>
  <si>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</si>
  <si>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</si>
  <si>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</si>
  <si>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</si>
  <si>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</si>
  <si>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</si>
  <si>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</si>
  <si>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</si>
  <si>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</si>
  <si>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</si>
  <si>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</si>
  <si>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</si>
  <si>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</si>
  <si>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</si>
  <si>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</si>
  <si>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</si>
  <si>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</si>
  <si>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</si>
  <si>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</si>
  <si>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</si>
  <si>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</si>
  <si>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</si>
  <si>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</si>
  <si>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</si>
  <si>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</si>
  <si>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</si>
  <si>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</si>
  <si>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</si>
  <si>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</si>
  <si>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</si>
  <si>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</si>
  <si>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</si>
  <si>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</si>
  <si>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</si>
  <si>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</si>
  <si>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</si>
  <si>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</si>
  <si>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</si>
  <si>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</si>
  <si>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</si>
  <si>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</si>
  <si>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</si>
  <si>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</si>
  <si>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</si>
  <si>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</si>
  <si>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</si>
  <si>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</si>
  <si>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</si>
  <si>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</si>
  <si>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</si>
  <si>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</si>
  <si>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</si>
  <si>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</si>
  <si>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</si>
  <si>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</si>
  <si>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</si>
  <si>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</si>
  <si>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</si>
  <si>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</si>
  <si>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</si>
  <si>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</si>
  <si>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</si>
  <si>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</si>
  <si>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</si>
  <si>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</si>
  <si>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</si>
  <si>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</si>
  <si>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</si>
  <si>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</si>
  <si>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</si>
  <si>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</si>
  <si>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</si>
  <si>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</si>
  <si>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</si>
  <si>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</si>
  <si>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</si>
  <si>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</si>
  <si>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</si>
  <si>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</si>
  <si>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</si>
  <si>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</si>
  <si>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</si>
  <si>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</si>
  <si>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</si>
  <si>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</si>
  <si>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</si>
  <si>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</si>
  <si>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</si>
  <si>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</si>
  <si>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</si>
  <si>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</si>
  <si>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</si>
  <si>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</si>
  <si>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</si>
  <si>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</si>
  <si>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</si>
  <si>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</si>
  <si>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</si>
  <si>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</si>
  <si>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</si>
  <si>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</si>
  <si>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</si>
  <si>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</si>
  <si>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</si>
  <si>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</si>
  <si>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</si>
  <si>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</si>
  <si>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</si>
  <si>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</si>
  <si>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</si>
  <si>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</si>
  <si>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</si>
  <si>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</si>
  <si>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</si>
  <si>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</si>
  <si>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</si>
  <si>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</si>
  <si>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</si>
  <si>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</si>
  <si>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</si>
  <si>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</si>
  <si>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</si>
  <si>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</si>
  <si>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</si>
  <si>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</si>
  <si>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</si>
  <si>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</si>
  <si>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</si>
  <si>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</si>
  <si>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</si>
  <si>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</si>
  <si>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</si>
  <si>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</si>
  <si>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</si>
  <si>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</si>
  <si>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</si>
  <si>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</si>
  <si>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</si>
  <si>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</si>
  <si>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</si>
  <si>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</si>
  <si>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</si>
  <si>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</si>
  <si>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</si>
  <si>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</si>
  <si>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</si>
  <si>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</si>
  <si>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</si>
  <si>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</si>
  <si>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</si>
  <si>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</si>
  <si>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</si>
  <si>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</si>
  <si>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</si>
  <si>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</si>
  <si>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</si>
  <si>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</si>
  <si>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</si>
  <si>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</si>
  <si>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</si>
  <si>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</si>
  <si>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</si>
  <si>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</si>
  <si>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</si>
  <si>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</si>
  <si>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</si>
  <si>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</si>
  <si>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</si>
  <si>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</si>
  <si>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</si>
  <si>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</si>
  <si>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</si>
  <si>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</si>
  <si>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</si>
  <si>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</si>
  <si>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</si>
  <si>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</si>
  <si>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</si>
  <si>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</si>
  <si>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</si>
  <si>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</si>
  <si>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</si>
  <si>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</si>
  <si>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</si>
  <si>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</si>
  <si>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</si>
  <si>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</si>
  <si>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</si>
  <si>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</si>
  <si>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</si>
  <si>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</si>
  <si>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</si>
  <si>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</si>
  <si>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</si>
  <si>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</si>
  <si>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</si>
  <si>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</si>
  <si>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</si>
  <si>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</si>
  <si>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</si>
  <si>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</si>
  <si>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</si>
  <si>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</si>
  <si>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</si>
  <si>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</si>
  <si>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</si>
  <si>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</si>
  <si>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</si>
  <si>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</si>
  <si>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</si>
  <si>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</si>
  <si>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</si>
  <si>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</si>
  <si>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</si>
  <si>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</si>
  <si>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</si>
  <si>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</si>
  <si>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</si>
  <si>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</si>
  <si>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</si>
  <si>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</si>
  <si>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</si>
  <si>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</si>
  <si>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</si>
  <si>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</si>
  <si>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</si>
  <si>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</si>
  <si>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</si>
  <si>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</si>
  <si>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</si>
  <si>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</si>
  <si>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</si>
  <si>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</si>
  <si>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</si>
  <si>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</si>
  <si>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</si>
  <si>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</si>
  <si>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</si>
  <si>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</si>
  <si>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</si>
  <si>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</si>
  <si>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</si>
  <si>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</si>
  <si>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</si>
  <si>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</si>
  <si>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</si>
  <si>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</si>
  <si>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</si>
  <si>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</si>
  <si>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</si>
  <si>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</si>
  <si>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</si>
  <si>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</si>
  <si>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</si>
  <si>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</si>
  <si>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</si>
  <si>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</si>
  <si>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</si>
  <si>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</si>
  <si>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</si>
  <si>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</si>
  <si>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</si>
  <si>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</si>
  <si>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</si>
  <si>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</si>
  <si>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</si>
  <si>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</si>
  <si>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</si>
  <si>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</si>
  <si>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</si>
  <si>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</si>
  <si>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</si>
  <si>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</si>
  <si>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</si>
  <si>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</si>
  <si>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</si>
  <si>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</si>
  <si>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</si>
  <si>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</si>
  <si>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</si>
  <si>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</si>
  <si>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</si>
  <si>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</si>
  <si>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</si>
  <si>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</si>
  <si>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</si>
  <si>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</si>
  <si>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</si>
  <si>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</si>
  <si>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</si>
  <si>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</si>
  <si>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</si>
  <si>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</si>
  <si>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</si>
  <si>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</si>
  <si>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</si>
  <si>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</si>
  <si>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</si>
  <si>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</si>
  <si>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</si>
  <si>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</si>
  <si>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</si>
  <si>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</si>
  <si>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</si>
  <si>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</si>
  <si>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</si>
  <si>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</si>
  <si>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</si>
  <si>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</si>
  <si>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</si>
  <si>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</si>
  <si>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</si>
  <si>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</si>
  <si>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</si>
  <si>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</si>
  <si>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</si>
  <si>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</si>
  <si>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</si>
  <si>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</si>
  <si>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</si>
  <si>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</si>
  <si>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</si>
  <si>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</si>
  <si>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</si>
  <si>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</si>
  <si>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</si>
  <si>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</si>
  <si>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</si>
  <si>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</si>
  <si>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</si>
  <si>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</si>
  <si>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</si>
  <si>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</si>
  <si>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</si>
  <si>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</si>
  <si>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</si>
  <si>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</si>
  <si>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</si>
  <si>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</si>
  <si>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</si>
  <si>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</si>
  <si>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</si>
  <si>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</si>
  <si>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</si>
  <si>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</si>
  <si>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</si>
  <si>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</si>
  <si>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</si>
  <si>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</si>
  <si>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</si>
  <si>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</si>
  <si>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</si>
  <si>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</si>
  <si>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</si>
  <si>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</si>
  <si>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</si>
  <si>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</si>
  <si>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</si>
  <si>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</si>
  <si>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</si>
  <si>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</si>
  <si>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</si>
  <si>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</si>
  <si>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</si>
  <si>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</si>
  <si>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</si>
  <si>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</si>
  <si>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</si>
  <si>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</si>
  <si>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</si>
  <si>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</si>
  <si>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</si>
  <si>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</si>
  <si>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</si>
  <si>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</si>
  <si>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</si>
  <si>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</si>
  <si>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</si>
  <si>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</si>
  <si>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</si>
  <si>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</si>
  <si>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</si>
  <si>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</si>
  <si>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</si>
  <si>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</si>
  <si>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</si>
  <si>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</si>
  <si>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</si>
  <si>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</si>
  <si>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</si>
  <si>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</si>
  <si>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</si>
  <si>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</si>
  <si>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</si>
  <si>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</si>
  <si>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</si>
  <si>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</si>
  <si>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</si>
  <si>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</si>
  <si>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</si>
  <si>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</si>
  <si>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</si>
  <si>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</si>
  <si>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</si>
  <si>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</si>
  <si>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</si>
  <si>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</si>
  <si>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</si>
  <si>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</si>
  <si>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</si>
  <si>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</si>
  <si>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</si>
  <si>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</si>
  <si>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</si>
  <si>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</si>
  <si>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</si>
  <si>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</si>
  <si>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</si>
  <si>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</si>
  <si>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</si>
  <si>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</si>
  <si>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</si>
  <si>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</si>
  <si>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</si>
  <si>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</si>
  <si>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</si>
  <si>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</si>
  <si>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</si>
  <si>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</si>
  <si>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</si>
  <si>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</si>
  <si>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</si>
  <si>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</si>
  <si>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</si>
  <si>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</si>
  <si>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</si>
  <si>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</si>
  <si>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</si>
  <si>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</si>
  <si>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</si>
  <si>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</si>
  <si>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</si>
  <si>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</si>
  <si>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</si>
  <si>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</si>
  <si>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</si>
  <si>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</si>
  <si>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</si>
  <si>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</si>
  <si>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</si>
  <si>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</si>
  <si>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</si>
  <si>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</si>
  <si>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</si>
  <si>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</si>
  <si>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</si>
  <si>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</si>
  <si>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</si>
  <si>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</si>
  <si>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</si>
  <si>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</si>
  <si>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</si>
  <si>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</si>
  <si>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</si>
  <si>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</si>
  <si>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</si>
  <si>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</si>
  <si>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</si>
  <si>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</si>
  <si>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</si>
  <si>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</si>
  <si>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</si>
  <si>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</si>
  <si>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</si>
  <si>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</si>
  <si>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</si>
  <si>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</si>
  <si>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</si>
  <si>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</si>
  <si>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</si>
  <si>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</si>
  <si>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</si>
  <si>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</si>
  <si>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</si>
  <si>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</si>
  <si>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</si>
  <si>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</si>
  <si>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</si>
  <si>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</si>
  <si>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</si>
  <si>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</si>
  <si>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</si>
  <si>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</si>
  <si>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</si>
  <si>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</si>
  <si>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</si>
  <si>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</si>
  <si>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</si>
  <si>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</si>
  <si>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</si>
  <si>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</si>
  <si>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</si>
  <si>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</si>
  <si>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</si>
  <si>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</si>
  <si>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</si>
  <si>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</si>
  <si>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</si>
  <si>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</si>
  <si>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</si>
  <si>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</si>
  <si>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</si>
  <si>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</si>
  <si>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</si>
  <si>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</si>
  <si>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</si>
  <si>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</si>
  <si>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</si>
  <si>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</si>
  <si>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</si>
  <si>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</si>
  <si>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</si>
  <si>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</si>
  <si>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</si>
  <si>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</si>
  <si>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</si>
  <si>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</si>
  <si>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</si>
  <si>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</si>
  <si>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</si>
  <si>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</si>
  <si>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</si>
  <si>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</si>
  <si>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</si>
  <si>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</si>
  <si>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</si>
  <si>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</si>
  <si>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</si>
  <si>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</si>
  <si>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</si>
  <si>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</si>
  <si>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</si>
  <si>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</si>
  <si>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</si>
  <si>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</si>
  <si>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</si>
  <si>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</si>
  <si>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</si>
  <si>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</si>
  <si>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</si>
  <si>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</si>
  <si>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</si>
  <si>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</si>
  <si>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</si>
  <si>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</si>
  <si>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</si>
  <si>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</si>
  <si>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</si>
  <si>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</si>
  <si>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</si>
  <si>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</si>
  <si>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</si>
  <si>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</si>
  <si>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</si>
  <si>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</si>
  <si>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</si>
  <si>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</si>
  <si>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</si>
  <si>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</si>
  <si>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</si>
  <si>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</si>
  <si>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</si>
  <si>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</si>
  <si>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</si>
  <si>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</si>
  <si>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</si>
  <si>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</si>
  <si>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</si>
  <si>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</si>
  <si>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</si>
  <si>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</si>
  <si>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</si>
  <si>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</si>
  <si>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</si>
  <si>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</si>
  <si>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</si>
  <si>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</si>
  <si>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</si>
  <si>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</si>
  <si>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</si>
  <si>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</si>
  <si>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</si>
  <si>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</si>
  <si>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</si>
  <si>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</si>
  <si>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</si>
  <si>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</si>
  <si>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</si>
  <si>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</si>
  <si>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</si>
  <si>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</si>
  <si>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</si>
  <si>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</si>
  <si>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</si>
  <si>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</si>
  <si>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</si>
  <si>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</si>
  <si>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</si>
  <si>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</si>
  <si>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</si>
  <si>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</si>
  <si>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</si>
  <si>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</si>
  <si>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</si>
  <si>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</si>
  <si>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</si>
  <si>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</si>
  <si>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</si>
  <si>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</si>
  <si>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</si>
  <si>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</si>
  <si>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</si>
  <si>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</si>
  <si>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</si>
  <si>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</si>
  <si>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</si>
  <si>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</si>
  <si>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</si>
  <si>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</si>
  <si>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</si>
  <si>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</si>
  <si>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</si>
  <si>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</si>
  <si>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</si>
  <si>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</si>
  <si>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</si>
  <si>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</si>
  <si>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</si>
  <si>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</si>
  <si>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</si>
  <si>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</si>
  <si>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</si>
  <si>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</si>
  <si>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</si>
  <si>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</si>
  <si>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</si>
  <si>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</si>
  <si>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</si>
  <si>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</si>
  <si>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</si>
  <si>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</si>
  <si>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</si>
  <si>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</si>
  <si>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</si>
  <si>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</si>
  <si>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</si>
  <si>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</si>
  <si>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</si>
  <si>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</si>
  <si>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 xml:space="preserve">Министерство энергетики Российской Федерации
</t>
  </si>
  <si>
    <t>Правительство Хабаровского края​</t>
  </si>
  <si>
    <t>23.12.2024</t>
  </si>
  <si>
    <t>31.12.2029</t>
  </si>
  <si>
    <t>Об утверждении инвестиционной программы АО "ДГК" на 2024-2029 годы, и изменений, вносимых в инвестиционную программу АО "ДГК", утвержденную приказом Минэнерго России от 28.12.2023 №38@</t>
  </si>
  <si>
    <t>приказ</t>
  </si>
  <si>
    <t>39@</t>
  </si>
  <si>
    <t>б/н от 05.10.2020</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</si>
  <si>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</si>
  <si>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</si>
  <si>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</si>
  <si>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</si>
  <si>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</si>
  <si>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</si>
  <si>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</si>
  <si>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</si>
  <si>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</si>
  <si>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</si>
  <si>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</si>
  <si>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</si>
  <si>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</si>
  <si>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</si>
  <si>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</si>
  <si>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</si>
  <si>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</si>
  <si>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</si>
  <si>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</si>
  <si>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</si>
  <si>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</si>
  <si>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</si>
  <si>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</si>
  <si>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</si>
  <si>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</si>
  <si>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</si>
  <si>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</si>
  <si>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</si>
  <si>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</si>
  <si>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</si>
  <si>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</si>
  <si>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</si>
  <si>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</si>
  <si>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</si>
  <si>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</si>
  <si>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Реконструкция бака-запаса горячей воды емк. 5000 м3,  СП Хабаровская ТЭЦ-2 F_505-ХТСКх-8</t>
  </si>
  <si>
    <t>Декабрь</t>
  </si>
  <si>
    <t>2027</t>
  </si>
  <si>
    <t>Хабаровская ТЭЦ-2</t>
  </si>
  <si>
    <t>ТИ</t>
  </si>
  <si>
    <t>Город Хабаровск</t>
  </si>
  <si>
    <t>08701000</t>
  </si>
  <si>
    <t>г Хабаровск</t>
  </si>
  <si>
    <t>08701000001</t>
  </si>
  <si>
    <t>пер. Сормовский</t>
  </si>
  <si>
    <t xml:space="preserve">      Амортизационные отчисления с выделением результатов переоценки основных средств и нематериальных активов</t>
  </si>
  <si>
    <t xml:space="preserve">  Прочие собственные средства</t>
  </si>
  <si>
    <t>Добавить источник финансирования</t>
  </si>
  <si>
    <t>Добавить объект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</si>
  <si>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</si>
  <si>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Техперевооружение комплекса инженерно-технических средств физической защиты Котельный цех №2 Ургал.СП Хабаровская ТЭЦ-2 H_505-ХТСКх-35</t>
  </si>
  <si>
    <t>Цех № 2 ХТЭЦ-2 (Ургальская ЦЭС)</t>
  </si>
  <si>
    <t>ТИ с сетями</t>
  </si>
  <si>
    <t>Верхнебуреинский муниципальный район</t>
  </si>
  <si>
    <t>Поселок Чегдомын</t>
  </si>
  <si>
    <t>08614151</t>
  </si>
  <si>
    <t>рп Чегдомын</t>
  </si>
  <si>
    <t>08614151051</t>
  </si>
  <si>
    <t>п. ЦЭС</t>
  </si>
  <si>
    <t>15</t>
  </si>
  <si>
    <t>Перевод котла № 3 Хабаровской ТЭЦ-2 на газовое топливо H_505-ХТСКх-38</t>
  </si>
  <si>
    <t>2026</t>
  </si>
  <si>
    <t>Расширение автоматической котельной в п. Некрасовка с приростом мощности на 5,59 Гкал/ч H_505-ХТСКх-30-1</t>
  </si>
  <si>
    <t>2025</t>
  </si>
  <si>
    <t>Котельная
в с. Некрасовка</t>
  </si>
  <si>
    <t>Хабаровский муниципальный район</t>
  </si>
  <si>
    <t>Некрасовское</t>
  </si>
  <si>
    <t>08655448</t>
  </si>
  <si>
    <t>с Некрасовка</t>
  </si>
  <si>
    <t>08655448101</t>
  </si>
  <si>
    <t>с. Некрасовка</t>
  </si>
  <si>
    <t>Расширение автоматической котельной в п. Некрасовка 2 я очередь с  реконструкцией насосной и вспомогательного оборудования J_505-ХТСКх-75</t>
  </si>
  <si>
    <t>Техперевооружение системы управления информационной безопасности, СП Хабаровская ТЭЦ-2 K_505-ХТЭЦ2-1</t>
  </si>
  <si>
    <t>2024</t>
  </si>
  <si>
    <t>Установка автомобильных весов грузоподъемностью 60 т. , 1 шт. СП «Хабаровская ТЭЦ-2"   
 N_505-ХТЭЦ2-7</t>
  </si>
  <si>
    <t>Покупка оборудования , не входящего в сметы строек, СП ХТЭЦ-2</t>
  </si>
  <si>
    <t>Техперевооружение Хабаровской ТЭЦ-3 для обеспечения выдачи тепловой энергии в тепломагистраль ТМ-35 N_505-ХТЭЦ-3-22тп</t>
  </si>
  <si>
    <t>Октябрь</t>
  </si>
  <si>
    <t>Хабаровская ТЭЦ-3</t>
  </si>
  <si>
    <t>Фёдоровское шоссе</t>
  </si>
  <si>
    <t xml:space="preserve">  За счет платы за технологическое присоединение</t>
  </si>
  <si>
    <t>реконструкция или модернизация существующих тепловых сетей</t>
  </si>
  <si>
    <t>Техническое перевооружение (реконструкция) тепловых сетей по концессионному соглашению в г. Советская Гавань (от котельных №1; 2; 3; ИК-5; 6; 8; 9; 10) L_505-ХГ-173</t>
  </si>
  <si>
    <t>ТЭЦ г. Советская Гавань</t>
  </si>
  <si>
    <t>Советско-Гаванский муниципальный район</t>
  </si>
  <si>
    <t>Город Советская Гавань</t>
  </si>
  <si>
    <t>08642101</t>
  </si>
  <si>
    <t>г Советская Гавань</t>
  </si>
  <si>
    <t>08642101001</t>
  </si>
  <si>
    <t>Кашенёвская</t>
  </si>
  <si>
    <t xml:space="preserve">  Кредиты</t>
  </si>
  <si>
    <t>Реконструкция насосного оборудования на ЦТП-6 в г. Советская Гавань, СП ТЭЦ Советская Гавань N_505-ХГ-209</t>
  </si>
  <si>
    <t>ЦТП - 6  г. Советская Гавань</t>
  </si>
  <si>
    <t>сеть</t>
  </si>
  <si>
    <t>ул. Советская</t>
  </si>
  <si>
    <t>Замена насосного оборудования на ЦТП-8 (3шт.), СП ТЭЦ Советская Гавань N_505-ТЭЦСов.Гавань-7-1</t>
  </si>
  <si>
    <t>ЦТП - 8  г. Советская Гавань</t>
  </si>
  <si>
    <t>ул. Корабельная</t>
  </si>
  <si>
    <t>Техперевооружение котельной в п. Майский, СП Советская Гавань   N_505-ТЭЦСов.Гавань-8</t>
  </si>
  <si>
    <t>Котельная в р.п. Майский</t>
  </si>
  <si>
    <t>Поселок Майский</t>
  </si>
  <si>
    <t>08642165</t>
  </si>
  <si>
    <t>рп Майский</t>
  </si>
  <si>
    <t>08642165051</t>
  </si>
  <si>
    <t>Каспийская</t>
  </si>
  <si>
    <t>Установка блочно-модульной котельной теплопроизводительностью 6,0 мВТ на твердом топливе, в г. Советская Гавань,СП ТЭЦ Советская Гавань N_505-ТЭЦСов.Гавань-10</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</si>
  <si>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</si>
  <si>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ЦТП-1 для передачи тепловой мощности от магистральной теплосети ТЭЦ в г.Советская Гавань" N_505-ХГ-188</t>
  </si>
  <si>
    <t>16</t>
  </si>
  <si>
    <t>Разработка и внедрение технологии консервации тепловых сетей г. Советская Гавань в межотопительный период при отсутствии ГВС O_505-ТЭЦСов.Гавань-13на</t>
  </si>
  <si>
    <t>17</t>
  </si>
  <si>
    <t>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 6 шт. H_505-ХТСКх-54</t>
  </si>
  <si>
    <t>18</t>
  </si>
  <si>
    <t>Реконструкция действующих тепловых сетей г.Хабаровска с применением ОДК и внедрением ОДК и внедрением технологии ППУ СП ХТС (тепломагистраль "Горьковская" H_505-ХТСКх-10-17, N_505-ХТС-10-2 , тепломагистраль № 32 H_505-ХТСКх-10-23, J_505-ХТСКх-10-34 , тепломагистраль №17 H_505-ХТСКх-10-25, J_505-ХТСКх-10-36, тепломагистраль №31 H_505-ХТСКх-10-26, J_505-ХТСКх-10-37, тепломагистраль №25 H_505-ХТСКх-10-28, тепломагистраль №18 J_505-ХТСКх-10-31, тепломагистраль №21 J_505-ХТСКх-10-33, тепломагистраль №33 J_505-ХТСКх-10-35, H_505-ХТСКх-10-2, тепломагистраль №11 H_505-ХТСКх-10-18, тепломагистраль №19 H_505-ХТСКх-10-21, тепломагистраль №32 H_505-ХТСКх-10-23, тепломагистраль ТМ-14 H_505-ХТСКх-10-24, N_505-ХТС-10-3, тепломагистраль ТМ-25 H_505-ХТСКх-10-28, N_505-ХТС-10-1)</t>
  </si>
  <si>
    <t>2029</t>
  </si>
  <si>
    <t>Хабаровские тепловые сети часть1</t>
  </si>
  <si>
    <t>ул.Флегонтова</t>
  </si>
  <si>
    <t>13а</t>
  </si>
  <si>
    <t>19</t>
  </si>
  <si>
    <t>Покупка оборудования, не входящего в сметы строек, СП ХТС</t>
  </si>
  <si>
    <t>20</t>
  </si>
  <si>
    <t>Техперевооружение системы управления информационной безопасности, Хабаровские тепловые сети K_505-ХТС-1</t>
  </si>
  <si>
    <t>21</t>
  </si>
  <si>
    <t>Реконструкция паропровода протяженностью L= 5479 м (от ХТЭЦ-1 до узла П11 с Ду 500 мм на Ду 200мм L=442 м; от ХТЭЦ-1 до узла П34.40: с Ду 600-700 мм на Ду 450 мм L=1822 м, с Ду 500 мм на Ду 450 L=363 м, с Ду 500 мм на Ду 400 L=683 м, с Ду 400 мм на Ду 200 мм L=1067 м, с Ду 400 мм на Ду 150 мм L=30 м, с Ду 250 мм на Ду 150 мм L=1072 м), СП ХТС N_505-ХТС-11</t>
  </si>
  <si>
    <t>22</t>
  </si>
  <si>
    <t>Техперевооружение ТМ-17 блок 173 от узла 172.00 до ТК-173.02, Дн=820х10 мм, L=107,5х2 м.п.(подземная в непроходном канале), СП ХТС N_505-ХТС-13</t>
  </si>
  <si>
    <t>23</t>
  </si>
  <si>
    <t>Реконструкция ТМ-18 блок 626 от ТК-188.40б (уз.626) в сторону ПНС-626, Дн=720х10мм, L=530 м.п., СП ХТС N_505-ХТС-14</t>
  </si>
  <si>
    <t>24</t>
  </si>
  <si>
    <t>Мероприятия, направленные на повышение энергоэффективности в сфере теплоснабжения</t>
  </si>
  <si>
    <t>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 ХТС, КТС (80 шт.) F_505-ХТСКх-27</t>
  </si>
  <si>
    <t>25</t>
  </si>
  <si>
    <t>Техническое перевооружение системы контроля параметров работы системы централизованного теплоснабжения (технический учет) в г. Хабаровске на объектах: ПНС-111 (1 шт.), ПНС-172 (2шт.), Узел 393 (2 шт.), СП ХТС N_505-ХТС-15</t>
  </si>
  <si>
    <t>26</t>
  </si>
  <si>
    <t>Тех. присоединение Реконструкция ТМ-25 от ХТЭЦ-2 и ПНС № 813 "Прибрежная"  ХТС F_505-ХТСКх-17тп</t>
  </si>
  <si>
    <t>27</t>
  </si>
  <si>
    <t>Реконструкция тепломагистрали ТМ-32 от узла 326 до ТК 328.26 с увеличением диаметра Ду=700/800мм на Ду=1000мм протяженностью L=3418х2м.п., СП ХТС H_505-ХТСКх-39</t>
  </si>
  <si>
    <t>28</t>
  </si>
  <si>
    <t>Реконструкция тепломагистрали ТМ-32 от Хабаровской ТЭЦ-3 с увеличением диаметра с 500/700 мм на 800 мм протяженностью 1,8х2 км  в г. Хабаровске I_505-ХТСКх-66тп</t>
  </si>
  <si>
    <t>29</t>
  </si>
  <si>
    <t>Реконструкция тепломагистрали ТМ-18 с увеличением диаметра с 500 мм на 700 мм протяженностью 265х2 м  в г. Хабаровске I_505-ХТСКх-67тп</t>
  </si>
  <si>
    <t>30</t>
  </si>
  <si>
    <t>Реконструкция ТМ-17 от ПНС-172 до ТК 731.04 с увеличением диаметра с Dy = 500/600 мм на Dy = 600/700 мм общей протяженностью 642,5х2м.п. L_505-ХТС-2тп</t>
  </si>
  <si>
    <t>31</t>
  </si>
  <si>
    <t>Реконструкция тепломагистрали ТМ-18 от ПНС-184 "кубяка" "точка А" до узла 187 протяженностью 3443х2м.п. с увеличеснием диаметров с 700мм на 800мм. N_505-ХТС-3тп</t>
  </si>
  <si>
    <t>32</t>
  </si>
  <si>
    <t>Реконструкция ТМ-33 от УТ-337.07 до УТ-337 протяженностью L=325,4х2м.п. с увеличением существующих диаметров трубопроводов с Ду=700мм на Ду=1000мм N_505-ХТС-9тп</t>
  </si>
  <si>
    <t>33</t>
  </si>
  <si>
    <t>Реконструкция ТМ-32 для подключения объекта капитального строительства "Комплекс жилых домов со встроенными помещениями общественного назначения, пристроенным гаражом-стоянкой и пристроенным зданием общественного назначения по ул.Дикопольцева в Центральном районе г.Хабаровска", Дн=530Х10 мм, L=373,3 м.п.,СП ХТС N_505-ХТС-6тп</t>
  </si>
  <si>
    <t>HEAT_IP_EVENT_SUBGROUP_1_LIST</t>
  </si>
  <si>
    <t>34</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</si>
  <si>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</si>
  <si>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</si>
  <si>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Прокладка тепловой сети для подключения объекта: «Многоквартирные дома со встроенными помещениями нежилого назначения по ул.Кулибина в г.Хабаровске", от ТК 908.02, Дн=159 мм, L=166,4 м, СП ХТС N_505-ХТС-8тп</t>
  </si>
  <si>
    <t>35</t>
  </si>
  <si>
    <t>Прокладка тепловой сети для подключения объекта: «Многофункциональный центр парка им. Гагарина Ю.А. в Индустриальном районе г.Хабаровска" в точке присоединения к магистральным тепловым сетям 184.21 от ТМ-18, СП ХТС N_505-ХТС-17тп</t>
  </si>
  <si>
    <t>36</t>
  </si>
  <si>
    <t>Мероприятия по подготовке проектной документации</t>
  </si>
  <si>
    <t>Разработка ПИР для реализации проекта "Установка гелиосистемы на основе солнечных коллекторов для преобразования солнечной энергии в тепловую (с. Ракитное)", СП ХТС N_505-ХТС-16</t>
  </si>
  <si>
    <t>37</t>
  </si>
  <si>
    <t>Строительство перемычки «Авангард» между магистралью ТМ-11 и магистралью «Горьковская»: строительство перемычки от узла 146.40 ул. Производственная до магистрали «Горьковская» (район ПНС-922) Ду= 800 мм протяженностью L=3,5 х 2 км; реконструкция магистрали ТМ-11 на участках: от ПНС-111 до узла 145 ул. Производственная с  Ду=800/600 мм на Ду = 1000 мм, 1,622 х 2 км; от узла 145 ул. Производственная до узла 146.40 с Ду=400 мм на Ду = 800 мм, L=1,084 х 2 км J_505-ХТСКх-76</t>
  </si>
  <si>
    <t>38</t>
  </si>
  <si>
    <t>Реконструкция действующих тепловых сетей СП Комсомольские тепловые сети и внедрение конструкторских решений по реконструкции тепловых сетей СП "Комсомольские тепловые сети" с изменением способа прокладки и применением новых изоляционных материалов в г. Комсомольске на Амуре</t>
  </si>
  <si>
    <t>Комсомольские тепловые сети (г.Комсомольск-на-Амуре)</t>
  </si>
  <si>
    <t>Город Комсомольск-на-Амуре</t>
  </si>
  <si>
    <t>08709000</t>
  </si>
  <si>
    <t>г Комсомольск-на-Амуре</t>
  </si>
  <si>
    <t>08709000001</t>
  </si>
  <si>
    <t>ул.Пендрие</t>
  </si>
  <si>
    <t>39</t>
  </si>
  <si>
    <t>Реконструкция действующих тепловых сетей СП Комсомольские тепловые сети и внедрение конструкторских решений по реконструкции тепловых сетей СП "Комсомольские тепловые сети" с изменением способа прокладки и применением новых изоляционных материалов в г. Амурске</t>
  </si>
  <si>
    <t>Комсомольские тепловые сети (г.Амурск)</t>
  </si>
  <si>
    <t>Амурский муниципальный район</t>
  </si>
  <si>
    <t>Город Амурск</t>
  </si>
  <si>
    <t>08603101</t>
  </si>
  <si>
    <t>г Амурск</t>
  </si>
  <si>
    <t>08603101001</t>
  </si>
  <si>
    <t>ул.Лесная</t>
  </si>
  <si>
    <t>12А</t>
  </si>
  <si>
    <t>40</t>
  </si>
  <si>
    <t>Реконструкция теплотрассы № 2 от ТК 3-17 до ТК 2-12б, от ТК 9-14 до ТК «пр. Мира, 29 в г.Комсомольске-на-Амуре.(СП КТС) F_505-ХТСКх-12</t>
  </si>
  <si>
    <t>41</t>
  </si>
  <si>
    <t>Строительство подкачивающей насосной станции "Таежная" в г.Комсомольске-на-Амуре (производительность - 580 т/час) (СП КТС) H_505-ХТСКх-48</t>
  </si>
  <si>
    <t>42</t>
  </si>
  <si>
    <t>Покупка оборудования, не входящего в сметы строек , СП КТС</t>
  </si>
  <si>
    <t>43</t>
  </si>
  <si>
    <t>Техническое перевооружение системы контроля параметров работы системы централизованного теплоснабжения (технический учет) в г. Комсомольске-на-Амуре O_505-КТС-5</t>
  </si>
  <si>
    <t>44</t>
  </si>
  <si>
    <t>Техническое перевооружение системы контроля параметров работы системы централизованного теплоснабжения (технический учет) в г. Амурске  N_505-КТС-3</t>
  </si>
  <si>
    <t>Добавить мероприятие</t>
  </si>
  <si>
    <t>Реконструкция Главного щита управления  (ГЩУ)   ХТЭЦ-2  с заменой панелей управления  N_505-ХТЭЦ2-3</t>
  </si>
  <si>
    <t>Реконструкция кровли Главного корпуса Хабаровской ТЭЦ-2 в осях "6-7", ряд "Б-В", отм. 23,4м H_505-ХТСКх-45</t>
  </si>
  <si>
    <t>Техперевооружение механизмов насосных установок ЦТП№3-№8 с заменой ЧРП 0,4 кВ. 18 шт., ТЭЦ в г. Советская Гавань O_505-ТЭЦСов.Гавань-14</t>
  </si>
  <si>
    <t>Разработка проектно-изыскательских работ для установки  баков-аккумуляторов 2 шт. для подпитки теплосети на ЦТП-6, ТЭЦ в г. Советская Гавань O_505-ТЭЦСов.Гавань-22</t>
  </si>
  <si>
    <t xml:space="preserve">      Прочие займы</t>
  </si>
  <si>
    <t>Реконструкция головного участка ТМ-25 от Хабаровской ТЭЦ-2 с увеличением диаметра с 800/1000 мм на 1200 мм протяженностью 130х2 м I_505-ХТСКх-69тп</t>
  </si>
  <si>
    <t>Модернизация АСУ ТП  котельного оборудования Хабаровской ТЭЦ-2 I_505-ХТСКх-64</t>
  </si>
  <si>
    <t>Реконструкция подкачивающей насосной станции "Городская" в г.Амурске (СП КТС) I_505-ХТСКх-63</t>
  </si>
  <si>
    <t>Реконструкция котлов ПТВМ-50 ст№ 1,2,3 КЦ №1 Хабаровской ТЭЦ-2 N_505-ХТЭЦ2-2</t>
  </si>
  <si>
    <t>Реконструкция распредустройств 6,0 кВ ХТЭЦ-2  с заменой масляных выключателей  на ваккумные выключатели ВБМ-10/630, ВБМ-10/1000 в секциях  3Р, 4Р N_505-ХТЭЦ2-4</t>
  </si>
  <si>
    <t>2028</t>
  </si>
  <si>
    <t>Модернизация громкоговорящей связи, 8 шт., СП ХТС  O_505-ХТС-18</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</si>
  <si>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</si>
  <si>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</si>
  <si>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</si>
  <si>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</si>
  <si>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</si>
  <si>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</si>
  <si>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</si>
  <si>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</si>
  <si>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</si>
  <si>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</si>
  <si>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</si>
  <si>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</si>
  <si>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</si>
  <si>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</si>
  <si>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</si>
  <si>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</si>
  <si>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</si>
  <si>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</si>
  <si>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</si>
  <si>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</si>
  <si>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</si>
  <si>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</si>
  <si>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</si>
  <si>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</si>
  <si>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</si>
  <si>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</si>
  <si>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</si>
  <si>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</si>
  <si>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</si>
  <si>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</si>
  <si>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</si>
  <si>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</si>
  <si>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</si>
  <si>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</si>
  <si>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</si>
  <si>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</si>
  <si>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</si>
  <si>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</si>
  <si>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</si>
  <si>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</si>
  <si>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</si>
  <si>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</si>
  <si>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</si>
  <si>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</si>
  <si>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</si>
  <si>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</si>
  <si>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</si>
  <si>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</si>
  <si>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</si>
  <si>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</si>
  <si>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</si>
  <si>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</si>
  <si>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</si>
  <si>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</si>
  <si>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</si>
  <si>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</si>
  <si>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</si>
  <si>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</si>
  <si>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</si>
  <si>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</si>
  <si>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</si>
  <si>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</si>
  <si>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</si>
  <si>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</si>
  <si>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</si>
  <si>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</si>
  <si>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</si>
  <si>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</si>
  <si>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</si>
  <si>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</si>
  <si>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</si>
  <si>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</si>
  <si>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</si>
  <si>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</si>
  <si>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</si>
  <si>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</si>
  <si>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</si>
  <si>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</si>
  <si>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</si>
  <si>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</si>
  <si>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</si>
  <si>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</si>
  <si>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</si>
  <si>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</si>
  <si>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</si>
  <si>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</si>
  <si>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</si>
  <si>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</si>
  <si>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</si>
  <si>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</si>
  <si>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</si>
  <si>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</si>
  <si>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</si>
  <si>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</si>
  <si>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</si>
  <si>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</si>
  <si>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</si>
  <si>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</si>
  <si>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</si>
  <si>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</si>
  <si>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</si>
  <si>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Бизнес-план АО "ДГК" на 2025-2029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</si>
  <si>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</si>
  <si>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</si>
  <si>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</si>
  <si>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</si>
  <si>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</si>
  <si>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</si>
  <si>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</si>
  <si>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</si>
  <si>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</si>
  <si>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</si>
  <si>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</si>
  <si>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</si>
  <si>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</si>
  <si>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</si>
  <si>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</si>
  <si>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</si>
  <si>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</si>
  <si>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</si>
  <si>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</si>
  <si>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</si>
  <si>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</si>
  <si>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</si>
  <si>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</si>
  <si>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</si>
  <si>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</si>
  <si>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</si>
  <si>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</si>
  <si>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</si>
  <si>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</si>
  <si>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</si>
  <si>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</si>
  <si>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</si>
  <si>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</si>
  <si>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</si>
  <si>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</si>
  <si>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</si>
  <si>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</si>
  <si>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</si>
  <si>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</si>
  <si>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</si>
  <si>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</si>
  <si>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</si>
  <si>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</si>
  <si>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</si>
  <si>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</si>
  <si>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</si>
  <si>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</si>
  <si>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</si>
  <si>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</si>
  <si>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</si>
  <si>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</si>
  <si>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</si>
  <si>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</si>
  <si>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</si>
  <si>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</si>
  <si>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</si>
  <si>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</si>
  <si>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</si>
  <si>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</si>
  <si>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</si>
  <si>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</si>
  <si>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</si>
  <si>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</si>
  <si>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</si>
  <si>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</si>
  <si>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</si>
  <si>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</si>
  <si>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</si>
  <si>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</si>
  <si>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</si>
  <si>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</si>
  <si>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</si>
  <si>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</si>
  <si>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</si>
  <si>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</si>
  <si>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</si>
  <si>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</si>
  <si>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</si>
  <si>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</si>
  <si>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</si>
  <si>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</si>
  <si>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</si>
  <si>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</si>
  <si>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</si>
  <si>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</si>
  <si>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</si>
  <si>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</si>
  <si>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</si>
  <si>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</si>
  <si>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</si>
  <si>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</si>
  <si>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</si>
  <si>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</si>
  <si>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</si>
  <si>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</si>
  <si>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</si>
  <si>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</si>
  <si>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</si>
  <si>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</si>
  <si>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</si>
  <si>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</si>
  <si>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</si>
  <si>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</si>
  <si>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</si>
  <si>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</si>
  <si>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</si>
  <si>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</si>
  <si>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</si>
  <si>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</si>
  <si>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</si>
  <si>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</si>
  <si>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</si>
  <si>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</si>
  <si>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</si>
  <si>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</si>
  <si>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</si>
  <si>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</si>
  <si>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</si>
  <si>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</si>
  <si>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</si>
  <si>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</si>
  <si>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</si>
  <si>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</si>
  <si>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</si>
  <si>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</si>
  <si>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</si>
  <si>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</si>
  <si>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</si>
  <si>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</si>
  <si>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</si>
  <si>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</si>
  <si>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</si>
  <si>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</si>
  <si>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</si>
  <si>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</si>
  <si>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</si>
  <si>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</si>
  <si>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</si>
  <si>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</si>
  <si>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</si>
  <si>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</si>
  <si>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</si>
  <si>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</si>
  <si>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</si>
  <si>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</si>
  <si>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</si>
  <si>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</si>
  <si>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</si>
  <si>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</si>
  <si>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</si>
  <si>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</si>
  <si>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</si>
  <si>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</si>
  <si>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</si>
  <si>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</si>
  <si>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</si>
  <si>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</si>
  <si>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</si>
  <si>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</si>
  <si>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</si>
  <si>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</si>
  <si>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</si>
  <si>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</si>
  <si>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</si>
  <si>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</si>
  <si>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</si>
  <si>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</si>
  <si>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</si>
  <si>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</si>
  <si>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</si>
  <si>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</si>
  <si>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</si>
  <si>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</si>
  <si>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</si>
  <si>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</si>
  <si>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</si>
  <si>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</si>
  <si>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</si>
  <si>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</si>
  <si>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</si>
  <si>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</si>
  <si>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</si>
  <si>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</si>
  <si>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</si>
  <si>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</si>
  <si>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</si>
  <si>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</si>
  <si>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</si>
  <si>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</si>
  <si>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</si>
  <si>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</si>
  <si>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</si>
  <si>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</si>
  <si>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</si>
  <si>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</si>
  <si>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</si>
  <si>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</si>
  <si>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</si>
  <si>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</si>
  <si>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</si>
  <si>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</si>
  <si>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</si>
  <si>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</si>
  <si>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</si>
  <si>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</si>
  <si>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</si>
  <si>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</si>
  <si>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</si>
  <si>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</si>
  <si>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</si>
  <si>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</si>
  <si>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</si>
  <si>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</si>
  <si>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</si>
  <si>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</si>
  <si>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</si>
  <si>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</si>
  <si>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</si>
  <si>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</si>
  <si>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</si>
  <si>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</si>
  <si>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</si>
  <si>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</si>
  <si>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</si>
  <si>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</si>
  <si>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</si>
  <si>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</si>
  <si>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</si>
  <si>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</si>
  <si>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</si>
  <si>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</si>
  <si>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</si>
  <si>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</si>
  <si>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</si>
  <si>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</si>
  <si>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</si>
  <si>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</si>
  <si>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</si>
  <si>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</si>
  <si>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</si>
  <si>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</si>
  <si>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</si>
  <si>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</si>
  <si>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</si>
  <si>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</si>
  <si>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</si>
  <si>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</si>
  <si>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</si>
  <si>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</si>
  <si>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</si>
  <si>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</si>
  <si>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</si>
  <si>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</si>
  <si>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</si>
  <si>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</si>
  <si>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</si>
  <si>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</si>
  <si>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</si>
  <si>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</si>
  <si>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</si>
  <si>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</si>
  <si>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</si>
  <si>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</si>
  <si>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</si>
  <si>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</si>
  <si>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</si>
  <si>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</si>
  <si>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</si>
  <si>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</si>
  <si>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</si>
  <si>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</si>
  <si>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</si>
  <si>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</si>
  <si>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</si>
  <si>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</si>
  <si>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</si>
  <si>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</si>
  <si>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</si>
  <si>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</si>
  <si>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</si>
  <si>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</si>
  <si>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</si>
  <si>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</si>
  <si>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</si>
  <si>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</si>
  <si>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</si>
  <si>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</si>
  <si>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</si>
  <si>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</si>
  <si>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</si>
  <si>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</si>
  <si>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</si>
  <si>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</si>
  <si>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</si>
  <si>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</si>
  <si>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</si>
  <si>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</si>
  <si>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</si>
  <si>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</si>
  <si>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</si>
  <si>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</si>
  <si>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</si>
  <si>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</si>
  <si>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</si>
  <si>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</si>
  <si>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</si>
  <si>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</si>
  <si>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</si>
  <si>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</si>
  <si>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</si>
  <si>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</si>
  <si>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</si>
  <si>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</si>
  <si>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</si>
  <si>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</si>
  <si>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</si>
  <si>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</si>
  <si>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</si>
  <si>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</si>
  <si>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</si>
  <si>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</si>
  <si>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</si>
  <si>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</si>
  <si>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</si>
  <si>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</si>
  <si>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</si>
  <si>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</si>
  <si>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</si>
  <si>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</si>
  <si>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</si>
  <si>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</si>
  <si>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</si>
  <si>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</si>
  <si>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</si>
  <si>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</si>
  <si>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</si>
  <si>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</si>
  <si>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</si>
  <si>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</si>
  <si>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</si>
  <si>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</si>
  <si>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</si>
  <si>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</si>
  <si>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</si>
  <si>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</si>
  <si>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</si>
  <si>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</si>
  <si>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</si>
  <si>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</si>
  <si>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</si>
  <si>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</si>
  <si>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</si>
  <si>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</si>
  <si>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</si>
  <si>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</si>
  <si>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</si>
  <si>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</si>
  <si>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</si>
  <si>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</si>
  <si>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</si>
  <si>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</si>
  <si>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</si>
  <si>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</si>
  <si>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</si>
  <si>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</si>
  <si>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</si>
  <si>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</si>
  <si>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</si>
  <si>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</si>
  <si>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</si>
  <si>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</si>
  <si>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</si>
  <si>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</si>
  <si>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</si>
  <si>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</si>
  <si>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</si>
  <si>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</si>
  <si>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</si>
  <si>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</si>
  <si>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</si>
  <si>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</si>
  <si>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</si>
  <si>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</si>
  <si>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</si>
  <si>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</si>
  <si>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</si>
  <si>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</si>
  <si>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</si>
  <si>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</si>
  <si>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</si>
  <si>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</si>
  <si>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</si>
  <si>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</si>
  <si>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</si>
  <si>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</si>
  <si>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</si>
  <si>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</si>
  <si>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</si>
  <si>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</si>
  <si>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</si>
  <si>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</si>
  <si>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</si>
  <si>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</si>
  <si>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</si>
  <si>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</si>
  <si>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</si>
  <si>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</si>
  <si>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</si>
  <si>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</si>
  <si>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</si>
  <si>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</si>
  <si>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</si>
  <si>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</si>
  <si>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</si>
  <si>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</si>
  <si>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</si>
  <si>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</si>
  <si>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</si>
  <si>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</si>
  <si>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</si>
  <si>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</si>
  <si>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</si>
  <si>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</si>
  <si>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</si>
  <si>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</si>
  <si>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</si>
  <si>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</si>
  <si>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</si>
  <si>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</si>
  <si>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</si>
  <si>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</si>
  <si>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</si>
  <si>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</si>
  <si>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</si>
  <si>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</si>
  <si>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</si>
  <si>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</si>
  <si>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</si>
  <si>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</si>
  <si>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</si>
  <si>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</si>
  <si>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</si>
  <si>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</si>
  <si>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</si>
  <si>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</si>
  <si>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</si>
  <si>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</si>
  <si>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</si>
  <si>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</si>
  <si>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</si>
  <si>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</si>
  <si>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</si>
  <si>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</si>
  <si>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</si>
  <si>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</si>
  <si>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</si>
  <si>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</si>
  <si>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</si>
  <si>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</si>
  <si>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</si>
  <si>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</si>
  <si>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</si>
  <si>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</si>
  <si>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</si>
  <si>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</si>
  <si>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</si>
  <si>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</si>
  <si>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</si>
  <si>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</si>
  <si>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</si>
  <si>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</si>
  <si>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</si>
  <si>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</si>
  <si>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</si>
  <si>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</si>
  <si>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</si>
  <si>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</si>
  <si>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</si>
  <si>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</si>
  <si>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</si>
  <si>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</si>
  <si>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</si>
  <si>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</si>
  <si>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</si>
  <si>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</si>
  <si>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</si>
  <si>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</si>
  <si>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</si>
  <si>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</si>
  <si>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</si>
  <si>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</si>
  <si>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</si>
  <si>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</si>
  <si>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</si>
  <si>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</si>
  <si>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</si>
  <si>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</si>
  <si>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</si>
  <si>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</si>
  <si>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</si>
  <si>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</si>
  <si>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</si>
  <si>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</si>
  <si>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</si>
  <si>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</si>
  <si>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</si>
  <si>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</si>
  <si>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</si>
  <si>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</si>
  <si>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</si>
  <si>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</si>
  <si>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</si>
  <si>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</si>
  <si>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</si>
  <si>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</si>
  <si>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</si>
  <si>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</si>
  <si>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</si>
  <si>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</si>
  <si>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</si>
  <si>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</si>
  <si>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</si>
  <si>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</si>
  <si>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</si>
  <si>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</si>
  <si>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</si>
  <si>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</si>
  <si>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</si>
  <si>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</si>
  <si>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</si>
  <si>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</si>
  <si>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</si>
  <si>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</si>
  <si>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</si>
  <si>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</si>
  <si>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</si>
  <si>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</si>
  <si>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</si>
  <si>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</si>
  <si>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</si>
  <si>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</si>
  <si>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</si>
  <si>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</si>
  <si>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</si>
  <si>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</si>
  <si>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</si>
  <si>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</si>
  <si>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</si>
  <si>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</si>
  <si>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</si>
  <si>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</si>
  <si>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</si>
  <si>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</si>
  <si>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</si>
  <si>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</si>
  <si>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</si>
  <si>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</si>
  <si>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</si>
  <si>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</si>
  <si>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</si>
  <si>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</si>
  <si>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</si>
  <si>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</si>
  <si>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</si>
  <si>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</si>
  <si>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</si>
  <si>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</si>
  <si>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</si>
  <si>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</si>
  <si>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</si>
  <si>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</si>
  <si>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</si>
  <si>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</si>
  <si>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</si>
  <si>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</si>
  <si>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</si>
  <si>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</si>
  <si>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</si>
  <si>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</si>
  <si>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</si>
  <si>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</si>
  <si>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</si>
  <si>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</si>
  <si>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</si>
  <si>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</si>
  <si>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</si>
  <si>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</si>
  <si>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</si>
  <si>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</si>
  <si>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</si>
  <si>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</si>
  <si>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</si>
  <si>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</si>
  <si>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</si>
  <si>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</si>
  <si>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</si>
  <si>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</si>
  <si>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</si>
  <si>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</si>
  <si>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</si>
  <si>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</si>
  <si>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</si>
  <si>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</si>
  <si>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</si>
  <si>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</si>
  <si>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</si>
  <si>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</si>
  <si>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</si>
  <si>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</si>
  <si>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</si>
  <si>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</si>
  <si>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</si>
  <si>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</si>
  <si>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</si>
  <si>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</si>
  <si>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</si>
  <si>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</si>
  <si>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</si>
  <si>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</si>
  <si>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</si>
  <si>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</si>
  <si>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</si>
  <si>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</si>
  <si>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</si>
  <si>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</si>
  <si>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</si>
  <si>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</si>
  <si>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</si>
  <si>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</si>
  <si>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</si>
  <si>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</si>
  <si>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</si>
  <si>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</si>
  <si>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</si>
  <si>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</si>
  <si>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</si>
  <si>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</si>
  <si>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</si>
  <si>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</si>
  <si>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</si>
  <si>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</si>
  <si>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</si>
  <si>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</si>
  <si>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</si>
  <si>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</si>
  <si>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</si>
  <si>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</si>
  <si>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</si>
  <si>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</si>
  <si>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</si>
  <si>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</si>
  <si>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</si>
  <si>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</si>
  <si>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</si>
  <si>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</si>
  <si>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</si>
  <si>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</si>
  <si>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</si>
  <si>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</si>
  <si>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</si>
  <si>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</si>
  <si>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</si>
  <si>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</si>
  <si>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</si>
  <si>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</si>
  <si>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</si>
  <si>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</si>
  <si>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</si>
  <si>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</si>
  <si>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</si>
  <si>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</si>
  <si>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</si>
  <si>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</si>
  <si>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</si>
  <si>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</si>
  <si>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</si>
  <si>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</si>
  <si>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</si>
  <si>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</si>
  <si>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</si>
  <si>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</si>
  <si>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</si>
  <si>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</si>
  <si>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</si>
  <si>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</si>
  <si>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</si>
  <si>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</si>
  <si>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</si>
  <si>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</si>
  <si>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</si>
  <si>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</si>
  <si>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</si>
  <si>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</si>
  <si>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</si>
  <si>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</si>
  <si>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</si>
  <si>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</si>
  <si>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</si>
  <si>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</si>
  <si>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</si>
  <si>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</si>
  <si>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</si>
  <si>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</si>
  <si>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</si>
  <si>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</si>
  <si>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</si>
  <si>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</si>
  <si>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</si>
  <si>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</si>
  <si>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</si>
  <si>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</si>
  <si>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</si>
  <si>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</si>
  <si>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</si>
  <si>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</si>
  <si>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</si>
  <si>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</si>
  <si>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</si>
  <si>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</si>
  <si>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</si>
  <si>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</si>
  <si>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</si>
  <si>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</si>
  <si>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</si>
  <si>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</si>
  <si>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</si>
  <si>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</si>
  <si>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</si>
  <si>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</si>
  <si>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</si>
  <si>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</si>
  <si>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</si>
  <si>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</si>
  <si>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</si>
  <si>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</si>
  <si>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Источник финансирования "прочие собственные средства" по проектам:  
 - Установка автомобильных весов грузоподъемностью 60 т. , 1 шт. СП «Хабаровская ТЭЦ-2"   N_505-ХТЭЦ2-7
- Покупка оборудования, не входящего в сметы строек, СП ХТС 
- Техперевооружение ТМ-17 блок 173 от узла 172.00 до ТК-173.02, Дн=820х10 мм, L=107,5х2 м.п.(подземная в непроходном канале), СП ХТС N_505-ХТС-13
- Реконструкция ТМ-18 блок 626 от ТК-188.40б (уз.626) в сторону ПНС-626, Дн=720х10мм, L=530 м.п., СП ХТС N_505-ХТС-14
 - средства от реализации активов, в т.ч. металлолома с НДС</t>
  </si>
  <si>
    <t>Источник финансирования "прочие собственные средства" по проектам:
- Реконструкция паропровода протяженностью L= 5479 м (от ХТЭЦ-1 до узла П11 с Ду 500 мм на Ду 200мм L=442 м; от ХТЭЦ-1 до узла П34.40: с Ду 600-700 мм на Ду 450 мм L=1822 м, с Ду 500 мм на Ду 450 L=363 м, с Ду 500 мм на Ду 400 L=683 м, с Ду 400 мм на Ду 200 мм L=1067 м, с Ду 400 мм на Ду 150 мм L=30 м, с Ду 250 мм на Ду 150 мм L=1072 м), СП ХТС N_505-ХТС-11
-Техническое перевооружение системы контроля параметров работы системы централизованного теплоснабжения (технический учет) в г. Хабаровске на объектах: ПНС-111 (1 шт.), ПНС-172 (2шт.), Узел 393 (2 шт.), СП ХТС N_505-ХТС-15
-Разработка ПИР для реализации проекта "Установка гелиосистемы на основе солнечных коллекторов для преобразования солнечной энергии в тепловую (с. Ракитное)", СП ХТС N_505-ХТС-16
- повышающий коэффициент с НДС</t>
  </si>
  <si>
    <t>Источник финансирования "прочие собственные средства" в 2024 году по проектам:
-Техническое перевооружение системы контроля параметров работы системы централизованного теплоснабжения (технический учет) в г. Комсомольске-на-Амуре O_505-КТС-5
- Техническое перевооружение системы контроля параметров работы системы централизованного теплоснабжения (технический учет) в г. Амурске  N_505-КТС-3
- повышающий коэффициент с НДС</t>
  </si>
  <si>
    <t>Из отчета исключено финансирование по проекту Реконструкция ТМ-31 блок 394 от узла 393 (ул.Карла-Маркса) до узла 199 (ул. Промышленная), 2Ду800/1000 мм, L=2,8 км. ХТС F_505-ХТСКх-14 на сумму - 3 048,86166 тыс. рублей в 2024 году, так как шаблон не принимает отрицательные значения показателей.</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</si>
  <si>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</si>
  <si>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</si>
  <si>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</si>
  <si>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</si>
  <si>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</si>
  <si>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</si>
  <si>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</si>
  <si>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</si>
  <si>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</si>
  <si>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</si>
  <si>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</si>
  <si>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</si>
  <si>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</si>
  <si>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</si>
  <si>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</si>
  <si>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</si>
  <si>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</si>
  <si>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</si>
  <si>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</si>
  <si>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</si>
  <si>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</si>
  <si>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</si>
  <si>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</si>
  <si>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</si>
  <si>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</si>
  <si>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</si>
  <si>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</si>
  <si>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</si>
  <si>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</si>
  <si>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</si>
  <si>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</si>
  <si>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</si>
  <si>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</si>
  <si>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</si>
  <si>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</si>
  <si>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</si>
  <si>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</si>
  <si>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</si>
  <si>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</si>
  <si>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</si>
  <si>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</si>
  <si>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</si>
  <si>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</si>
  <si>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</si>
  <si>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</si>
  <si>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</si>
  <si>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</si>
  <si>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</si>
  <si>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</si>
  <si>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</si>
  <si>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</si>
  <si>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</si>
  <si>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</si>
  <si>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</si>
  <si>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</si>
  <si>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</si>
  <si>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</si>
  <si>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</si>
  <si>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</si>
  <si>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</si>
  <si>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</si>
  <si>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</si>
  <si>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</si>
  <si>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</si>
  <si>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</si>
  <si>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</si>
  <si>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</si>
  <si>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</si>
  <si>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</si>
  <si>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</si>
  <si>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</si>
  <si>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</si>
  <si>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</si>
  <si>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</si>
  <si>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</si>
  <si>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</si>
  <si>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</si>
  <si>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</si>
  <si>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</si>
  <si>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</si>
  <si>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</si>
  <si>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</si>
  <si>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</si>
  <si>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</si>
  <si>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</si>
  <si>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</si>
  <si>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</si>
  <si>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</si>
  <si>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</si>
  <si>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</si>
  <si>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</si>
  <si>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</si>
  <si>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</si>
  <si>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</si>
  <si>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</si>
  <si>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</si>
  <si>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</si>
  <si>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</si>
  <si>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</si>
  <si>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</si>
  <si>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</si>
  <si>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</si>
  <si>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</si>
  <si>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</si>
  <si>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</si>
  <si>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</si>
  <si>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</si>
  <si>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</si>
  <si>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</si>
  <si>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</si>
  <si>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</si>
  <si>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</si>
  <si>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</si>
  <si>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</si>
  <si>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</si>
  <si>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</si>
  <si>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</si>
  <si>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</si>
  <si>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</si>
  <si>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</si>
  <si>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</si>
  <si>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</si>
  <si>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</si>
  <si>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</si>
  <si>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</si>
  <si>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</si>
  <si>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</si>
  <si>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</si>
  <si>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</si>
  <si>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</si>
  <si>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</si>
  <si>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</si>
  <si>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</si>
  <si>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</si>
  <si>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</si>
  <si>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</si>
  <si>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</si>
  <si>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</si>
  <si>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</si>
  <si>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</si>
  <si>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</si>
  <si>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</si>
  <si>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</si>
  <si>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</si>
  <si>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</si>
  <si>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</si>
  <si>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</si>
  <si>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</si>
  <si>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</si>
  <si>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</si>
  <si>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</si>
  <si>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</si>
  <si>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</si>
  <si>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</si>
  <si>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</si>
  <si>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</si>
  <si>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</si>
  <si>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</si>
  <si>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</si>
  <si>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</si>
  <si>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</si>
  <si>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</si>
  <si>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</si>
  <si>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</si>
  <si>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</si>
  <si>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</si>
  <si>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</si>
  <si>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</si>
  <si>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</si>
  <si>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</si>
  <si>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</si>
  <si>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</si>
  <si>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</si>
  <si>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</si>
  <si>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</si>
  <si>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</si>
  <si>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</si>
  <si>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</si>
  <si>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</si>
  <si>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</si>
  <si>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</si>
  <si>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</si>
  <si>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</si>
  <si>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</si>
  <si>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</si>
  <si>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</si>
  <si>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</si>
  <si>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</si>
  <si>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</si>
  <si>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</si>
  <si>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</si>
  <si>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</si>
  <si>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</si>
  <si>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</si>
  <si>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</si>
  <si>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</si>
  <si>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</si>
  <si>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</si>
  <si>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</si>
  <si>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</si>
  <si>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</si>
  <si>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</si>
  <si>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</si>
  <si>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</si>
  <si>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</si>
  <si>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</si>
  <si>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</si>
  <si>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</si>
  <si>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</si>
  <si>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</si>
  <si>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</si>
  <si>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</si>
  <si>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</si>
  <si>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</si>
  <si>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</si>
  <si>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</si>
  <si>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</si>
  <si>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</si>
  <si>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</si>
  <si>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</si>
  <si>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</si>
  <si>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</si>
  <si>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</si>
  <si>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</si>
  <si>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</si>
  <si>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</si>
  <si>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</si>
  <si>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</si>
  <si>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</si>
  <si>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</si>
  <si>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</si>
  <si>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</si>
  <si>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</si>
  <si>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</si>
  <si>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</si>
  <si>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</si>
  <si>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</si>
  <si>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</si>
  <si>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</si>
  <si>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</si>
  <si>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</si>
  <si>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</si>
  <si>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</si>
  <si>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</si>
  <si>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</si>
  <si>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</si>
  <si>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</si>
  <si>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</si>
  <si>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</si>
  <si>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</si>
  <si>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</si>
  <si>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</si>
  <si>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</si>
  <si>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</si>
  <si>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</si>
  <si>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</si>
  <si>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</si>
  <si>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</si>
  <si>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</si>
  <si>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</si>
  <si>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</si>
  <si>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</si>
  <si>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</si>
  <si>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</si>
  <si>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</si>
  <si>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</si>
  <si>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</si>
  <si>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</si>
  <si>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</si>
  <si>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</si>
  <si>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</si>
  <si>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</si>
  <si>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</si>
  <si>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</si>
  <si>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</si>
  <si>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</si>
  <si>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</si>
  <si>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</si>
  <si>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</si>
  <si>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</si>
  <si>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</si>
  <si>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</si>
  <si>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</si>
  <si>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</si>
  <si>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</si>
  <si>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</si>
  <si>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</si>
  <si>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</si>
  <si>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</si>
  <si>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</si>
  <si>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</si>
  <si>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</si>
  <si>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</si>
  <si>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</si>
  <si>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</si>
  <si>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</si>
  <si>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</si>
  <si>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</si>
  <si>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</si>
  <si>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</si>
  <si>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</si>
  <si>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</si>
  <si>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</si>
  <si>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</si>
  <si>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</si>
  <si>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</si>
  <si>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</si>
  <si>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</si>
  <si>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</si>
  <si>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</si>
  <si>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</si>
  <si>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</si>
  <si>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</si>
  <si>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</si>
  <si>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</si>
  <si>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</si>
  <si>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</si>
  <si>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</si>
  <si>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</si>
  <si>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</si>
  <si>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</si>
  <si>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</si>
  <si>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</si>
  <si>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</si>
  <si>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</si>
  <si>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</si>
  <si>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</si>
  <si>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</si>
  <si>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</si>
  <si>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</si>
  <si>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</si>
  <si>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</si>
  <si>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</si>
  <si>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</si>
  <si>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</si>
  <si>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</si>
  <si>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</si>
  <si>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</si>
  <si>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</si>
  <si>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</si>
  <si>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</si>
  <si>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</si>
  <si>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</si>
  <si>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</si>
  <si>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</si>
  <si>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</si>
  <si>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</si>
  <si>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</si>
  <si>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</si>
  <si>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</si>
  <si>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</si>
  <si>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</si>
  <si>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</si>
  <si>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</si>
  <si>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</si>
  <si>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</si>
  <si>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</si>
  <si>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</si>
  <si>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</si>
  <si>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</si>
  <si>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</si>
  <si>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</si>
  <si>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</si>
  <si>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</si>
  <si>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</si>
  <si>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</si>
  <si>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</si>
  <si>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26810802</t>
  </si>
  <si>
    <t>АО "ДГК" СП Майская ГРЭС</t>
  </si>
  <si>
    <t>270432001</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</si>
  <si>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</si>
  <si>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</si>
  <si>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</si>
  <si>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</si>
  <si>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</si>
  <si>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</si>
  <si>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</si>
  <si>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</si>
  <si>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</si>
  <si>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</si>
  <si>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</si>
  <si>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</si>
  <si>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</si>
  <si>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</si>
  <si>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</si>
  <si>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26322968</t>
  </si>
  <si>
    <t>АО "ДГК" филиал "Хабаровская генерация"</t>
  </si>
  <si>
    <t>272102001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</si>
  <si>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</si>
  <si>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</si>
  <si>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</si>
  <si>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</si>
  <si>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</si>
  <si>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</si>
  <si>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</si>
  <si>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</si>
  <si>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</si>
  <si>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</si>
  <si>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</si>
  <si>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</si>
  <si>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</si>
  <si>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</si>
  <si>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</si>
  <si>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</si>
  <si>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</si>
  <si>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</si>
  <si>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</si>
  <si>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</si>
  <si>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</si>
  <si>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</si>
  <si>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</si>
  <si>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</si>
  <si>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</si>
  <si>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</si>
  <si>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</si>
  <si>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</si>
  <si>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</si>
  <si>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</si>
  <si>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</si>
  <si>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</si>
  <si>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</si>
  <si>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</si>
  <si>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</si>
  <si>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</si>
  <si>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</si>
  <si>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</si>
  <si>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</si>
  <si>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</si>
  <si>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</si>
  <si>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</si>
  <si>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</si>
  <si>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</si>
  <si>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</si>
  <si>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</si>
  <si>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</si>
  <si>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</si>
  <si>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</si>
  <si>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</si>
  <si>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</si>
  <si>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</si>
  <si>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</si>
  <si>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</si>
  <si>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</si>
  <si>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</si>
  <si>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</si>
  <si>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</si>
  <si>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</si>
  <si>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</si>
  <si>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</si>
  <si>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</si>
  <si>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</si>
  <si>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</si>
  <si>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</si>
  <si>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</si>
  <si>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</si>
  <si>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</si>
  <si>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</si>
  <si>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</si>
  <si>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</si>
  <si>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</si>
  <si>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</si>
  <si>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</si>
  <si>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</si>
  <si>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</si>
  <si>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</si>
  <si>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</si>
  <si>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</si>
  <si>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</si>
  <si>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</si>
  <si>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</si>
  <si>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</si>
  <si>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</si>
  <si>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</si>
  <si>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</si>
  <si>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</si>
  <si>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</si>
  <si>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</si>
  <si>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</si>
  <si>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</si>
  <si>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</si>
  <si>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</si>
  <si>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</si>
  <si>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</si>
  <si>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</si>
  <si>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</si>
  <si>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</si>
  <si>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</si>
  <si>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</si>
  <si>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</si>
  <si>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</si>
  <si>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</si>
  <si>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</si>
  <si>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</si>
  <si>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</si>
  <si>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</si>
  <si>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</si>
  <si>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</si>
  <si>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</si>
  <si>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</si>
  <si>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</si>
  <si>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</si>
  <si>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</si>
  <si>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</si>
  <si>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</si>
  <si>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</si>
  <si>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</si>
  <si>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</si>
  <si>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</si>
  <si>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</si>
  <si>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</si>
  <si>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</si>
  <si>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</si>
  <si>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</si>
  <si>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</si>
  <si>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</si>
  <si>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</si>
  <si>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</si>
  <si>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</si>
  <si>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</si>
  <si>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</si>
  <si>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</si>
  <si>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</si>
  <si>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31772961</t>
  </si>
  <si>
    <t>МУП "Нижнеамурская ресурсоснабжающая организация"</t>
  </si>
  <si>
    <t>2705000370</t>
  </si>
  <si>
    <t>31-10-2022 00:00:00</t>
  </si>
  <si>
    <t>30355542</t>
  </si>
  <si>
    <t>МУП "Николаевские тепловые сети"</t>
  </si>
  <si>
    <t>2705000395</t>
  </si>
  <si>
    <t>23-06-2015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</si>
  <si>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</si>
  <si>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</si>
  <si>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</si>
  <si>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</si>
  <si>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</si>
  <si>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</si>
  <si>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</si>
  <si>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</si>
  <si>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</si>
  <si>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</si>
  <si>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</si>
  <si>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</si>
  <si>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</si>
  <si>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</si>
  <si>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31765442</t>
  </si>
  <si>
    <t>МУП "Солнечное ЖКХ"</t>
  </si>
  <si>
    <t>2700035884</t>
  </si>
  <si>
    <t>02-07-2024 00:00:00</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</si>
  <si>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</si>
  <si>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</si>
  <si>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</si>
  <si>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</si>
  <si>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</si>
  <si>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</si>
  <si>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</si>
  <si>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</si>
  <si>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</si>
  <si>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</si>
  <si>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</si>
  <si>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</si>
  <si>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</si>
  <si>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</si>
  <si>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</si>
  <si>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</si>
  <si>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</si>
  <si>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31594819</t>
  </si>
  <si>
    <t>МУП "Электролинии муниципального района имени Лазо"</t>
  </si>
  <si>
    <t>2713015370</t>
  </si>
  <si>
    <t>22-11-2007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</si>
  <si>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</si>
  <si>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</si>
  <si>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</si>
  <si>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</si>
  <si>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</si>
  <si>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</si>
  <si>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</si>
  <si>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</si>
  <si>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</si>
  <si>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</si>
  <si>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</si>
  <si>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</si>
  <si>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</si>
  <si>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</si>
  <si>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</si>
  <si>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</si>
  <si>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</si>
  <si>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31759645</t>
  </si>
  <si>
    <t>МУП УМР "Мариинское жилищно-коммунальное хозяйство"</t>
  </si>
  <si>
    <t>2700032964</t>
  </si>
  <si>
    <t>06-05-2024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</si>
  <si>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</si>
  <si>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</si>
  <si>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</si>
  <si>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</si>
  <si>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</si>
  <si>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</si>
  <si>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</si>
  <si>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</si>
  <si>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</si>
  <si>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</si>
  <si>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</si>
  <si>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</si>
  <si>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</si>
  <si>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</si>
  <si>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</si>
  <si>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</si>
  <si>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</si>
  <si>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</si>
  <si>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</si>
  <si>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</si>
  <si>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</si>
  <si>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</si>
  <si>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</si>
  <si>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</si>
  <si>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</si>
  <si>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</si>
  <si>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</si>
  <si>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</si>
  <si>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</si>
  <si>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</si>
  <si>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</si>
  <si>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</si>
  <si>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</si>
  <si>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</si>
  <si>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</si>
  <si>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</si>
  <si>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</si>
  <si>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</si>
  <si>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</si>
  <si>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</si>
  <si>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</si>
  <si>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</si>
  <si>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</si>
  <si>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</si>
  <si>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</si>
  <si>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</si>
  <si>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</si>
  <si>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</si>
  <si>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</si>
  <si>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</si>
  <si>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</si>
  <si>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</si>
  <si>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</si>
  <si>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</si>
  <si>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</si>
  <si>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</si>
  <si>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</si>
  <si>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</si>
  <si>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</si>
  <si>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</si>
  <si>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</si>
  <si>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</si>
  <si>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</si>
  <si>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</si>
  <si>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</si>
  <si>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</si>
  <si>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</si>
  <si>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</si>
  <si>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</si>
  <si>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</si>
  <si>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</si>
  <si>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</si>
  <si>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</si>
  <si>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</si>
  <si>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</si>
  <si>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</si>
  <si>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</si>
  <si>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</si>
  <si>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</si>
  <si>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</si>
  <si>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</si>
  <si>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</si>
  <si>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</si>
  <si>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</si>
  <si>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</si>
  <si>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</si>
  <si>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</si>
  <si>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</si>
  <si>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</si>
  <si>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</si>
  <si>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</si>
  <si>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</si>
  <si>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</si>
  <si>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</si>
  <si>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31772875</t>
  </si>
  <si>
    <t>ООО "Глобал"</t>
  </si>
  <si>
    <t>2713020638</t>
  </si>
  <si>
    <t>29-07-2019 00:00:00</t>
  </si>
  <si>
    <t>28816002</t>
  </si>
  <si>
    <t>ООО "ДВ Регион"</t>
  </si>
  <si>
    <t>2709014487</t>
  </si>
  <si>
    <t>31349096</t>
  </si>
  <si>
    <t>ООО "ДВ-Регион"</t>
  </si>
  <si>
    <t>2704025904</t>
  </si>
  <si>
    <t>31768752</t>
  </si>
  <si>
    <t>ООО "ДГК-НТС"</t>
  </si>
  <si>
    <t>2700041013</t>
  </si>
  <si>
    <t>14-10-2024 00:00:00</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</si>
  <si>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</si>
  <si>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</si>
  <si>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</si>
  <si>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</si>
  <si>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</si>
  <si>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</si>
  <si>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</si>
  <si>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</si>
  <si>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</si>
  <si>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</si>
  <si>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</si>
  <si>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</si>
  <si>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</si>
  <si>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</si>
  <si>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</si>
  <si>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</si>
  <si>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</si>
  <si>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</si>
  <si>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</si>
  <si>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</si>
  <si>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</si>
  <si>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</si>
  <si>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</si>
  <si>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</si>
  <si>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</si>
  <si>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</si>
  <si>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</si>
  <si>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</si>
  <si>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</si>
  <si>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</si>
  <si>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</si>
  <si>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</si>
  <si>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</si>
  <si>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</si>
  <si>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</si>
  <si>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</si>
  <si>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</si>
  <si>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</si>
  <si>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</si>
  <si>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</si>
  <si>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</si>
  <si>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</si>
  <si>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</si>
  <si>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</si>
  <si>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</si>
  <si>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</si>
  <si>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</si>
  <si>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</si>
  <si>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</si>
  <si>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</si>
  <si>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</si>
  <si>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</si>
  <si>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</si>
  <si>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</si>
  <si>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271501001</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</si>
  <si>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</si>
  <si>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</si>
  <si>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</si>
  <si>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</si>
  <si>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</si>
  <si>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</si>
  <si>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</si>
  <si>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</si>
  <si>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</si>
  <si>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</si>
  <si>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</si>
  <si>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</si>
  <si>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</si>
  <si>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</si>
  <si>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</si>
  <si>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</si>
  <si>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</si>
  <si>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</si>
  <si>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</si>
  <si>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</si>
  <si>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</si>
  <si>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</si>
  <si>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</si>
  <si>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</si>
  <si>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</si>
  <si>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</si>
  <si>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</si>
  <si>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</si>
  <si>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</si>
  <si>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</si>
  <si>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</si>
  <si>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</si>
  <si>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</si>
  <si>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</si>
  <si>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</si>
  <si>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</si>
  <si>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</si>
  <si>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</si>
  <si>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</si>
  <si>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</si>
  <si>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</si>
  <si>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</si>
  <si>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</si>
  <si>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</si>
  <si>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</si>
  <si>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</si>
  <si>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</si>
  <si>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</si>
  <si>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</si>
  <si>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</si>
  <si>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</si>
  <si>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</si>
  <si>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</si>
  <si>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</si>
  <si>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</si>
  <si>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</si>
  <si>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</si>
  <si>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</si>
  <si>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</si>
  <si>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</si>
  <si>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</si>
  <si>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</si>
  <si>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</si>
  <si>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</si>
  <si>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</si>
  <si>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</si>
  <si>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</si>
  <si>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</si>
  <si>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</si>
  <si>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</si>
  <si>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</si>
  <si>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</si>
  <si>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</si>
  <si>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</si>
  <si>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</si>
  <si>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</si>
  <si>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</si>
  <si>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</si>
  <si>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</si>
  <si>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</si>
  <si>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</si>
  <si>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</si>
  <si>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</si>
  <si>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</si>
  <si>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</si>
  <si>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</si>
  <si>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</si>
  <si>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</si>
  <si>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</si>
  <si>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</si>
  <si>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</si>
  <si>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</si>
  <si>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</si>
  <si>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</si>
  <si>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</si>
  <si>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</si>
  <si>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</si>
  <si>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</si>
  <si>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</si>
  <si>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</si>
  <si>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</si>
  <si>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</si>
  <si>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</si>
  <si>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</si>
  <si>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</si>
  <si>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</si>
  <si>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</si>
  <si>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</si>
  <si>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</si>
  <si>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</si>
  <si>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</si>
  <si>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</si>
  <si>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</si>
  <si>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</si>
  <si>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</si>
  <si>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</si>
  <si>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</si>
  <si>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</si>
  <si>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31745554</t>
  </si>
  <si>
    <t>ООО "ХЭС Чегдомын"</t>
  </si>
  <si>
    <t>2700011724</t>
  </si>
  <si>
    <t>26448134</t>
  </si>
  <si>
    <t>ООО "Шел ТЭК"</t>
  </si>
  <si>
    <t>2712014134</t>
  </si>
  <si>
    <t>31768757</t>
  </si>
  <si>
    <t>ООО "ЭНЕРГИЯ"</t>
  </si>
  <si>
    <t>2724228243</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</si>
  <si>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</si>
  <si>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</si>
  <si>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</si>
  <si>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</si>
  <si>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</si>
  <si>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</si>
  <si>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</si>
  <si>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</si>
  <si>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</si>
  <si>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</si>
  <si>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</si>
  <si>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</si>
  <si>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</si>
  <si>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</si>
  <si>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</si>
  <si>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</si>
  <si>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</si>
  <si>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</si>
  <si>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</si>
  <si>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</si>
  <si>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</si>
  <si>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</si>
  <si>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</si>
  <si>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</si>
  <si>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</si>
  <si>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</si>
  <si>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</si>
  <si>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</si>
  <si>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</si>
  <si>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</si>
  <si>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</si>
  <si>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</si>
  <si>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</si>
  <si>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</si>
  <si>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</si>
  <si>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</si>
  <si>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</si>
  <si>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</si>
  <si>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</si>
  <si>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</si>
  <si>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</si>
  <si>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</si>
  <si>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</si>
  <si>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</si>
  <si>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</si>
  <si>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</si>
  <si>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</si>
  <si>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</si>
  <si>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</si>
  <si>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</si>
  <si>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</si>
  <si>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</si>
  <si>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</si>
  <si>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</si>
  <si>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</si>
  <si>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</si>
  <si>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</si>
  <si>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</si>
  <si>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</si>
  <si>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</si>
  <si>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</si>
  <si>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</si>
  <si>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</si>
  <si>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</si>
  <si>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</si>
  <si>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</si>
  <si>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</si>
  <si>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</si>
  <si>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</si>
  <si>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</si>
  <si>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</si>
  <si>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</si>
  <si>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26451312</t>
  </si>
  <si>
    <t>Войсковая часть 70822</t>
  </si>
  <si>
    <t>2720017555</t>
  </si>
  <si>
    <t>31646788</t>
  </si>
  <si>
    <t>ИП Бабанин П.В.</t>
  </si>
  <si>
    <t>270600019420</t>
  </si>
  <si>
    <t>22-04-2004 00:00:00</t>
  </si>
  <si>
    <t>31769982</t>
  </si>
  <si>
    <t>ИП Байдаев Р.И.</t>
  </si>
  <si>
    <t>071002235710</t>
  </si>
  <si>
    <t>04-07-2023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</si>
  <si>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</si>
  <si>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</si>
  <si>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</si>
  <si>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</si>
  <si>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</si>
  <si>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</si>
  <si>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</si>
  <si>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</si>
  <si>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</si>
  <si>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</si>
  <si>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</si>
  <si>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</si>
  <si>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</si>
  <si>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</si>
  <si>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</si>
  <si>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</si>
  <si>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</si>
  <si>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</si>
  <si>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</si>
  <si>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</si>
  <si>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</si>
  <si>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</si>
  <si>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</si>
  <si>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</si>
  <si>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</si>
  <si>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</si>
  <si>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</si>
  <si>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</si>
  <si>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</si>
  <si>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</si>
  <si>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</si>
  <si>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</si>
  <si>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</si>
  <si>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</si>
  <si>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</si>
  <si>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</si>
  <si>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</si>
  <si>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</si>
  <si>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</si>
  <si>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31776639</t>
  </si>
  <si>
    <t>МУП "Охотск КХ"</t>
  </si>
  <si>
    <t>2700040330</t>
  </si>
  <si>
    <t>01-10-2024 00:00:00</t>
  </si>
  <si>
    <t>26451298</t>
  </si>
  <si>
    <t>МУП г. Хабаровска "Водоканал"</t>
  </si>
  <si>
    <t>2700001300</t>
  </si>
  <si>
    <t>26512602</t>
  </si>
  <si>
    <t>ООО "Водо-канализационное хозяйство"</t>
  </si>
  <si>
    <t>2706026692</t>
  </si>
  <si>
    <t>27835832</t>
  </si>
  <si>
    <t>ООО "Водоканал района имени Лазо Хабаровского края"</t>
  </si>
  <si>
    <t>2721145172</t>
  </si>
  <si>
    <t>29-12-2006 00:00:00</t>
  </si>
  <si>
    <t>26629455</t>
  </si>
  <si>
    <t>ООО "Водоканал"</t>
  </si>
  <si>
    <t>2706027738</t>
  </si>
  <si>
    <t>31210853</t>
  </si>
  <si>
    <t>2711003796</t>
  </si>
  <si>
    <t>26437992</t>
  </si>
  <si>
    <t>ООО "Водоканал-Транзит"</t>
  </si>
  <si>
    <t>2707005060</t>
  </si>
  <si>
    <t>31359190</t>
  </si>
  <si>
    <t>ООО "Водоснабжение"</t>
  </si>
  <si>
    <t>2706024021</t>
  </si>
  <si>
    <t>29-01-2016 00:00:00</t>
  </si>
  <si>
    <t>31640101</t>
  </si>
  <si>
    <t>ООО "Волна"</t>
  </si>
  <si>
    <t>2719009045</t>
  </si>
  <si>
    <t>16-10-2008 00:00:00</t>
  </si>
  <si>
    <t>31665889</t>
  </si>
  <si>
    <t>ООО "ГидроСтрой"</t>
  </si>
  <si>
    <t>2705001230</t>
  </si>
  <si>
    <t>20-04-2018 00:00:00</t>
  </si>
  <si>
    <t>30943306</t>
  </si>
  <si>
    <t>ООО "Исток"</t>
  </si>
  <si>
    <t>2717006761</t>
  </si>
  <si>
    <t>26607481</t>
  </si>
  <si>
    <t>ООО "Краснореченское"</t>
  </si>
  <si>
    <t>2720039911</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</si>
  <si>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</si>
  <si>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</si>
  <si>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</si>
  <si>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</si>
  <si>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</si>
  <si>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</si>
  <si>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</si>
  <si>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</si>
  <si>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</si>
  <si>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</si>
  <si>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</si>
  <si>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</si>
  <si>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</si>
  <si>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</si>
  <si>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</si>
  <si>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</si>
  <si>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</si>
  <si>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</si>
  <si>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</si>
  <si>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</si>
  <si>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</si>
  <si>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</si>
  <si>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</si>
  <si>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</si>
  <si>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</si>
  <si>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</si>
  <si>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</si>
  <si>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</si>
  <si>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</si>
  <si>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</si>
  <si>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</si>
  <si>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</si>
  <si>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</si>
  <si>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</si>
  <si>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</si>
  <si>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</si>
  <si>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</si>
  <si>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</si>
  <si>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</si>
  <si>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</si>
  <si>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</si>
  <si>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</si>
  <si>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</si>
  <si>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</si>
  <si>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</si>
  <si>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</si>
  <si>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</si>
  <si>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</si>
  <si>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</si>
  <si>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</si>
  <si>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</si>
  <si>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</si>
  <si>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</si>
  <si>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</si>
  <si>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</si>
  <si>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</si>
  <si>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</si>
  <si>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</si>
  <si>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</si>
  <si>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</si>
  <si>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</si>
  <si>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</si>
  <si>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</si>
  <si>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</si>
  <si>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</si>
  <si>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</si>
  <si>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</si>
  <si>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</si>
  <si>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</si>
  <si>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</si>
  <si>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</si>
  <si>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</si>
  <si>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</si>
  <si>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</si>
  <si>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</si>
  <si>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</si>
  <si>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</si>
  <si>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</si>
  <si>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</si>
  <si>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</si>
  <si>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</si>
  <si>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</si>
  <si>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</si>
  <si>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</si>
  <si>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</si>
  <si>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</si>
  <si>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</si>
  <si>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</si>
  <si>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</si>
  <si>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</si>
  <si>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</si>
  <si>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</si>
  <si>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</si>
  <si>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</si>
  <si>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</si>
  <si>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</si>
  <si>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</si>
  <si>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</si>
  <si>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</si>
  <si>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</si>
  <si>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</si>
  <si>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</si>
  <si>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</si>
  <si>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</si>
  <si>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</si>
  <si>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</si>
  <si>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</si>
  <si>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</si>
  <si>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</si>
  <si>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</si>
  <si>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</si>
  <si>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31772982</t>
  </si>
  <si>
    <t>ООО "РегСтройКом"</t>
  </si>
  <si>
    <t>2720056917</t>
  </si>
  <si>
    <t>01-03-2017 00:00:00</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</si>
  <si>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</si>
  <si>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</si>
  <si>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</si>
  <si>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</si>
  <si>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</si>
  <si>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</si>
  <si>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</si>
  <si>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</si>
  <si>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</si>
  <si>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</si>
  <si>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</si>
  <si>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</si>
  <si>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</si>
  <si>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</si>
  <si>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</si>
  <si>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</si>
  <si>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</si>
  <si>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</si>
  <si>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</si>
  <si>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</si>
  <si>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</si>
  <si>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</si>
  <si>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</si>
  <si>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</si>
  <si>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</si>
  <si>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</si>
  <si>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</si>
  <si>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</si>
  <si>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</si>
  <si>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</si>
  <si>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</si>
  <si>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</si>
  <si>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</si>
  <si>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</si>
  <si>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</si>
  <si>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</si>
  <si>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</si>
  <si>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</si>
  <si>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</si>
  <si>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</si>
  <si>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</si>
  <si>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</si>
  <si>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</si>
  <si>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</si>
  <si>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</si>
  <si>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</si>
  <si>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</si>
  <si>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</si>
  <si>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</si>
  <si>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</si>
  <si>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</si>
  <si>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</si>
  <si>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</si>
  <si>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</si>
  <si>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</si>
  <si>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</si>
  <si>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</si>
  <si>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</si>
  <si>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</si>
  <si>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</si>
  <si>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</si>
  <si>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</si>
  <si>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</si>
  <si>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</si>
  <si>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</si>
  <si>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</si>
  <si>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</si>
  <si>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</si>
  <si>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</si>
  <si>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</si>
  <si>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</si>
  <si>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</si>
  <si>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</si>
  <si>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</si>
  <si>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</si>
  <si>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</si>
  <si>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</si>
  <si>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</si>
  <si>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</si>
  <si>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</si>
  <si>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</si>
  <si>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</si>
  <si>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</si>
  <si>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</si>
  <si>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</si>
  <si>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</si>
  <si>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</si>
  <si>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</si>
  <si>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</si>
  <si>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</si>
  <si>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</si>
  <si>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</si>
  <si>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</si>
  <si>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</si>
  <si>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</si>
  <si>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</si>
  <si>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</si>
  <si>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</si>
  <si>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</si>
  <si>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</si>
  <si>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</si>
  <si>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</si>
  <si>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</si>
  <si>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</si>
  <si>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</si>
  <si>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</si>
  <si>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</si>
  <si>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</si>
  <si>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</si>
  <si>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</si>
  <si>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</si>
  <si>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</si>
  <si>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</si>
  <si>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</si>
  <si>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</si>
  <si>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</si>
  <si>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</si>
  <si>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</si>
  <si>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</si>
  <si>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</si>
  <si>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</si>
  <si>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</si>
  <si>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</si>
  <si>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</si>
  <si>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</si>
  <si>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</si>
  <si>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</si>
  <si>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</si>
  <si>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</si>
  <si>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</si>
  <si>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</si>
  <si>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</si>
  <si>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</si>
  <si>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</si>
  <si>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</si>
  <si>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</si>
  <si>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</si>
  <si>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</si>
  <si>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</si>
  <si>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</si>
  <si>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</si>
  <si>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</si>
  <si>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</si>
  <si>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</si>
  <si>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60</t>
  </si>
  <si>
    <t>Дормидонтовское</t>
  </si>
  <si>
    <t>08617416</t>
  </si>
  <si>
    <t>61</t>
  </si>
  <si>
    <t>Забайкальское</t>
  </si>
  <si>
    <t>08617418</t>
  </si>
  <si>
    <t>62</t>
  </si>
  <si>
    <t>Капитоновское</t>
  </si>
  <si>
    <t>08617420</t>
  </si>
  <si>
    <t>63</t>
  </si>
  <si>
    <t>Кедровское</t>
  </si>
  <si>
    <t>08617422</t>
  </si>
  <si>
    <t>64</t>
  </si>
  <si>
    <t>Котиковское</t>
  </si>
  <si>
    <t>08617424</t>
  </si>
  <si>
    <t>65</t>
  </si>
  <si>
    <t>Красицкое</t>
  </si>
  <si>
    <t>08617426</t>
  </si>
  <si>
    <t>Кукелевское</t>
  </si>
  <si>
    <t>08617428</t>
  </si>
  <si>
    <t>67</t>
  </si>
  <si>
    <t>Медвеженское</t>
  </si>
  <si>
    <t>08617432</t>
  </si>
  <si>
    <t>Отрадненское</t>
  </si>
  <si>
    <t>08617438</t>
  </si>
  <si>
    <t>69</t>
  </si>
  <si>
    <t>Садовое</t>
  </si>
  <si>
    <t>08617439</t>
  </si>
  <si>
    <t>70</t>
  </si>
  <si>
    <t>Шереметьевское</t>
  </si>
  <si>
    <t>08617440</t>
  </si>
  <si>
    <t>71</t>
  </si>
  <si>
    <t>Шумнинское</t>
  </si>
  <si>
    <t>08617444</t>
  </si>
  <si>
    <t>72</t>
  </si>
  <si>
    <t>поселок Дормидонтовка</t>
  </si>
  <si>
    <t>08617413</t>
  </si>
  <si>
    <t>73</t>
  </si>
  <si>
    <t>городской округ</t>
  </si>
  <si>
    <t>74</t>
  </si>
  <si>
    <t>75</t>
  </si>
  <si>
    <t>Комсомольский муниципальный район</t>
  </si>
  <si>
    <t>08620000</t>
  </si>
  <si>
    <t>Бельговское</t>
  </si>
  <si>
    <t>08620404</t>
  </si>
  <si>
    <t>76</t>
  </si>
  <si>
    <t>Бокторское</t>
  </si>
  <si>
    <t>08620405</t>
  </si>
  <si>
    <t>77</t>
  </si>
  <si>
    <t>Большекартельское</t>
  </si>
  <si>
    <t>08620407</t>
  </si>
  <si>
    <t>78</t>
  </si>
  <si>
    <t>Верхнетамбовское</t>
  </si>
  <si>
    <t>08620410</t>
  </si>
  <si>
    <t>79</t>
  </si>
  <si>
    <t>Гайтерское</t>
  </si>
  <si>
    <t>08620413</t>
  </si>
  <si>
    <t>80</t>
  </si>
  <si>
    <t>Галичное</t>
  </si>
  <si>
    <t>08620467</t>
  </si>
  <si>
    <t>81</t>
  </si>
  <si>
    <t>Гурское</t>
  </si>
  <si>
    <t>08620468</t>
  </si>
  <si>
    <t>82</t>
  </si>
  <si>
    <t>Даппинское</t>
  </si>
  <si>
    <t>08620419</t>
  </si>
  <si>
    <t>83</t>
  </si>
  <si>
    <t>Кенайское</t>
  </si>
  <si>
    <t>08620430</t>
  </si>
  <si>
    <t>84</t>
  </si>
  <si>
    <t>85</t>
  </si>
  <si>
    <t>Молодежное</t>
  </si>
  <si>
    <t>08620435</t>
  </si>
  <si>
    <t>86</t>
  </si>
  <si>
    <t>Нижнетамбовское</t>
  </si>
  <si>
    <t>08620437</t>
  </si>
  <si>
    <t>87</t>
  </si>
  <si>
    <t>Нижнехалбинское</t>
  </si>
  <si>
    <t>08620440</t>
  </si>
  <si>
    <t>88</t>
  </si>
  <si>
    <t>Новоильиновское</t>
  </si>
  <si>
    <t>08620443</t>
  </si>
  <si>
    <t>89</t>
  </si>
  <si>
    <t>Новомирское</t>
  </si>
  <si>
    <t>08620446</t>
  </si>
  <si>
    <t>90</t>
  </si>
  <si>
    <t>Пиваньское</t>
  </si>
  <si>
    <t>08620447</t>
  </si>
  <si>
    <t>91</t>
  </si>
  <si>
    <t>Селихинское</t>
  </si>
  <si>
    <t>08620449</t>
  </si>
  <si>
    <t>92</t>
  </si>
  <si>
    <t>Снежинское</t>
  </si>
  <si>
    <t>08620452</t>
  </si>
  <si>
    <t>93</t>
  </si>
  <si>
    <t>Уктурское</t>
  </si>
  <si>
    <t>08620455</t>
  </si>
  <si>
    <t>94</t>
  </si>
  <si>
    <t>Хурбинское</t>
  </si>
  <si>
    <t>08620461</t>
  </si>
  <si>
    <t>95</t>
  </si>
  <si>
    <t>Эконьское</t>
  </si>
  <si>
    <t>08620476</t>
  </si>
  <si>
    <t>96</t>
  </si>
  <si>
    <t>Ягодненское</t>
  </si>
  <si>
    <t>08620470</t>
  </si>
  <si>
    <t>97</t>
  </si>
  <si>
    <t>Нанайский муниципальный район</t>
  </si>
  <si>
    <t>08628000</t>
  </si>
  <si>
    <t>Арсеньевское</t>
  </si>
  <si>
    <t>08628402</t>
  </si>
  <si>
    <t>98</t>
  </si>
  <si>
    <t>Верхнеманоминское</t>
  </si>
  <si>
    <t>08628407</t>
  </si>
  <si>
    <t>99</t>
  </si>
  <si>
    <t>Верхненергенское</t>
  </si>
  <si>
    <t>08628427</t>
  </si>
  <si>
    <t>100</t>
  </si>
  <si>
    <t>Дадинское</t>
  </si>
  <si>
    <t>08628416</t>
  </si>
  <si>
    <t>101</t>
  </si>
  <si>
    <t>Джаринское</t>
  </si>
  <si>
    <t>08628419</t>
  </si>
  <si>
    <t>102</t>
  </si>
  <si>
    <t>Джонкинское</t>
  </si>
  <si>
    <t>08628422</t>
  </si>
  <si>
    <t>103</t>
  </si>
  <si>
    <t>Дубовомысское</t>
  </si>
  <si>
    <t>08628423</t>
  </si>
  <si>
    <t>104</t>
  </si>
  <si>
    <t>Иннокентьевское</t>
  </si>
  <si>
    <t>08628424</t>
  </si>
  <si>
    <t>105</t>
  </si>
  <si>
    <t>Лидогинское</t>
  </si>
  <si>
    <t>08628425</t>
  </si>
  <si>
    <t>106</t>
  </si>
  <si>
    <t>Маякское</t>
  </si>
  <si>
    <t>08628428</t>
  </si>
  <si>
    <t>107</t>
  </si>
  <si>
    <t>Найхинское</t>
  </si>
  <si>
    <t>08628431</t>
  </si>
  <si>
    <t>108</t>
  </si>
  <si>
    <t>109</t>
  </si>
  <si>
    <t>Нижнеманоминское</t>
  </si>
  <si>
    <t>08628434</t>
  </si>
  <si>
    <t>110</t>
  </si>
  <si>
    <t>Синдинское</t>
  </si>
  <si>
    <t>08628437</t>
  </si>
  <si>
    <t>111</t>
  </si>
  <si>
    <t>село Троицкое</t>
  </si>
  <si>
    <t>08628439</t>
  </si>
  <si>
    <t>112</t>
  </si>
  <si>
    <t>Николаевский муниципальный район</t>
  </si>
  <si>
    <t>08631000</t>
  </si>
  <si>
    <t>Город Николаевск-на-Амуре</t>
  </si>
  <si>
    <t>08631101</t>
  </si>
  <si>
    <t>113</t>
  </si>
  <si>
    <t>08631404</t>
  </si>
  <si>
    <t>114</t>
  </si>
  <si>
    <t>Коасносельское</t>
  </si>
  <si>
    <t>08631413</t>
  </si>
  <si>
    <t>115</t>
  </si>
  <si>
    <t>Константиновское</t>
  </si>
  <si>
    <t>08631431</t>
  </si>
  <si>
    <t>116</t>
  </si>
  <si>
    <t>Магинское</t>
  </si>
  <si>
    <t>08631414</t>
  </si>
  <si>
    <t>117</t>
  </si>
  <si>
    <t>Межселенная территория Николаевского муниципального района, включающая с Власьево</t>
  </si>
  <si>
    <t>08631701</t>
  </si>
  <si>
    <t>118</t>
  </si>
  <si>
    <t>Нигирское</t>
  </si>
  <si>
    <t>08631419</t>
  </si>
  <si>
    <t>119</t>
  </si>
  <si>
    <t>Нижнепронгенское</t>
  </si>
  <si>
    <t>08631422</t>
  </si>
  <si>
    <t>120</t>
  </si>
  <si>
    <t>121</t>
  </si>
  <si>
    <t>Озерпахское</t>
  </si>
  <si>
    <t>08631425</t>
  </si>
  <si>
    <t>122</t>
  </si>
  <si>
    <t>Орель-Члянское</t>
  </si>
  <si>
    <t>08631428</t>
  </si>
  <si>
    <t>123</t>
  </si>
  <si>
    <t>Оремифское</t>
  </si>
  <si>
    <t>08631437</t>
  </si>
  <si>
    <t>124</t>
  </si>
  <si>
    <t>Поселок Лазарев</t>
  </si>
  <si>
    <t>08631154</t>
  </si>
  <si>
    <t>125</t>
  </si>
  <si>
    <t>Поселок Многовершинный</t>
  </si>
  <si>
    <t>08631158</t>
  </si>
  <si>
    <t>126</t>
  </si>
  <si>
    <t>Пуирское</t>
  </si>
  <si>
    <t>08631434</t>
  </si>
  <si>
    <t>127</t>
  </si>
  <si>
    <t>Члянское</t>
  </si>
  <si>
    <t>08631410</t>
  </si>
  <si>
    <t>128</t>
  </si>
  <si>
    <t>Охотский муниципальный округ</t>
  </si>
  <si>
    <t>08534000</t>
  </si>
  <si>
    <t>муниципальный округ</t>
  </si>
  <si>
    <t>129</t>
  </si>
  <si>
    <t>Охотский муниципальный район</t>
  </si>
  <si>
    <t>08634000</t>
  </si>
  <si>
    <t>Аркинское</t>
  </si>
  <si>
    <t>08634402</t>
  </si>
  <si>
    <t>130</t>
  </si>
  <si>
    <t>Булгинское</t>
  </si>
  <si>
    <t>08634404</t>
  </si>
  <si>
    <t>131</t>
  </si>
  <si>
    <t>Вострецовское</t>
  </si>
  <si>
    <t>08634407</t>
  </si>
  <si>
    <t>132</t>
  </si>
  <si>
    <t>Инское</t>
  </si>
  <si>
    <t>08634410</t>
  </si>
  <si>
    <t>133</t>
  </si>
  <si>
    <t>Морское</t>
  </si>
  <si>
    <t>08634412</t>
  </si>
  <si>
    <t>134</t>
  </si>
  <si>
    <t>Новоустьинское</t>
  </si>
  <si>
    <t>08634414</t>
  </si>
  <si>
    <t>135</t>
  </si>
  <si>
    <t>136</t>
  </si>
  <si>
    <t>Поселок Охотск</t>
  </si>
  <si>
    <t>08634151</t>
  </si>
  <si>
    <t>137</t>
  </si>
  <si>
    <t>Резидентское</t>
  </si>
  <si>
    <t>08634416</t>
  </si>
  <si>
    <t>138</t>
  </si>
  <si>
    <t>08642000</t>
  </si>
  <si>
    <t>Гаткинское</t>
  </si>
  <si>
    <t>08642402</t>
  </si>
  <si>
    <t>139</t>
  </si>
  <si>
    <t>140</t>
  </si>
  <si>
    <t>Межселенные территории, входящие в состав Советско-Гаванского муниципального района, включающие п Нельма, п Коппи и др.</t>
  </si>
  <si>
    <t>08642701</t>
  </si>
  <si>
    <t>141</t>
  </si>
  <si>
    <t>Поселок Заветы Ильича</t>
  </si>
  <si>
    <t>08642159</t>
  </si>
  <si>
    <t>142</t>
  </si>
  <si>
    <t>Поселок Лососина</t>
  </si>
  <si>
    <t>08642162</t>
  </si>
  <si>
    <t>143</t>
  </si>
  <si>
    <t>144</t>
  </si>
  <si>
    <t>145</t>
  </si>
  <si>
    <t>Солнечный муниципальный район</t>
  </si>
  <si>
    <t>08644000</t>
  </si>
  <si>
    <t>Амгуньское</t>
  </si>
  <si>
    <t>08644402</t>
  </si>
  <si>
    <t>146</t>
  </si>
  <si>
    <t>Березовское</t>
  </si>
  <si>
    <t>08644404</t>
  </si>
  <si>
    <t>147</t>
  </si>
  <si>
    <t>Горинское</t>
  </si>
  <si>
    <t>08644406</t>
  </si>
  <si>
    <t>148</t>
  </si>
  <si>
    <t>Горненское</t>
  </si>
  <si>
    <t>08644432</t>
  </si>
  <si>
    <t>149</t>
  </si>
  <si>
    <t>Джамкуское</t>
  </si>
  <si>
    <t>08644408</t>
  </si>
  <si>
    <t>150</t>
  </si>
  <si>
    <t>Дукинское</t>
  </si>
  <si>
    <t>08644410</t>
  </si>
  <si>
    <t>151</t>
  </si>
  <si>
    <t>Кондонское</t>
  </si>
  <si>
    <t>08644416</t>
  </si>
  <si>
    <t>152</t>
  </si>
  <si>
    <t>Поселок Солнечный</t>
  </si>
  <si>
    <t>08644151</t>
  </si>
  <si>
    <t>153</t>
  </si>
  <si>
    <t>154</t>
  </si>
  <si>
    <t>Харпичанское</t>
  </si>
  <si>
    <t>08644425</t>
  </si>
  <si>
    <t>155</t>
  </si>
  <si>
    <t>Хурмулинское</t>
  </si>
  <si>
    <t>08644428</t>
  </si>
  <si>
    <t>156</t>
  </si>
  <si>
    <t>Эворонское</t>
  </si>
  <si>
    <t>08644430</t>
  </si>
  <si>
    <t>157</t>
  </si>
  <si>
    <t>Тугуро-Чумиканский муниципальный район</t>
  </si>
  <si>
    <t>08646000</t>
  </si>
  <si>
    <t>Алгазеинское</t>
  </si>
  <si>
    <t>08646402</t>
  </si>
  <si>
    <t>158</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</si>
  <si>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</si>
  <si>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</si>
  <si>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159</t>
  </si>
  <si>
    <t>Торомское</t>
  </si>
  <si>
    <t>08646404</t>
  </si>
  <si>
    <t>160</t>
  </si>
  <si>
    <t>161</t>
  </si>
  <si>
    <t>Тугурское</t>
  </si>
  <si>
    <t>08646407</t>
  </si>
  <si>
    <t>162</t>
  </si>
  <si>
    <t>Удское</t>
  </si>
  <si>
    <t>08646410</t>
  </si>
  <si>
    <t>163</t>
  </si>
  <si>
    <t>село Чумикан</t>
  </si>
  <si>
    <t>08646411</t>
  </si>
  <si>
    <t>164</t>
  </si>
  <si>
    <t>Ульчский муниципальный район</t>
  </si>
  <si>
    <t>08650000</t>
  </si>
  <si>
    <t>Быстринское</t>
  </si>
  <si>
    <t>08650409</t>
  </si>
  <si>
    <t>165</t>
  </si>
  <si>
    <t>Де-Кастринское</t>
  </si>
  <si>
    <t>08650413</t>
  </si>
  <si>
    <t>166</t>
  </si>
  <si>
    <t>Дудинское</t>
  </si>
  <si>
    <t>08650416</t>
  </si>
  <si>
    <t>167</t>
  </si>
  <si>
    <t>Калиновское</t>
  </si>
  <si>
    <t>08650419</t>
  </si>
  <si>
    <t>168</t>
  </si>
  <si>
    <t>Киселевское</t>
  </si>
  <si>
    <t>08650422</t>
  </si>
  <si>
    <t>169</t>
  </si>
  <si>
    <t>Мариинское</t>
  </si>
  <si>
    <t>08650425</t>
  </si>
  <si>
    <t>170</t>
  </si>
  <si>
    <t>Нижнегаванское</t>
  </si>
  <si>
    <t>08650428</t>
  </si>
  <si>
    <t>171</t>
  </si>
  <si>
    <t>Савинское</t>
  </si>
  <si>
    <t>08650431</t>
  </si>
  <si>
    <t>172</t>
  </si>
  <si>
    <t>Санниковское</t>
  </si>
  <si>
    <t>08650434</t>
  </si>
  <si>
    <t>173</t>
  </si>
  <si>
    <t>Село Богородское</t>
  </si>
  <si>
    <t>08650401</t>
  </si>
  <si>
    <t>174</t>
  </si>
  <si>
    <t>Село Булава</t>
  </si>
  <si>
    <t>08650407</t>
  </si>
  <si>
    <t>175</t>
  </si>
  <si>
    <t>Солонцовское</t>
  </si>
  <si>
    <t>08650437</t>
  </si>
  <si>
    <t>176</t>
  </si>
  <si>
    <t>Софийское</t>
  </si>
  <si>
    <t>08650440</t>
  </si>
  <si>
    <t>177</t>
  </si>
  <si>
    <t>Сусанинское</t>
  </si>
  <si>
    <t>08650443</t>
  </si>
  <si>
    <t>178</t>
  </si>
  <si>
    <t>Тахтинское</t>
  </si>
  <si>
    <t>08650449</t>
  </si>
  <si>
    <t>179</t>
  </si>
  <si>
    <t>Тырское</t>
  </si>
  <si>
    <t>08650452</t>
  </si>
  <si>
    <t>180</t>
  </si>
  <si>
    <t>181</t>
  </si>
  <si>
    <t>Ухтинское</t>
  </si>
  <si>
    <t>08650455</t>
  </si>
  <si>
    <t>182</t>
  </si>
  <si>
    <t>Циммермановское</t>
  </si>
  <si>
    <t>08650458</t>
  </si>
  <si>
    <t>183</t>
  </si>
  <si>
    <t>08655000</t>
  </si>
  <si>
    <t>Анастасьевское</t>
  </si>
  <si>
    <t>08655402</t>
  </si>
  <si>
    <t>184</t>
  </si>
  <si>
    <t>Бычихинское</t>
  </si>
  <si>
    <t>08655407</t>
  </si>
  <si>
    <t>185</t>
  </si>
  <si>
    <t>Восточное</t>
  </si>
  <si>
    <t>08655476</t>
  </si>
  <si>
    <t>186</t>
  </si>
  <si>
    <t>Галкинское</t>
  </si>
  <si>
    <t>08655412</t>
  </si>
  <si>
    <t>187</t>
  </si>
  <si>
    <t>Дружбинское</t>
  </si>
  <si>
    <t>08655415</t>
  </si>
  <si>
    <t>188</t>
  </si>
  <si>
    <t>Елабужское</t>
  </si>
  <si>
    <t>08655416</t>
  </si>
  <si>
    <t>189</t>
  </si>
  <si>
    <t>Ильинское</t>
  </si>
  <si>
    <t>08655419</t>
  </si>
  <si>
    <t>190</t>
  </si>
  <si>
    <t>Казакевичевское</t>
  </si>
  <si>
    <t>08655422</t>
  </si>
  <si>
    <t>191</t>
  </si>
  <si>
    <t>Князе-Волконское</t>
  </si>
  <si>
    <t>08655425</t>
  </si>
  <si>
    <t>192</t>
  </si>
  <si>
    <t>Корсаковское</t>
  </si>
  <si>
    <t>08655431</t>
  </si>
  <si>
    <t>193</t>
  </si>
  <si>
    <t>Куканское</t>
  </si>
  <si>
    <t>08655434</t>
  </si>
  <si>
    <t>194</t>
  </si>
  <si>
    <t>Малышевское</t>
  </si>
  <si>
    <t>08655437</t>
  </si>
  <si>
    <t>195</t>
  </si>
  <si>
    <t>Мирненское</t>
  </si>
  <si>
    <t>08655440</t>
  </si>
  <si>
    <t>196</t>
  </si>
  <si>
    <t>Мичуринское</t>
  </si>
  <si>
    <t>08655443</t>
  </si>
  <si>
    <t>197</t>
  </si>
  <si>
    <t>Наумовское</t>
  </si>
  <si>
    <t>08655445</t>
  </si>
  <si>
    <t>198</t>
  </si>
  <si>
    <t>199</t>
  </si>
  <si>
    <t>Новокуровское</t>
  </si>
  <si>
    <t>08655452</t>
  </si>
  <si>
    <t>200</t>
  </si>
  <si>
    <t>Осиновореченское</t>
  </si>
  <si>
    <t>08655453</t>
  </si>
  <si>
    <t>201</t>
  </si>
  <si>
    <t>Петропавловское</t>
  </si>
  <si>
    <t>08655455</t>
  </si>
  <si>
    <t>202</t>
  </si>
  <si>
    <t>Побединское</t>
  </si>
  <si>
    <t>08655458</t>
  </si>
  <si>
    <t>203</t>
  </si>
  <si>
    <t>Поселок Корфовский</t>
  </si>
  <si>
    <t>08655155</t>
  </si>
  <si>
    <t>204</t>
  </si>
  <si>
    <t>Ракитненское</t>
  </si>
  <si>
    <t>08655459</t>
  </si>
  <si>
    <t>205</t>
  </si>
  <si>
    <t>Сергеевское</t>
  </si>
  <si>
    <t>08655460</t>
  </si>
  <si>
    <t>206</t>
  </si>
  <si>
    <t>Сикачи-Алянское</t>
  </si>
  <si>
    <t>08655462</t>
  </si>
  <si>
    <t>207</t>
  </si>
  <si>
    <t>Тополевское</t>
  </si>
  <si>
    <t>08655465</t>
  </si>
  <si>
    <t>208</t>
  </si>
  <si>
    <t>Улика-Национальное</t>
  </si>
  <si>
    <t>08655467</t>
  </si>
  <si>
    <t>209</t>
  </si>
  <si>
    <t>210</t>
  </si>
  <si>
    <t>Челнинское</t>
  </si>
  <si>
    <t>08655473</t>
  </si>
  <si>
    <t>211</t>
  </si>
  <si>
    <t>им. Лазо муниципальный район</t>
  </si>
  <si>
    <t>08624000</t>
  </si>
  <si>
    <t>Бичевское</t>
  </si>
  <si>
    <t>08624402</t>
  </si>
  <si>
    <t>212</t>
  </si>
  <si>
    <t>Гвасюгинское</t>
  </si>
  <si>
    <t>08624407</t>
  </si>
  <si>
    <t>213</t>
  </si>
  <si>
    <t>Георгиевское</t>
  </si>
  <si>
    <t>08624404</t>
  </si>
  <si>
    <t>214</t>
  </si>
  <si>
    <t>Долминское</t>
  </si>
  <si>
    <t>08624410</t>
  </si>
  <si>
    <t>215</t>
  </si>
  <si>
    <t>Дурминское</t>
  </si>
  <si>
    <t>08624413</t>
  </si>
  <si>
    <t>216</t>
  </si>
  <si>
    <t>Золотинское</t>
  </si>
  <si>
    <t>08624416</t>
  </si>
  <si>
    <t>217</t>
  </si>
  <si>
    <t>Кондратьевское</t>
  </si>
  <si>
    <t>08624422</t>
  </si>
  <si>
    <t>218</t>
  </si>
  <si>
    <t>Кругликовское</t>
  </si>
  <si>
    <t>08624425</t>
  </si>
  <si>
    <t>219</t>
  </si>
  <si>
    <t>Марусинское</t>
  </si>
  <si>
    <t>08624428</t>
  </si>
  <si>
    <t>220</t>
  </si>
  <si>
    <t>Могилевское</t>
  </si>
  <si>
    <t>08624431</t>
  </si>
  <si>
    <t>221</t>
  </si>
  <si>
    <t>Оборское</t>
  </si>
  <si>
    <t>08624434</t>
  </si>
  <si>
    <t>222</t>
  </si>
  <si>
    <t>Полетнинское</t>
  </si>
  <si>
    <t>08624437</t>
  </si>
  <si>
    <t>223</t>
  </si>
  <si>
    <t>Поселок Мухен</t>
  </si>
  <si>
    <t>08624154</t>
  </si>
  <si>
    <t>224</t>
  </si>
  <si>
    <t>Поселок Переяславка</t>
  </si>
  <si>
    <t>08624151</t>
  </si>
  <si>
    <t>225</t>
  </si>
  <si>
    <t>Поселок Хор</t>
  </si>
  <si>
    <t>08624157</t>
  </si>
  <si>
    <t>226</t>
  </si>
  <si>
    <t>Святогорское</t>
  </si>
  <si>
    <t>08624440</t>
  </si>
  <si>
    <t>227</t>
  </si>
  <si>
    <t>Сидиминское</t>
  </si>
  <si>
    <t>08624443</t>
  </si>
  <si>
    <t>228</t>
  </si>
  <si>
    <t>Ситинское</t>
  </si>
  <si>
    <t>08624446</t>
  </si>
  <si>
    <t>229</t>
  </si>
  <si>
    <t>Сукпайское</t>
  </si>
  <si>
    <t>08624450</t>
  </si>
  <si>
    <t>230</t>
  </si>
  <si>
    <t>Черняевское</t>
  </si>
  <si>
    <t>08624452</t>
  </si>
  <si>
    <t>231</t>
  </si>
  <si>
    <t>232</t>
  </si>
  <si>
    <t>им. Полины Осипенко муниципальный район</t>
  </si>
  <si>
    <t>08637000</t>
  </si>
  <si>
    <t>Бриаканское</t>
  </si>
  <si>
    <t>08637402</t>
  </si>
  <si>
    <t>233</t>
  </si>
  <si>
    <t>Владимировское</t>
  </si>
  <si>
    <t>08637404</t>
  </si>
  <si>
    <t>234</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</si>
  <si>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</si>
  <si>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</si>
  <si>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235</t>
  </si>
  <si>
    <t>Удинское</t>
  </si>
  <si>
    <t>08637416</t>
  </si>
  <si>
    <t>236</t>
  </si>
  <si>
    <t>Херпучинское</t>
  </si>
  <si>
    <t>08637419</t>
  </si>
  <si>
    <t>237</t>
  </si>
  <si>
    <t>им. Полины Осипенко</t>
  </si>
  <si>
    <t>08637406</t>
  </si>
  <si>
    <t>238</t>
  </si>
  <si>
    <t>239</t>
  </si>
  <si>
    <t>NUMBER_POINT</t>
  </si>
  <si>
    <t>INVP_NAME</t>
  </si>
  <si>
    <t>INVP_ID</t>
  </si>
  <si>
    <t>L_START_DATE</t>
  </si>
  <si>
    <t>L_END_DATE</t>
  </si>
  <si>
    <t>L_DECISION_NAME</t>
  </si>
  <si>
    <t>L_DECISION_TYPE</t>
  </si>
  <si>
    <t>L_DECISION_NMBR</t>
  </si>
  <si>
    <t>L_DECISION_DATE</t>
  </si>
  <si>
    <t>Инвестиционная программа № 1021-р от 23.07.2024 МУП Г. ХАБАРОВСКА "ТЕПЛОВЫЕ СЕТИ" в сфере теплоснабжения по развитию и модернизации котельных, на территории городского округа Хабаровск на 2025-2028 годы</t>
  </si>
  <si>
    <t>01.01.2025</t>
  </si>
  <si>
    <t>31.12.2028</t>
  </si>
  <si>
    <t>Инвестиционная программа № 1037-р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</si>
  <si>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01.01.2022</t>
  </si>
  <si>
    <t>31.12.2025</t>
  </si>
  <si>
    <t>Инвестиционная программа № 1038-р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</si>
  <si>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Инвестиционная программа № 1125-р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Золотинское, им. Лазо муниципальный район на 2021-2025 годы</t>
  </si>
  <si>
    <t>01.01.2021</t>
  </si>
  <si>
    <t>Инвестиционная программа № 1126-р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Полетнинское, им. Лазо муниципальный район на 2021-2024 годы</t>
  </si>
  <si>
    <t>31.12.2024</t>
  </si>
  <si>
    <t>Инвестиционная программа № 1127-р от 10.08.2020 МУП "Лазовская ПА" в сфере теплоснабжения по комплексному развитию систем теплоснабжения, на территории сельского поселения Святогорское, им. Лазо муниципальный район на 2021-2025 годы</t>
  </si>
  <si>
    <t>Инвестиционная программа № 1134-р от 12.08.2020 МУП "Коммунальщик муниципального района имени Лазо" в сфере теплоснабжения по развитию системы теплоснабжения, на территории сельского поселения Дурминское, им. Лазо муниципальный район на 2021-2024 годы</t>
  </si>
  <si>
    <t>Инвестиционная программа № 1135-р от 12.08.2020 Муниципальное унитарное Топливно-снабженченское предприятие в сфере теплоснабжения по развитию системы теплоснабжения, на территории с Гродеково, Могилевское, им. Лазо муниципальный район на 2021-2024 годы</t>
  </si>
  <si>
    <t>Инвестиционная программа № 1152-р от 19.08.2020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Георгиевское, им. Лазо муниципальный район на 2021-2024 годы</t>
  </si>
  <si>
    <t>Инвестиционная программа № 1194-р от 19.08.2021 Муниципальное унитарное Топливно-снабженченское предприятие в сфере теплоснабжения по модернизации и реконструкции системы теплоснабжения, на территории городского поселения Поселок Переяславка, им. Лазо муниципальный район на 2022-2024 годы</t>
  </si>
  <si>
    <t>Инвестиционная программа № 1227-р от 27.08.2020 Муниципальное унитарное Топливно-снабженченское предприятие в сфере теплоснабжения по развитию системы теплоснабжения, на территории с Соколовка, Марусинское, им. Лазо муниципальный район на 2021-2024 годы</t>
  </si>
  <si>
    <t>31.01.2024</t>
  </si>
  <si>
    <t>Инвестиционная программа № 1236-р от 31.08.2021 ООО "АмурТермоЭнерго" в сфере теплоснабжения по реконструкции систем теплоснабжения, на территории сельского поселения Сергеевское, Хабаровский муниципальный район на 2022-2041 годы</t>
  </si>
  <si>
    <t>31.12.2041</t>
  </si>
  <si>
    <t>Инвестиционная программа № 1245-р от 09.09.2020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Сукпайское, им. Лазо муниципальный район на 2021-2023 годы</t>
  </si>
  <si>
    <t>31.12.2023</t>
  </si>
  <si>
    <t>Инвестиционная программа № 1245-рп от 26.11.2020 МУП "Сосновка" в сфере теплоснабжения в отношении системы теплоснабжения, на территории городского округа на 2021-2023 годы</t>
  </si>
  <si>
    <t>Инвестиционная программа № 1251-р от 28.10.2024 ООО "ГЛОБАЛ" в сфере теплоснабжения по развитию систем теплоснабжения, на территории городского поселения Поселок Хор, им. Лазо муниципальный район на 2025-2029 годы</t>
  </si>
  <si>
    <t>Инвестиционная программа № 1253-р от 09.09.2021 МУП "Коммунальщик муниципального района имени Лазо" в сфере теплоснабжения по развитию системы теплоснабжения, на территории городского поселения Поселок Мухен, им. Лазо муниципальный район на 2022-2025 годы</t>
  </si>
  <si>
    <t>Инвестиционная программа № 126-р от 10.02.2022 ООО "АмурТермоЭнерго" в сфере теплоснабжения по реконструкции систем теплоснабжения, на территории с Черная Речка, Восточное, Хабаровский муниципальный район на 2022-2041 годы</t>
  </si>
  <si>
    <t>10.02.2022</t>
  </si>
  <si>
    <t>Инвестиционная программа № 1313-р от 12.11.2024 ООО "Шел ТЭК" в сфере теплоснабжения по развитию систем теплоснабжения, на территории городского поселения Поселок Солнечный, Солнечный муниципальный район на 2024-2033 годы</t>
  </si>
  <si>
    <t>12.11.2024</t>
  </si>
  <si>
    <t>31.12.2033</t>
  </si>
  <si>
    <t>Инвестиционная программа № 1389-р от 29.11.2024 КГУП "Региональные коммунальные системы" в сфере теплоснабжения по модернизации систем теплоснабжения, на территории городского поселения Поселок Заветы Ильича, Советско-Гаванский муниципальный район на 2024-2025 годы</t>
  </si>
  <si>
    <t>29.11.2024</t>
  </si>
  <si>
    <t>Инвестиционная программа № 1491-р от 22.08.2022 Бикинское МУП "Топливно-энергетический комплекс" в сфере теплоснабжения по развитию систем теплоснабжения, на территории городского поселения Город Бикин, Бикинский муниципальный район на 2023-2027 годы</t>
  </si>
  <si>
    <t>01.01.2023</t>
  </si>
  <si>
    <t>31.12.2027</t>
  </si>
  <si>
    <t>Инвестиционная программа № 1528-р от 26.12.2024 ООО "ЖИЛСТРОЙСЕРВИС" в сфере теплоснабжения по модернизации и реконструкции централизованных систем теплоснабжения на 2024-2039 годы</t>
  </si>
  <si>
    <t>26.12.2024</t>
  </si>
  <si>
    <t>26.12.2039</t>
  </si>
  <si>
    <t>Инвестиционная программа № 1528-р от 30.10.2020 МУП "Теплоцентраль" в сфере теплоснабжения по модернизации и реконструкции тепловых сетей, на территории городского округа Комсомольск-на-Амуре на 2021-2022 годы</t>
  </si>
  <si>
    <t>31.12.2022</t>
  </si>
  <si>
    <t>Инвестиционная программа № 1606-р от 26.10.2021 ООО "ЭНКИ ДВ" в сфере теплоснабжения по реконструкции тепловых сетей, на территории сельского поселения Бычихинское, Хабаровский муниципальный район на 2022-2034 годы</t>
  </si>
  <si>
    <t>31.12.2034</t>
  </si>
  <si>
    <t>Инвестиционная программа № 1609-р от 11.11.2020 ООО "Шел ТЭК" в сфере теплоснабжения по развитию систем теплоснабжения, на территории муниципального района Амурский на 2021-2035 годы</t>
  </si>
  <si>
    <t>31.12.2035</t>
  </si>
  <si>
    <t>Инвестиционная программа № 1615-р от 19.10.2023 ООО "Охотскэнерго" в сфере теплоснабжения по реконструкции систем теплоснабжения, на территории муниципального района Охотский на 2023-2032 годы</t>
  </si>
  <si>
    <t>19.10.2023</t>
  </si>
  <si>
    <t>31.12.2032</t>
  </si>
  <si>
    <t>Инвестиционная программа № 1664-р от 30.10.2023 ООО "Троицкий энергетический комплекс" в сфере теплоснабжения по реконструкции систем теплоснабжения, на территории сельского поселения Вознесенское, Амурский муниципальный район на 2024-2030 годы</t>
  </si>
  <si>
    <t>01.01.2024</t>
  </si>
  <si>
    <t>31.12.2030</t>
  </si>
  <si>
    <t>Инвестиционная программа № 1665-р от 30.10.2023 ООО "Жил ТЭК" в сфере теплоснабжения по реконструкции систем теплоснабжения, на территории п Снежный, Снежинское, Комсомольский муниципальный район на 2024-2028 годы</t>
  </si>
  <si>
    <t>Инвестиционная программа № 1699-р от 08.11.2021 ООО "АмурТермоЭнерго" в сфере теплоснабжения по реконструкции систем теплоснабжения, на территории с Гаровка-2, Ракитненское, Хабаровский муниципальный район на 2022-2041 годы</t>
  </si>
  <si>
    <t>Инвестиционная программа № 1795-р от 23.11.2021 ООО "Интелектуальные Коммунальные Системы Ванино" в сфере теплоснабжения по модернизации систем теплоснабжения, на территории городского поселения Поселок Ванино, Ванинский муниципальный район на 2022-2046 годы</t>
  </si>
  <si>
    <t>31.12.2046</t>
  </si>
  <si>
    <t>Инвестиционная программа № 1857-р от 13.10.2022 ООО "АмурТермоЭнерго" в сфере теплоснабжения по реконструкции систем теплоснабжения, на территории с Калинка, Сергеевское, Хабаровский муниципальный район на 2023-2042 годы</t>
  </si>
  <si>
    <t>31.12.2042</t>
  </si>
  <si>
    <t>Инвестиционная программа № 1938-р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2024-2033 годы</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</si>
  <si>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 год</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</si>
  <si>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2024-2034 годы</t>
  </si>
  <si>
    <t>Инвестиционная программа № 2117-р от 21.11.2022 ООО "ЭНКИ ДВ" в сфере теплоснабжения по реконструкции систем теплоснабжения, на территории п Кукан, Куканское, Хабаровский муниципальный район на 2022-2042 годы</t>
  </si>
  <si>
    <t>21.11.2022</t>
  </si>
  <si>
    <t>Инвестиционная программа № 213-р от 10.02.2023 ООО "Шел ТЭК" в сфере теплоснабжения по развитию систем теплоснабжения, на территории сельского поселения Ягодненское, Комсомольский муниципальный район на 2023-2038 годы</t>
  </si>
  <si>
    <t>10.02.2023</t>
  </si>
  <si>
    <t>31.12.2038</t>
  </si>
  <si>
    <t>Инвестиционная программа № 23@ (с изм. N38@ от 28.12.2023) от 12.12.2019 АО "ДГК" в сфере теплоснабжения и горячего водоснабжения по строительству, реконструкции, модернизации и развитию котельных и тепловых сетей на 2023-2027 годы</t>
  </si>
  <si>
    <t>Инвестиционная программа № 249-р от 26.02.2024 ООО "Регион Тепло" в сфере теплоснабжения по развитию систем теплоснабжения, на территории с Георгиевка, Георгиевское, им. Лазо муниципальный район на 2025-2045 годы</t>
  </si>
  <si>
    <t>31.12.2045</t>
  </si>
  <si>
    <t>Инвестиционная программа № 314-р от 28.03.2022 ООО "Светлана в сфере теплоснабжения по развитию систем теплоснабжения, на территории сельского поселения Тумнинское, Ванинский муниципальный район на 2022-2036 годы</t>
  </si>
  <si>
    <t>28.03.2022</t>
  </si>
  <si>
    <t>31.12.2036</t>
  </si>
  <si>
    <t>Инвестиционная программа № 335-р от 14.03.2023 ООО "Тополевское" в сфере теплоснабжения по реконструкции систем теплоснабжения, на территории с Заозерное, Тополевское, Хабаровский муниципальный район на 2023-2042 годы</t>
  </si>
  <si>
    <t>14.03.2023</t>
  </si>
  <si>
    <t>Инвестиционная программа № 3@ от 15.09.2022 Охотский филиал ОАО "Теплоэнергосервис" в сфере теплоснабжения по модернизации систем коммунальной инфраструктуры, на территории муниципального района Охотский на 2023 год</t>
  </si>
  <si>
    <t>Инвестиционная программа № 521-р от 11.04.2024 ООО "СервисМонтажСтрой" в сфере теплоснабжения по модернизации и реконструкции систем теплоснабжения, на территории с Осиновая Речка, Осиновореченское, Хабаровский муниципальный район на 2024-2046 годы</t>
  </si>
  <si>
    <t>11.04.2024</t>
  </si>
  <si>
    <t>Инвестиционная программа № 526-рп от 17.08.2023 МУП "Производственное предприятие тепловых сетей" в сфере теплоснабжения по модернизации, реконструкции и техническому перевооружению систем теплоснабжения, на территории городского округа Комсомольск-на-Амуре на 2024-2028 годы</t>
  </si>
  <si>
    <t>Инвестиционная программа № 645-р от 16.05.2022 ООО "Тепло-Амур" в сфере теплоснабжения по реконструкции системы теплоснабжения, на территории сельского поселения Болоньское, Амурский муниципальный район на 2022-2030 годы</t>
  </si>
  <si>
    <t>01.08.2022</t>
  </si>
  <si>
    <t>Инвестиционная программа № 662-рп от 24.10.2024 МУП г. Хабаровска "Тепловые сети" в сфере теплоснабжения по модернизации и строительству объектов, на территории городского округа Хабаровск на 2024 год</t>
  </si>
  <si>
    <t>24.10.2024</t>
  </si>
  <si>
    <t>Инвестиционная программа № 695-р от 03.06.2021 ООО "Тепловик+" в сфере теплоснабжения по развитию систем теплоснабжения, на территории сельского поселения Даппинское, Комсомольский муниципальный район на 2022-2024 годы</t>
  </si>
  <si>
    <t>Инвестиционная программа № 732-рп от 12.08.2021 МУП г. Хабаровска "Тепловые сети" в сфере теплоснабжения по строительству, реконструкции, модернизации и развитию имущественного комплекса, на территории городского округа Хабаровск на 2022-2024 годы</t>
  </si>
  <si>
    <t>Инвестиционная программа № 783-р от 28.06.2021 ООО "Шел ТЭК" в сфере теплоснабжения по развитию систем теплоснабжения, на территории муниципального района Комсомольский на 2022-2026 годы</t>
  </si>
  <si>
    <t>31.12.2026</t>
  </si>
  <si>
    <t>Инвестиционная программа № 824-рп от 18.12.2024 ООО "ДГК-НТС" в сфере теплоснабжения по техническому перевооружению тепловой сети, на территории городского поселения Город Николаевск-на-Амуре, Николаевский муниципальный район на 2025-2028 годы</t>
  </si>
  <si>
    <t>Инвестиционная программа № 843-р от 13.07.2023 МООО "Энергокомплект" в сфере теплоснабжения по реконструкции объектов, на территории с Бриакан, Бриаканское, им. Полины Осипенко муниципальный район на 2023-2031 годы</t>
  </si>
  <si>
    <t>13.07.2023</t>
  </si>
  <si>
    <t>31.12.2031</t>
  </si>
  <si>
    <t>Инвестиционная программа № 919-р от 14.07.2020 МУП "Коммунальщик муниципального района имени Лазо" в сфере теплоснабжения по развитию системы теплоснабжения, на территории п Сита, Ситинское, им. Лазо муниципальный район на 2021-2022 годы</t>
  </si>
  <si>
    <t>Инвестиционная программа № 948-р от 22.07.2020 МУП "Лазовская ПА" в сфере теплоснабжения по комплексному развитию систем теплоснабжения, на территории сельского поселения Гвасюгинское, им. Лазо муниципальный район на 2021-2025 годы</t>
  </si>
  <si>
    <t>Инвестиционная программа № 951-р от 24.07.2020 МУП "Коммунальщик муниципального района имени Лазо" в сфере теплоснабжения по развитию системы теплоснабжения, на территории с Черняево, Черняевское, им. Лазо муниципальный район на 2021-2022 годы</t>
  </si>
  <si>
    <t>Инвестиционная программа № 969-р от 08.07.2021 МУП "Лазовская ПА" в сфере теплоснабжения по развитию систем теплоснабжения, на территории сельского поселения Бичевское, им. Лазо муниципальный район на 2022 год</t>
  </si>
  <si>
    <t>Инвестиционная программа № 969-р от 08.07.2021 МУП "Лазовская ПА" в сфере теплоснабжения по развитию системы теплоснабжения, на территории сельского поселения Бичевское, им. Лазо муниципальный район на 2022-2025 годы</t>
  </si>
  <si>
    <t>Инвестиционная программа от 03.03.2021 ООО "АмурТермоЭнерго" в сфере теплоснабжения по реконструкции котельных и тепловых сетей, на территории сельского поселения Князе-Волконское, Хабаровский муниципальный район на 2021-2040 годы</t>
  </si>
  <si>
    <t>03.03.2021</t>
  </si>
  <si>
    <t>31.12.2040</t>
  </si>
  <si>
    <t>Инвестиционная программа от 05.05.2022 ООО "Масштаб" в сфере теплоснабжения по реконструкции тепловых сетей, на территории сельского поселения Падалинское, Амурский муниципальный район на 2022-2030 годы</t>
  </si>
  <si>
    <t>01.12.2022</t>
  </si>
  <si>
    <t>Инвестиционная программа от 13.09.2022 ООО "Теплоэнергетическая компания "Уссури" в сфере теплоснабжения по реконструкции котельных и тепловых сетей, на территории сельского поселения Сусанинское, Ульчский муниципальный район на 2022-2035 годы</t>
  </si>
  <si>
    <t>Инвестиционная программа от 13.09.2022 ООО "Теплоэнергетическая компания "Уссури" в сфере теплоснабжения по реконструкции систем теплоснабжения, на территории сельского поселения Сусанинское, Ульчский муниципальный район на 2022-2035 годы</t>
  </si>
  <si>
    <t>Инвестиционная программа от 15.07.2024 МУП Г. ХАБАРОВСКА "ТЕПЛОВЫЕ СЕТИ" в сфере теплоснабжения по модернизации, развитию и техническому перевооружению объектов, на территории городского округа Хабаровск на 2025-2027 годы</t>
  </si>
  <si>
    <t>Инвестиционная программа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2023-2033 годы</t>
  </si>
  <si>
    <t>18.12.2023</t>
  </si>
  <si>
    <t>Инвестиционная программа от 24.08.2022 КГУП "Региональные коммунальные системы" в сфере теплоснабжения по реконструкции системы теплоснабжения, на территории сельского поселения Литовское, Амурский муниципальный район на 2023-2047 годы</t>
  </si>
  <si>
    <t>31.12.2047</t>
  </si>
  <si>
    <t>Инвестиционная программа от 26.12.2023 ООО "ИКС-Хабаровск" в сфере теплоснабжения по строительству тепловой сети, на территории городского округа Хабаровск на 2024-2048 годы</t>
  </si>
  <si>
    <t>31.12.2048</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</si>
  <si>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2022-2035 годы</t>
  </si>
  <si>
    <t>31.05.2035</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</si>
  <si>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2022-2036 годы</t>
  </si>
  <si>
    <t>31.05.2036</t>
  </si>
  <si>
    <t>Инвестиционная программа от 30.06.2023 Охотский филиал ОАО "Теплоэнергосервис" в сфере теплоснабжения по реконструкции и модернизации существующих объектов инфраструктуры, на территории муниципального округа Охотский на 2024-2028 годы</t>
  </si>
  <si>
    <t>Инвестиционная программа от 30.10.2023 ООО "Троицкий энергетический комплекс" в сфере теплоснабжения по развитию систем теплоснабжения, на территории сельского поселения Вознесенское, Амурский муниципальный район на 2023-2030 годы</t>
  </si>
  <si>
    <t>30.10.2023</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</si>
  <si>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</si>
  <si>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</si>
  <si>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</si>
  <si>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</si>
  <si>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</si>
  <si>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</si>
  <si>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</si>
  <si>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</si>
  <si>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</si>
  <si>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</si>
  <si>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</si>
  <si>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</si>
  <si>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</si>
  <si>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</si>
  <si>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</si>
  <si>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</si>
  <si>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</si>
  <si>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</si>
  <si>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</si>
  <si>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</si>
  <si>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</si>
  <si>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</si>
  <si>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</si>
  <si>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</si>
  <si>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</si>
  <si>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</si>
  <si>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</si>
  <si>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</si>
  <si>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</si>
  <si>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</si>
  <si>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</si>
  <si>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</si>
  <si>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Амурская ТЭЦ-1</t>
  </si>
  <si>
    <t>Западное шоссе</t>
  </si>
  <si>
    <t>частная собственность</t>
  </si>
  <si>
    <t>собственное имущество</t>
  </si>
  <si>
    <t>https://portal.eias.ru/Portal/DownloadPage.aspx?type=12&amp;guid=e49a2cc8-8509-4cd5-bd33-d96023ebe329</t>
  </si>
  <si>
    <t>эксплуатируется</t>
  </si>
  <si>
    <t>свидетельство</t>
  </si>
  <si>
    <t>собственность</t>
  </si>
  <si>
    <t>27-АВ738277</t>
  </si>
  <si>
    <t>24.10.2012</t>
  </si>
  <si>
    <t>1169</t>
  </si>
  <si>
    <t>281.62</t>
  </si>
  <si>
    <t>[Уголь газовый] :: [Газ природный] :: [Уголь длиннопламенный] :: [Мазут М-100]</t>
  </si>
  <si>
    <t>https://portal.eias.ru/Portal/DownloadPage.aspx?type=12&amp;guid=0ebdd0a3-3554-436d-8fdd-4589462b963c</t>
  </si>
  <si>
    <t>А71-02171</t>
  </si>
  <si>
    <t>25.11.2015</t>
  </si>
  <si>
    <t>214.456519</t>
  </si>
  <si>
    <t>https://portal.eias.ru/Portal/DownloadPage.aspx?type=12&amp;guid=9d0a0036-ec1d-4e69-b6d1-e9f19a53c7c5</t>
  </si>
  <si>
    <t>27-АВ768141</t>
  </si>
  <si>
    <t>18.09.2012</t>
  </si>
  <si>
    <t>70.2</t>
  </si>
  <si>
    <t>4.87</t>
  </si>
  <si>
    <t>[Газ природный]</t>
  </si>
  <si>
    <t>[Уголь газовый]</t>
  </si>
  <si>
    <t>Комсомольская ТЭЦ-2</t>
  </si>
  <si>
    <t>Аллея Труда</t>
  </si>
  <si>
    <t>1-3</t>
  </si>
  <si>
    <t>27 АБ169837</t>
  </si>
  <si>
    <t>31.12.2006</t>
  </si>
  <si>
    <t>726.5</t>
  </si>
  <si>
    <t>671.55</t>
  </si>
  <si>
    <t>[Газ природный] :: [Уголь бурый] :: [Уголь газовый] :: [Уголь длиннопламенный] :: [Мазут М-100]</t>
  </si>
  <si>
    <t>Комсомольская ТЭЦ-3</t>
  </si>
  <si>
    <t>Северное шоссе</t>
  </si>
  <si>
    <t>27 АБ169809</t>
  </si>
  <si>
    <t>1240</t>
  </si>
  <si>
    <t>558.441</t>
  </si>
  <si>
    <t>[Газ природный] :: [Мазут М-100]</t>
  </si>
  <si>
    <t>https://portal.eias.ru/Portal/DownloadPage.aspx?type=12&amp;guid=f037cebc-c1b7-4f6f-976f-9314fa36d8c9</t>
  </si>
  <si>
    <t>1966.5</t>
  </si>
  <si>
    <t>1230.161</t>
  </si>
  <si>
    <t>котельная Дземги</t>
  </si>
  <si>
    <t>ул. Радищева</t>
  </si>
  <si>
    <t>https://portal.eias.ru/Portal/DownloadPage.aspx?type=12&amp;guid=4f6d5269-c73d-4b56-bd98-61827e6fe819</t>
  </si>
  <si>
    <t>460</t>
  </si>
  <si>
    <t>381.107441</t>
  </si>
  <si>
    <t>[Газ природный] :: [Мазут М-100] :: [Мазут М-40]</t>
  </si>
  <si>
    <t>Хабаровская ТЭЦ-1</t>
  </si>
  <si>
    <t>Узловая</t>
  </si>
  <si>
    <t>15а</t>
  </si>
  <si>
    <t>27 АБ298565</t>
  </si>
  <si>
    <t>1200.2</t>
  </si>
  <si>
    <t>1125.2</t>
  </si>
  <si>
    <t>[Газ природный] :: [Уголь бурый] :: [Уголь газовый] :: [Мазут М-100] :: [Уголь тощий]</t>
  </si>
  <si>
    <t>[Газ природный] :: [Уголь бурый] :: [Уголь газовый] :: [Мазут М-100]</t>
  </si>
  <si>
    <t>https://portal.eias.ru/Portal/DownloadPage.aspx?type=12&amp;guid=6d45d9cb-a711-4854-a054-7f47c2f01c95</t>
  </si>
  <si>
    <t>27-АВ 317918</t>
  </si>
  <si>
    <t>21.09.2009</t>
  </si>
  <si>
    <t>610</t>
  </si>
  <si>
    <t>407</t>
  </si>
  <si>
    <t>27-АВ542968</t>
  </si>
  <si>
    <t>03.05.2011</t>
  </si>
  <si>
    <t>1640</t>
  </si>
  <si>
    <t>1505</t>
  </si>
  <si>
    <t>[Уголь слабоспекающийся] :: [Газ природный] :: [Уголь слабоспекающийся] :: [Мазут М-100] :: [Уголь тощий]</t>
  </si>
  <si>
    <t>[Уголь слабоспекающийся] :: [Газ природный] :: [Уголь слабоспекающийся] :: [Мазут М-100]</t>
  </si>
  <si>
    <t>Хабаровские тепловые сети  часть 2</t>
  </si>
  <si>
    <t>https://portal.eias.ru/Portal/DownloadPage.aspx?type=12&amp;guid=f5765079-35d4-48ba-8f13-4ab5af5adab8</t>
  </si>
  <si>
    <t>438.34</t>
  </si>
  <si>
    <t>263.59</t>
  </si>
  <si>
    <t>Хабаровские тепловые сети  часть 3</t>
  </si>
  <si>
    <t>https://portal.eias.ru/Portal/DownloadPage.aspx?type=12&amp;guid=b9567d76-5629-475b-9d1a-d65c428db445</t>
  </si>
  <si>
    <t>Хабаровские тепловые сети  часть 4</t>
  </si>
  <si>
    <t>https://portal.eias.ru/Portal/DownloadPage.aspx?type=12&amp;guid=8259f667-867e-4dbd-bbec-11d78f0e8a33</t>
  </si>
  <si>
    <t>Хабаровские тепловые сети  часть 5</t>
  </si>
  <si>
    <t>https://portal.eias.ru/Portal/DownloadPage.aspx?type=12&amp;guid=d4359c12-9466-470f-9d04-3d1f673600fa</t>
  </si>
  <si>
    <t>Хабаровские тепловые сети  часть 6</t>
  </si>
  <si>
    <t>https://portal.eias.ru/Portal/DownloadPage.aspx?type=12&amp;guid=db6773b8-588b-4c09-b542-5dfdc581541b</t>
  </si>
  <si>
    <t>Хабаровские тепловые сети  часть 7</t>
  </si>
  <si>
    <t>https://portal.eias.ru/Portal/DownloadPage.aspx?type=12&amp;guid=a775337f-dfb9-4460-abfa-466a3162e45e</t>
  </si>
  <si>
    <t>Хабаровские тепловые сети  часть 8</t>
  </si>
  <si>
    <t>https://portal.eias.ru/Portal/DownloadPage.aspx?type=12&amp;guid=d720bfab-b60c-4184-9b34-63970846ae5e</t>
  </si>
  <si>
    <t>https://portal.eias.ru/Portal/DownloadPage.aspx?type=12&amp;guid=b8e865f5-2ec3-403c-88b1-0acf308860f0</t>
  </si>
  <si>
    <t>котельная "Волочаевский городок" в городе Хабаровск</t>
  </si>
  <si>
    <t>Ул. Погодаева</t>
  </si>
  <si>
    <t>1в</t>
  </si>
  <si>
    <t>№RU 27301000-103/14</t>
  </si>
  <si>
    <t>30.12.2014</t>
  </si>
  <si>
    <t>26.31</t>
  </si>
  <si>
    <t>13.16</t>
  </si>
  <si>
    <t>[Газ природный] :: [Дизельное топливо З (зимнее)]</t>
  </si>
  <si>
    <t>Котельная п. "Аэропорт"</t>
  </si>
  <si>
    <t>г Николаевск-на-Амуре</t>
  </si>
  <si>
    <t>08631101001</t>
  </si>
  <si>
    <t>Энтузиастов</t>
  </si>
  <si>
    <t>2а</t>
  </si>
  <si>
    <t>https://portal.eias.ru/Portal/DownloadPage.aspx?type=12&amp;guid=440fb6ba-e338-4a52-8169-76767c9dc4c5</t>
  </si>
  <si>
    <t>договор</t>
  </si>
  <si>
    <t>1092/52-24</t>
  </si>
  <si>
    <t>07.10.2024</t>
  </si>
  <si>
    <t>2.63</t>
  </si>
  <si>
    <t>1.89</t>
  </si>
  <si>
    <t>Николаевская ТЭЦ</t>
  </si>
  <si>
    <t>Невельского</t>
  </si>
  <si>
    <t>https://portal.eias.ru/Portal/DownloadPage.aspx?type=12&amp;guid=abcddd86-8da2-41c5-a404-2db628221e96</t>
  </si>
  <si>
    <t>Договор купли-продажи ценных бумаг</t>
  </si>
  <si>
    <t>16.11.2006</t>
  </si>
  <si>
    <t>321.2</t>
  </si>
  <si>
    <t>76.247</t>
  </si>
  <si>
    <t>муниципальное имущество</t>
  </si>
  <si>
    <t>договор безвозмездного пользования</t>
  </si>
  <si>
    <t>https://portal.eias.ru/Portal/DownloadPage.aspx?type=12&amp;guid=05e0cbf0-f316-4829-8749-a84c8ca09cd5</t>
  </si>
  <si>
    <t>безвозмездное пользование</t>
  </si>
  <si>
    <t>62/НТ-23</t>
  </si>
  <si>
    <t>29.09.2023</t>
  </si>
  <si>
    <t>Николаевский участок Хабаровского отделения теплосбыта</t>
  </si>
  <si>
    <t>ул. Невельского</t>
  </si>
  <si>
    <t>аренда</t>
  </si>
  <si>
    <t>https://portal.eias.ru/Portal/DownloadPage.aspx?type=12&amp;guid=b8cab626-d003-4268-a1df-2bd4a527a7cb</t>
  </si>
  <si>
    <t>478/ХТСК-15</t>
  </si>
  <si>
    <t>30.10.2015</t>
  </si>
  <si>
    <t>73.51</t>
  </si>
  <si>
    <t>котельная п. Аэропорт</t>
  </si>
  <si>
    <t>Котельная № 8</t>
  </si>
  <si>
    <t>ул. Лазо</t>
  </si>
  <si>
    <t>8в</t>
  </si>
  <si>
    <t>11 | Государственная собственность</t>
  </si>
  <si>
    <t>концессионное соглашение</t>
  </si>
  <si>
    <t>https://portal.eias.ru/Portal/DownloadPage.aspx?type=12&amp;guid=f391b509-e9b5-4f2c-b280-77f21be6abb4</t>
  </si>
  <si>
    <t>соглашение</t>
  </si>
  <si>
    <t>б/н</t>
  </si>
  <si>
    <t>05.10.2020</t>
  </si>
  <si>
    <t>7.8</t>
  </si>
  <si>
    <t>2.24</t>
  </si>
  <si>
    <t>[Мазут М-100]</t>
  </si>
  <si>
    <t>Котельная № 9</t>
  </si>
  <si>
    <t>ул. Некрасова</t>
  </si>
  <si>
    <t>1.69</t>
  </si>
  <si>
    <t>.259</t>
  </si>
  <si>
    <t>[Уголь бурый]</t>
  </si>
  <si>
    <t>Котельная №8Б</t>
  </si>
  <si>
    <t>https://portal.eias.ru/Portal/DownloadPage.aspx?type=12&amp;guid=ede2c5a0-21f8-4fe9-8754-6f6a749f3a05</t>
  </si>
  <si>
    <t>акт ввода в эксплуатацию</t>
  </si>
  <si>
    <t>№1</t>
  </si>
  <si>
    <t>[Уголь длиннопламенный]</t>
  </si>
  <si>
    <t>Котельные в г. Советская Гавань</t>
  </si>
  <si>
    <t>Лазо
Некрасова
Коммунальная</t>
  </si>
  <si>
    <t>88
4
2а</t>
  </si>
  <si>
    <t>https://portal.eias.ru/Portal/DownloadPage.aspx?type=12&amp;guid=e86ff41c-0633-4d2f-b634-df25de89833c</t>
  </si>
  <si>
    <t>16.594</t>
  </si>
  <si>
    <t>2.205</t>
  </si>
  <si>
    <t>[Мазут М-100] :: [Уголь бурый] :: [Уголь длиннопламенный]</t>
  </si>
  <si>
    <t>https://portal.eias.ru/Portal/DownloadPage.aspx?type=12&amp;guid=1a98b18e-d6f6-413c-be07-1f1672b2e417</t>
  </si>
  <si>
    <t>30.09.2020</t>
  </si>
  <si>
    <t>58.47</t>
  </si>
  <si>
    <t>81.89</t>
  </si>
  <si>
    <t>[Уголь газовый] :: [Дизельное топливо Е (межсезонное)] :: [Уголь длиннопламенный]</t>
  </si>
  <si>
    <t>ФКУ ИК 5</t>
  </si>
  <si>
    <t>ул. Кишиневская</t>
  </si>
  <si>
    <t>2.32</t>
  </si>
  <si>
    <t>ЦТП - 3 г. Советская Гавань</t>
  </si>
  <si>
    <t>ул. Морская</t>
  </si>
  <si>
    <t>11.26</t>
  </si>
  <si>
    <t>6.347</t>
  </si>
  <si>
    <t>ЦТП - 4 г. Советская Гаван</t>
  </si>
  <si>
    <t>ул. Пионерская</t>
  </si>
  <si>
    <t>26.35</t>
  </si>
  <si>
    <t>18.019</t>
  </si>
  <si>
    <t>ЦТП - 5  г. Советская Гавань</t>
  </si>
  <si>
    <t>ул. Пугачева</t>
  </si>
  <si>
    <t>22.984</t>
  </si>
  <si>
    <t>7.65</t>
  </si>
  <si>
    <t>5.34</t>
  </si>
  <si>
    <t>2.404</t>
  </si>
  <si>
    <t>ЦТП - 7  г. Советская Гавань</t>
  </si>
  <si>
    <t>23.096</t>
  </si>
  <si>
    <t>14.108</t>
  </si>
  <si>
    <t>19.654</t>
  </si>
  <si>
    <t>8.86</t>
  </si>
  <si>
    <t>котельная № 11</t>
  </si>
  <si>
    <t>ул. Коммунальная</t>
  </si>
  <si>
    <t>1.31</t>
  </si>
  <si>
    <t>.309</t>
  </si>
  <si>
    <t>28.12.2022</t>
  </si>
  <si>
    <t>13.76</t>
  </si>
  <si>
    <t>9.8</t>
  </si>
  <si>
    <t>[Уголь длиннопламенный] :: [Уголь газовый]</t>
  </si>
  <si>
    <t>Майская ГРЭС</t>
  </si>
  <si>
    <t>не эксплуатируется</t>
  </si>
  <si>
    <t>27-АВ941844</t>
  </si>
  <si>
    <t>05.03.2014</t>
  </si>
  <si>
    <t>15.4</t>
  </si>
  <si>
    <t>3.62</t>
  </si>
  <si>
    <t>[Уголь газовый] :: [Уголь длиннопламенный]</t>
  </si>
  <si>
    <t>Совгаванский участок  теплосбыта (п.Майский)</t>
  </si>
  <si>
    <t>ул. Каспийская</t>
  </si>
  <si>
    <t>9.83</t>
  </si>
  <si>
    <t>с Восточное</t>
  </si>
  <si>
    <t>08655476101</t>
  </si>
  <si>
    <t>с Дружба</t>
  </si>
  <si>
    <t>08655415101</t>
  </si>
  <si>
    <t>с Ильинка</t>
  </si>
  <si>
    <t>08655419101</t>
  </si>
  <si>
    <t>с Мирное</t>
  </si>
  <si>
    <t>08655440101</t>
  </si>
  <si>
    <t>https://portal.eias.ru/Portal/DownloadPage.aspx?type=12&amp;guid=21af3d75-67b3-4df5-b1e6-8af514e779ee</t>
  </si>
  <si>
    <t>№RU 27517316-21В/10-5</t>
  </si>
  <si>
    <t>09.09.2015</t>
  </si>
  <si>
    <t>30.18</t>
  </si>
  <si>
    <t>27.9</t>
  </si>
  <si>
    <t>рп Корфовский</t>
  </si>
  <si>
    <t>08655155051</t>
  </si>
  <si>
    <t>с Ракитное</t>
  </si>
  <si>
    <t>08655459101</t>
  </si>
  <si>
    <t>с Тополево</t>
  </si>
  <si>
    <t>08655465101</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</si>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</sst>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03" formatCode="000000"/>
    <numFmt numFmtId="304" formatCode="#,##0.000"/>
    <numFmt numFmtId="305" formatCode="#,##0.0000"/>
    <numFmt numFmtId="306" formatCode="dd\.mm\.yyyy"/>
    <numFmt numFmtId="307" formatCode="h:mm;@"/>
    <numFmt numFmtId="308" formatCode="_-* #,##0.00\ _₽_-;\-* #,##0.00\ _₽_-;_-* &quot;-&quot;??\ _₽_-;_-@_-"/>
    <numFmt numFmtId="309" formatCode="_-* #,##0\ _₽_-;\-* #,##0\ _₽_-;_-* &quot;-&quot;\ _₽_-;_-@_-"/>
    <numFmt numFmtId="310" formatCode="_-* #,##0.00\ &quot;₽&quot;_-;\-* #,##0.00\ &quot;₽&quot;_-;_-* &quot;-&quot;??\ &quot;₽&quot;_-;_-@_-"/>
    <numFmt numFmtId="311" formatCode="_-* #,##0\ &quot;₽&quot;_-;\-* #,##0\ &quot;₽&quot;_-;_-* &quot;-&quot;\ &quot;₽&quot;_-;_-@_-"/>
    <numFmt numFmtId="312" formatCode="_-* #,##0.00[$€-1]_-;\-* #,##0.00[$€-1]_-;_-* &quot;-&quot;??[$€-1]_-"/>
    <numFmt numFmtId="313"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08" fontId="6" fillId="0" borderId="0" applyFont="0" applyFill="0" applyBorder="0" applyNumberFormat="1">
      <alignment vertical="top"/>
    </xf>
    <xf numFmtId="309" fontId="6" fillId="0" borderId="0" applyFont="0" applyFill="0" applyBorder="0" applyNumberFormat="1">
      <alignment vertical="top"/>
    </xf>
    <xf numFmtId="310" fontId="6" fillId="0" borderId="0" applyFont="0" applyFill="0" applyBorder="0" applyNumberFormat="1">
      <alignment vertical="top"/>
    </xf>
    <xf numFmtId="311"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12" fontId="20" fillId="0" borderId="0" applyFont="1" applyFill="0" applyBorder="0" applyNumberFormat="1"/>
    <xf numFmtId="38" fontId="21" fillId="0" borderId="0" applyFont="1" applyFill="0" applyBorder="0" applyNumberFormat="1">
      <alignment vertical="top"/>
    </xf>
    <xf numFmtId="313" fontId="22" fillId="33" borderId="0" applyFont="1" applyFill="1" applyBorder="0" applyNumberFormat="1">
      <protection locked="0"/>
    </xf>
    <xf numFmtId="0" fontId="23" fillId="0" borderId="0" applyFont="1" applyFill="0" applyBorder="0">
      <alignment vertical="center"/>
    </xf>
    <xf numFmtId="304" fontId="22" fillId="33" borderId="0" applyFont="1" applyFill="1" applyBorder="0" applyNumberFormat="1">
      <protection locked="0"/>
    </xf>
    <xf numFmtId="305"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0003">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08" fontId="6" fillId="0" borderId="0" xfId="28" applyNumberFormat="1">
      <alignment vertical="top"/>
    </xf>
    <xf numFmtId="309" fontId="6" fillId="0" borderId="0" xfId="29" applyNumberFormat="1">
      <alignment vertical="top"/>
    </xf>
    <xf numFmtId="310" fontId="6" fillId="0" borderId="0" xfId="30" applyNumberFormat="1">
      <alignment vertical="top"/>
    </xf>
    <xf numFmtId="311"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12" fontId="20" fillId="0" borderId="0" xfId="49" applyFont="1" applyNumberFormat="1"/>
    <xf numFmtId="38" fontId="21" fillId="0" borderId="0" xfId="50" applyFont="1" applyNumberFormat="1">
      <alignment vertical="top"/>
    </xf>
    <xf numFmtId="313" fontId="22" fillId="33" borderId="0" xfId="51" applyFont="1" applyFill="1" applyNumberFormat="1">
      <protection locked="0"/>
    </xf>
    <xf numFmtId="0" fontId="23" fillId="0" borderId="0" xfId="52" applyFont="1">
      <alignment vertical="center"/>
    </xf>
    <xf numFmtId="304" fontId="22" fillId="33" borderId="0" xfId="53" applyFont="1" applyFill="1" applyNumberFormat="1">
      <protection locked="0"/>
    </xf>
    <xf numFmtId="305"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303"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04"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305"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305"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305"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303"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305"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305" fontId="22" fillId="39" borderId="13" xfId="0" applyFont="1" applyFill="1" applyBorder="1" applyNumberFormat="1">
      <alignment horizontal="right" vertical="center" wrapText="1"/>
      <protection locked="0"/>
    </xf>
    <xf numFmtId="305"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304"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304"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4"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304"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30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303"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303"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06" fontId="0"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306" fontId="48" fillId="0" borderId="0" xfId="0" applyFont="1" applyNumberFormat="1">
      <alignment horizontal="center" vertical="center" wrapText="1"/>
    </xf>
    <xf numFmtId="306" fontId="48" fillId="0" borderId="12" xfId="0" applyFont="1" applyBorder="1" applyNumberFormat="1">
      <alignment horizontal="center" vertical="center" wrapText="1"/>
    </xf>
    <xf numFmtId="306" fontId="0" fillId="39" borderId="12" xfId="0" applyFont="1" applyFill="1" applyBorder="1" applyNumberFormat="1">
      <alignment horizontal="left" vertical="center" wrapText="1"/>
      <protection locked="0"/>
    </xf>
    <xf numFmtId="306" fontId="0" fillId="36" borderId="12" xfId="0" applyFont="1" applyFill="1" applyBorder="1" applyNumberFormat="1">
      <alignment horizontal="left" vertical="center" wrapText="1" indent="1"/>
      <protection locked="0"/>
    </xf>
    <xf numFmtId="306"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306" fontId="0" fillId="39" borderId="14" xfId="0" applyFont="1" applyFill="1" applyBorder="1" applyNumberFormat="1">
      <alignment horizontal="left" vertical="center" wrapText="1"/>
      <protection locked="0"/>
    </xf>
    <xf numFmtId="306"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303"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303"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307" fontId="22" fillId="39" borderId="12" xfId="0" applyFont="1" applyFill="1" applyBorder="1" applyNumberFormat="1">
      <alignment horizontal="left" vertical="center" wrapText="1" indent="1"/>
      <protection locked="0"/>
    </xf>
    <xf numFmtId="306"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306"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306" fontId="22" fillId="34"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306"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303" fontId="22" fillId="0" borderId="17"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303"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06"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40"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C0BF43-F7C3-701B-A497-46F10CE1240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7195" width="5.421875" customWidth="1"/>
    <col min="2" max="2" style="17195" width="9.140625" customWidth="1"/>
    <col min="3" max="3" style="17195" width="16.421875" customWidth="1"/>
    <col min="4" max="25" style="17195" width="6.28125" customWidth="1"/>
    <col min="26" max="28" style="17195" width="11.00390625"/>
  </cols>
  <sheetData>
    <row customHeight="1" ht="15.75">
      <c r="A1" s="2041"/>
      <c r="B1" s="2042"/>
      <c r="C1" s="2042"/>
      <c r="D1" s="2042"/>
      <c r="E1" s="2042"/>
      <c r="F1" s="2042"/>
      <c r="G1" s="2042"/>
      <c r="H1" s="2042"/>
      <c r="I1" s="2042"/>
      <c r="J1" s="2042"/>
      <c r="K1" s="2042"/>
      <c r="L1" s="2042"/>
      <c r="M1" s="2042"/>
      <c r="N1" s="2042"/>
      <c r="O1" s="2042"/>
      <c r="P1" s="2042"/>
      <c r="Q1" s="2042"/>
      <c r="R1" s="2042"/>
      <c r="S1" s="2042"/>
      <c r="T1" s="2042"/>
      <c r="U1" s="2042"/>
      <c r="V1" s="2042"/>
      <c r="W1" s="2042"/>
      <c r="X1" s="2042"/>
      <c r="Y1" s="2043"/>
      <c r="Z1" s="2042"/>
      <c r="AA1" s="2044" t="s">
        <v>0</v>
      </c>
      <c r="AB1" s="2042"/>
    </row>
    <row customHeight="1" ht="17.25">
      <c r="A2" s="2042"/>
      <c r="B2" s="2418" t="s">
        <v>1</v>
      </c>
      <c r="C2" s="2418"/>
      <c r="D2" s="2418"/>
      <c r="E2" s="2418"/>
      <c r="F2" s="2418"/>
      <c r="G2" s="2418"/>
      <c r="H2" s="2418"/>
      <c r="I2" s="2418"/>
      <c r="J2" s="2418"/>
      <c r="K2" s="2418"/>
      <c r="L2" s="2418"/>
      <c r="M2" s="2418"/>
      <c r="N2" s="2418"/>
      <c r="O2" s="2418"/>
      <c r="P2" s="2418"/>
      <c r="Q2" s="2046"/>
      <c r="R2" s="2046"/>
      <c r="S2" s="2046"/>
      <c r="T2" s="2046"/>
      <c r="U2" s="2046"/>
      <c r="V2" s="2047"/>
      <c r="W2" s="2046"/>
      <c r="X2" s="2046"/>
      <c r="Y2" s="2043"/>
      <c r="Z2" s="2042"/>
      <c r="AA2" s="2044"/>
      <c r="AB2" s="2042"/>
    </row>
    <row customHeight="1" ht="15.75">
      <c r="A3" s="2042"/>
      <c r="B3" s="2419" t="s">
        <v>2</v>
      </c>
      <c r="C3" s="2419"/>
      <c r="D3" s="2419"/>
      <c r="E3" s="2419"/>
      <c r="F3" s="2419"/>
      <c r="G3" s="2419"/>
      <c r="H3" s="2419"/>
      <c r="I3" s="2419"/>
      <c r="J3" s="2419"/>
      <c r="K3" s="2419"/>
      <c r="L3" s="2419"/>
      <c r="M3" s="2419"/>
      <c r="N3" s="2419"/>
      <c r="O3" s="2419"/>
      <c r="P3" s="2419"/>
      <c r="Q3" s="2047"/>
      <c r="R3" s="2047"/>
      <c r="S3" s="2046"/>
      <c r="T3" s="2046"/>
      <c r="U3" s="2046"/>
      <c r="V3" s="2047"/>
      <c r="W3" s="2047"/>
      <c r="X3" s="2047"/>
      <c r="Y3" s="2047"/>
      <c r="Z3" s="2042"/>
      <c r="AA3" s="2044"/>
      <c r="AB3" s="2042"/>
    </row>
    <row customHeight="1" ht="17.25">
      <c r="A4" s="2042"/>
      <c r="B4" s="2048"/>
      <c r="C4" s="2042"/>
      <c r="D4" s="2047"/>
      <c r="E4" s="2047"/>
      <c r="F4" s="2047"/>
      <c r="G4" s="2047"/>
      <c r="H4" s="2047"/>
      <c r="I4" s="2047"/>
      <c r="J4" s="2047"/>
      <c r="K4" s="2047"/>
      <c r="L4" s="2047"/>
      <c r="M4" s="2047"/>
      <c r="N4" s="2047"/>
      <c r="O4" s="2047"/>
      <c r="P4" s="2047"/>
      <c r="Q4" s="2047"/>
      <c r="R4" s="2047"/>
      <c r="S4" s="2047"/>
      <c r="T4" s="2047"/>
      <c r="U4" s="2047"/>
      <c r="V4" s="2047"/>
      <c r="W4" s="2047"/>
      <c r="X4" s="2047"/>
      <c r="Y4" s="2047"/>
      <c r="Z4" s="2042"/>
      <c r="AA4" s="2044"/>
      <c r="AB4" s="2042"/>
    </row>
    <row customHeight="1" ht="22.5">
      <c r="A5" s="2049"/>
      <c r="B5" s="2420"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421"/>
      <c r="D5" s="2421"/>
      <c r="E5" s="2421"/>
      <c r="F5" s="2421"/>
      <c r="G5" s="2421"/>
      <c r="H5" s="2421"/>
      <c r="I5" s="2421"/>
      <c r="J5" s="2421"/>
      <c r="K5" s="2421"/>
      <c r="L5" s="2421"/>
      <c r="M5" s="2421"/>
      <c r="N5" s="2421"/>
      <c r="O5" s="2421"/>
      <c r="P5" s="2421"/>
      <c r="Q5" s="2421"/>
      <c r="R5" s="2421"/>
      <c r="S5" s="2421"/>
      <c r="T5" s="2421"/>
      <c r="U5" s="2421"/>
      <c r="V5" s="2421"/>
      <c r="W5" s="2421"/>
      <c r="X5" s="2421"/>
      <c r="Y5" s="2422"/>
      <c r="Z5" s="2049"/>
      <c r="AA5" s="2044"/>
      <c r="AB5" s="2049"/>
    </row>
    <row customHeight="1" ht="15">
      <c r="A6" s="2050"/>
      <c r="B6" s="2423" t="s">
        <v>3</v>
      </c>
      <c r="C6" s="2424"/>
      <c r="D6" s="2051"/>
      <c r="E6" s="2051"/>
      <c r="F6" s="2051"/>
      <c r="G6" s="2051"/>
      <c r="H6" s="2051"/>
      <c r="I6" s="2051"/>
      <c r="J6" s="2051"/>
      <c r="K6" s="2051"/>
      <c r="L6" s="2051"/>
      <c r="M6" s="2051"/>
      <c r="N6" s="2051"/>
      <c r="O6" s="2051"/>
      <c r="P6" s="2051"/>
      <c r="Q6" s="2051"/>
      <c r="R6" s="2051"/>
      <c r="S6" s="2051"/>
      <c r="T6" s="2051"/>
      <c r="U6" s="2051"/>
      <c r="V6" s="2051"/>
      <c r="W6" s="2051"/>
      <c r="X6" s="2051"/>
      <c r="Y6" s="2052"/>
      <c r="Z6" s="2053"/>
      <c r="AA6" s="2054"/>
      <c r="AB6" s="2054"/>
    </row>
    <row customHeight="1" ht="15">
      <c r="A7" s="2050"/>
      <c r="B7" s="2423"/>
      <c r="C7" s="2424"/>
      <c r="D7" s="2051"/>
      <c r="E7" s="2051"/>
      <c r="F7" s="2055"/>
      <c r="G7" s="2055"/>
      <c r="H7" s="2055"/>
      <c r="I7" s="2055"/>
      <c r="J7" s="2055"/>
      <c r="K7" s="2055"/>
      <c r="L7" s="2055"/>
      <c r="M7" s="2055"/>
      <c r="N7" s="2055"/>
      <c r="O7" s="2051"/>
      <c r="P7" s="2055"/>
      <c r="Q7" s="2055"/>
      <c r="R7" s="2055"/>
      <c r="S7" s="2055"/>
      <c r="T7" s="2055"/>
      <c r="U7" s="2055"/>
      <c r="V7" s="2055"/>
      <c r="W7" s="2055"/>
      <c r="X7" s="2055"/>
      <c r="Y7" s="2052"/>
      <c r="Z7" s="2053"/>
      <c r="AA7" s="2054"/>
      <c r="AB7" s="2054"/>
    </row>
    <row customHeight="1" ht="15">
      <c r="A8" s="2050"/>
      <c r="B8" s="2423"/>
      <c r="C8" s="2424"/>
      <c r="D8" s="2056"/>
      <c r="E8" s="2057" t="s">
        <v>4</v>
      </c>
      <c r="F8" s="2426" t="s">
        <v>5</v>
      </c>
      <c r="G8" s="2427"/>
      <c r="H8" s="2427"/>
      <c r="I8" s="2427"/>
      <c r="J8" s="2427"/>
      <c r="K8" s="2427"/>
      <c r="L8" s="2427"/>
      <c r="M8" s="2427"/>
      <c r="N8" s="2056"/>
      <c r="O8" s="2058" t="s">
        <v>4</v>
      </c>
      <c r="P8" s="2428" t="s">
        <v>6</v>
      </c>
      <c r="Q8" s="2429"/>
      <c r="R8" s="2429"/>
      <c r="S8" s="2429"/>
      <c r="T8" s="2429"/>
      <c r="U8" s="2429"/>
      <c r="V8" s="2429"/>
      <c r="W8" s="2429"/>
      <c r="X8" s="2429"/>
      <c r="Y8" s="2052"/>
      <c r="Z8" s="2053"/>
      <c r="AA8" s="2054"/>
      <c r="AB8" s="2054"/>
    </row>
    <row customHeight="1" ht="15">
      <c r="A9" s="2050"/>
      <c r="B9" s="2423"/>
      <c r="C9" s="2424"/>
      <c r="D9" s="2056"/>
      <c r="E9" s="2059" t="s">
        <v>4</v>
      </c>
      <c r="F9" s="2426" t="s">
        <v>7</v>
      </c>
      <c r="G9" s="2427"/>
      <c r="H9" s="2427"/>
      <c r="I9" s="2427"/>
      <c r="J9" s="2427"/>
      <c r="K9" s="2427"/>
      <c r="L9" s="2427"/>
      <c r="M9" s="2427"/>
      <c r="N9" s="2056"/>
      <c r="O9" s="2060" t="s">
        <v>4</v>
      </c>
      <c r="P9" s="2428" t="s">
        <v>8</v>
      </c>
      <c r="Q9" s="2429"/>
      <c r="R9" s="2429"/>
      <c r="S9" s="2429"/>
      <c r="T9" s="2429"/>
      <c r="U9" s="2429"/>
      <c r="V9" s="2429"/>
      <c r="W9" s="2429"/>
      <c r="X9" s="2429"/>
      <c r="Y9" s="2052"/>
      <c r="Z9" s="2053"/>
      <c r="AA9" s="2054"/>
      <c r="AB9" s="2054"/>
    </row>
    <row customHeight="1" ht="30">
      <c r="A10" s="2050"/>
      <c r="B10" s="2423"/>
      <c r="C10" s="2425"/>
      <c r="D10" s="2061"/>
      <c r="E10" s="2062"/>
      <c r="F10" s="2055"/>
      <c r="G10" s="2055"/>
      <c r="H10" s="2055"/>
      <c r="I10" s="2055"/>
      <c r="J10" s="2055"/>
      <c r="K10" s="2055"/>
      <c r="L10" s="2055"/>
      <c r="M10" s="2055"/>
      <c r="N10" s="2055"/>
      <c r="O10" s="2062"/>
      <c r="P10" s="2055"/>
      <c r="Q10" s="2055"/>
      <c r="R10" s="2055"/>
      <c r="S10" s="2055"/>
      <c r="T10" s="2055"/>
      <c r="U10" s="2055"/>
      <c r="V10" s="2055"/>
      <c r="W10" s="2055"/>
      <c r="X10" s="2055"/>
      <c r="Y10" s="2052"/>
      <c r="Z10" s="2053"/>
      <c r="AA10" s="2054"/>
      <c r="AB10" s="2054"/>
    </row>
    <row customHeight="1" ht="19.5">
      <c r="A11" s="2050"/>
      <c r="B11" s="2430" t="s">
        <v>9</v>
      </c>
      <c r="C11" s="2431"/>
      <c r="D11" s="2056"/>
      <c r="E11" s="2063"/>
      <c r="F11" s="2063"/>
      <c r="G11" s="2063"/>
      <c r="H11" s="2063"/>
      <c r="I11" s="2063"/>
      <c r="J11" s="2063"/>
      <c r="K11" s="2063"/>
      <c r="L11" s="2063"/>
      <c r="M11" s="2063"/>
      <c r="N11" s="2063"/>
      <c r="O11" s="2063"/>
      <c r="P11" s="2063"/>
      <c r="Q11" s="2063"/>
      <c r="R11" s="2063"/>
      <c r="S11" s="2063"/>
      <c r="T11" s="2063"/>
      <c r="U11" s="2063"/>
      <c r="V11" s="2063"/>
      <c r="W11" s="2063"/>
      <c r="X11" s="2063"/>
      <c r="Y11" s="2052"/>
      <c r="Z11" s="2053"/>
      <c r="AA11" s="2054"/>
      <c r="AB11" s="2054"/>
    </row>
    <row customHeight="1" ht="69">
      <c r="A12" s="2050"/>
      <c r="B12" s="2423"/>
      <c r="C12" s="2425"/>
      <c r="D12" s="2064"/>
      <c r="E12" s="2427" t="s">
        <v>10</v>
      </c>
      <c r="F12" s="2427"/>
      <c r="G12" s="2427"/>
      <c r="H12" s="2427"/>
      <c r="I12" s="2427"/>
      <c r="J12" s="2427"/>
      <c r="K12" s="2427"/>
      <c r="L12" s="2427"/>
      <c r="M12" s="2427"/>
      <c r="N12" s="2427"/>
      <c r="O12" s="2427"/>
      <c r="P12" s="2427"/>
      <c r="Q12" s="2427"/>
      <c r="R12" s="2427"/>
      <c r="S12" s="2427"/>
      <c r="T12" s="2427"/>
      <c r="U12" s="2427"/>
      <c r="V12" s="2427"/>
      <c r="W12" s="2427"/>
      <c r="X12" s="2427"/>
      <c r="Y12" s="2052"/>
      <c r="Z12" s="2053"/>
      <c r="AA12" s="2054"/>
      <c r="AB12" s="2054"/>
    </row>
    <row customHeight="1" ht="15">
      <c r="A13" s="2050"/>
      <c r="B13" s="2430" t="s">
        <v>11</v>
      </c>
      <c r="C13" s="2431"/>
      <c r="D13" s="2051"/>
      <c r="E13" s="2063"/>
      <c r="F13" s="2063"/>
      <c r="G13" s="2063"/>
      <c r="H13" s="2063"/>
      <c r="I13" s="2063"/>
      <c r="J13" s="2063"/>
      <c r="K13" s="2063"/>
      <c r="L13" s="2063"/>
      <c r="M13" s="2063"/>
      <c r="N13" s="2063"/>
      <c r="O13" s="2063"/>
      <c r="P13" s="2063"/>
      <c r="Q13" s="2063"/>
      <c r="R13" s="2063"/>
      <c r="S13" s="2063"/>
      <c r="T13" s="2063"/>
      <c r="U13" s="2063"/>
      <c r="V13" s="2063"/>
      <c r="W13" s="2063"/>
      <c r="X13" s="2063"/>
      <c r="Y13" s="2052"/>
      <c r="Z13" s="2053"/>
      <c r="AA13" s="2054"/>
      <c r="AB13" s="2054"/>
    </row>
    <row customHeight="1" ht="57">
      <c r="A14" s="2050"/>
      <c r="B14" s="2423"/>
      <c r="C14" s="2424"/>
      <c r="D14" s="2056"/>
      <c r="E14" s="2434" t="s">
        <v>12</v>
      </c>
      <c r="F14" s="2434"/>
      <c r="G14" s="2434"/>
      <c r="H14" s="2434"/>
      <c r="I14" s="2434"/>
      <c r="J14" s="2434"/>
      <c r="K14" s="2434"/>
      <c r="L14" s="2434"/>
      <c r="M14" s="2434"/>
      <c r="N14" s="2434"/>
      <c r="O14" s="2434"/>
      <c r="P14" s="2434"/>
      <c r="Q14" s="2434"/>
      <c r="R14" s="2434"/>
      <c r="S14" s="2434"/>
      <c r="T14" s="2434"/>
      <c r="U14" s="2434"/>
      <c r="V14" s="2434"/>
      <c r="W14" s="2434"/>
      <c r="X14" s="2434"/>
      <c r="Y14" s="2052"/>
      <c r="Z14" s="2053"/>
      <c r="AA14" s="2054"/>
      <c r="AB14" s="2054"/>
    </row>
    <row customHeight="1" ht="16.5">
      <c r="A15" s="2050"/>
      <c r="B15" s="2432"/>
      <c r="C15" s="2433"/>
      <c r="D15" s="2065"/>
      <c r="E15" s="2066"/>
      <c r="F15" s="2066"/>
      <c r="G15" s="2066"/>
      <c r="H15" s="2066"/>
      <c r="I15" s="2066"/>
      <c r="J15" s="2066"/>
      <c r="K15" s="2066"/>
      <c r="L15" s="2066"/>
      <c r="M15" s="2066"/>
      <c r="N15" s="2066"/>
      <c r="O15" s="2066"/>
      <c r="P15" s="2066"/>
      <c r="Q15" s="2066"/>
      <c r="R15" s="2066"/>
      <c r="S15" s="2066"/>
      <c r="T15" s="2066"/>
      <c r="U15" s="2066"/>
      <c r="V15" s="2066"/>
      <c r="W15" s="2066"/>
      <c r="X15" s="2066"/>
      <c r="Y15" s="2067"/>
      <c r="Z15" s="2053"/>
      <c r="AA15" s="2068"/>
      <c r="AB15" s="2054"/>
    </row>
    <row customHeight="1" ht="95.25">
      <c r="A16" s="2042"/>
      <c r="B16" s="2434"/>
      <c r="C16" s="2435"/>
      <c r="D16" s="2435"/>
      <c r="E16" s="2435"/>
      <c r="F16" s="2435"/>
      <c r="G16" s="2435"/>
      <c r="H16" s="2435"/>
      <c r="I16" s="2435"/>
      <c r="J16" s="2435"/>
      <c r="K16" s="2435"/>
      <c r="L16" s="2435"/>
      <c r="M16" s="2435"/>
      <c r="N16" s="2435"/>
      <c r="O16" s="2435"/>
      <c r="P16" s="2435"/>
      <c r="Q16" s="2435"/>
      <c r="R16" s="2435"/>
      <c r="S16" s="2435"/>
      <c r="T16" s="2435"/>
      <c r="U16" s="2435"/>
      <c r="V16" s="2435"/>
      <c r="W16" s="2435"/>
      <c r="X16" s="2435"/>
      <c r="Y16" s="2435"/>
      <c r="Z16" s="2042"/>
      <c r="AA16" s="2044"/>
      <c r="AB16" s="2042"/>
    </row>
    <row customHeight="1" ht="14.25">
      <c r="A17" s="2042"/>
      <c r="B17" s="2042"/>
      <c r="C17" s="2042"/>
      <c r="D17" s="2042"/>
      <c r="E17" s="2042"/>
      <c r="F17" s="2042"/>
      <c r="G17" s="2042"/>
      <c r="H17" s="2042"/>
      <c r="I17" s="2042"/>
      <c r="J17" s="2042"/>
      <c r="K17" s="2042"/>
      <c r="L17" s="2042"/>
      <c r="M17" s="2042"/>
      <c r="N17" s="2042"/>
      <c r="O17" s="2042"/>
      <c r="P17" s="2042"/>
      <c r="Q17" s="2042"/>
      <c r="R17" s="2042"/>
      <c r="S17" s="2042"/>
      <c r="T17" s="2042"/>
      <c r="U17" s="2042"/>
      <c r="V17" s="2042"/>
      <c r="W17" s="2042"/>
      <c r="X17" s="2042"/>
      <c r="Y17" s="2043"/>
      <c r="Z17" s="2042"/>
      <c r="AA17" s="2044"/>
      <c r="AB17" s="2042"/>
    </row>
    <row customHeight="1" ht="14.25">
      <c r="A18" s="2042"/>
      <c r="B18" s="2042"/>
      <c r="C18" s="2042"/>
      <c r="D18" s="2042"/>
      <c r="E18" s="2042"/>
      <c r="F18" s="2042"/>
      <c r="G18" s="2042"/>
      <c r="H18" s="2042"/>
      <c r="I18" s="2042"/>
      <c r="J18" s="2042"/>
      <c r="K18" s="2042"/>
      <c r="L18" s="2042"/>
      <c r="M18" s="2042"/>
      <c r="N18" s="2042"/>
      <c r="O18" s="2042"/>
      <c r="P18" s="2042"/>
      <c r="Q18" s="2042"/>
      <c r="R18" s="2042"/>
      <c r="S18" s="2042"/>
      <c r="T18" s="2042"/>
      <c r="U18" s="2042"/>
      <c r="V18" s="2042"/>
      <c r="W18" s="2042"/>
      <c r="X18" s="2042"/>
      <c r="Y18" s="2043"/>
      <c r="Z18" s="2042"/>
      <c r="AA18" s="2044"/>
      <c r="AB18" s="2042"/>
    </row>
    <row customHeight="1" ht="14.25">
      <c r="A19" s="2042"/>
      <c r="B19" s="2042"/>
      <c r="C19" s="2042"/>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3"/>
      <c r="Z19" s="2042"/>
      <c r="AA19" s="2044"/>
      <c r="AB19" s="2042"/>
    </row>
    <row customHeight="1" ht="14.25">
      <c r="A20" s="2042"/>
      <c r="B20" s="2042"/>
      <c r="C20" s="2042"/>
      <c r="D20" s="2042"/>
      <c r="E20" s="2042"/>
      <c r="F20" s="2042"/>
      <c r="G20" s="2042"/>
      <c r="H20" s="2042"/>
      <c r="I20" s="2042"/>
      <c r="J20" s="2042"/>
      <c r="K20" s="2042"/>
      <c r="L20" s="2042"/>
      <c r="M20" s="2042"/>
      <c r="N20" s="2042"/>
      <c r="O20" s="2042"/>
      <c r="P20" s="2042"/>
      <c r="Q20" s="2042"/>
      <c r="R20" s="2042"/>
      <c r="S20" s="2042"/>
      <c r="T20" s="2042"/>
      <c r="U20" s="2042"/>
      <c r="V20" s="2042"/>
      <c r="W20" s="2042"/>
      <c r="X20" s="2042"/>
      <c r="Y20" s="2043"/>
      <c r="Z20" s="2042"/>
      <c r="AA20" s="2044"/>
      <c r="AB20" s="2042"/>
    </row>
    <row customHeight="1" ht="14.25">
      <c r="A21" s="2042"/>
      <c r="B21" s="2042"/>
      <c r="C21" s="2042"/>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3"/>
      <c r="Z21" s="2042"/>
      <c r="AA21" s="2044"/>
      <c r="AB21" s="2042"/>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8C283D-AB5C-FDE7-C3FC-2A0D0A97934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7203" width="9.140625" hidden="1" customWidth="1"/>
    <col min="2" max="3" style="17239" width="9.140625" hidden="1" customWidth="1"/>
    <col min="4" max="4" style="17404" width="3.00390625" customWidth="1"/>
    <col min="5" max="5" style="17239" width="6.00390625" customWidth="1"/>
    <col min="6" max="6" style="17239" width="1.7109375" hidden="1" customWidth="1"/>
    <col min="7" max="8" style="17239" width="30.00390625" customWidth="1"/>
    <col min="9" max="9" style="17239" width="8.00390625" customWidth="1"/>
    <col min="10" max="10" style="17239" width="12.140625" customWidth="1"/>
    <col min="11" max="11" style="17239" width="46.00390625" customWidth="1"/>
    <col min="12" max="12" style="17239" width="100.00390625" customWidth="1"/>
    <col min="13" max="13" style="17331" width="7.00390625" customWidth="1"/>
    <col min="14" max="22" style="17239" width="10.00390625" customWidth="1"/>
    <col min="23" max="23" style="17239" width="10.57421875" hidden="1"/>
  </cols>
  <sheetData>
    <row s="17316" customFormat="1" customHeight="1" ht="5.25" hidden="1">
      <c r="C1" s="852"/>
      <c r="D1" s="835"/>
      <c r="F1" s="852"/>
      <c r="G1" s="830" t="s">
        <v>83</v>
      </c>
      <c r="H1" s="830" t="s">
        <v>84</v>
      </c>
      <c r="I1" s="830" t="s">
        <v>85</v>
      </c>
      <c r="P1" s="830" t="s">
        <v>83</v>
      </c>
      <c r="Q1" s="830" t="s">
        <v>84</v>
      </c>
      <c r="R1" s="830" t="s">
        <v>85</v>
      </c>
      <c r="W1" s="830" t="s">
        <v>14</v>
      </c>
    </row>
    <row s="17316" customFormat="1" customHeight="1" ht="5.25" hidden="1">
      <c r="C2" s="852"/>
      <c r="D2" s="835"/>
      <c r="F2" s="852"/>
      <c r="W2" s="830">
        <v>0</v>
      </c>
    </row>
    <row s="17214" customFormat="1" customHeight="1" ht="5.25">
      <c r="A3" s="820"/>
      <c r="D3" s="827"/>
      <c r="E3" s="822"/>
      <c r="F3" s="822"/>
      <c r="G3" s="822"/>
      <c r="H3" s="822"/>
      <c r="I3" s="823"/>
      <c r="J3" s="824"/>
      <c r="K3" s="824"/>
      <c r="L3" s="824"/>
      <c r="W3" s="821">
        <v>5</v>
      </c>
    </row>
    <row customHeight="1" ht="23.25">
      <c r="D4" s="791"/>
      <c r="E4" s="2579" t="s">
        <v>383</v>
      </c>
      <c r="F4" s="2579"/>
      <c r="G4" s="2580"/>
      <c r="H4" s="2580"/>
      <c r="I4" s="2581"/>
      <c r="J4" s="832"/>
      <c r="K4" s="794"/>
      <c r="L4" s="794"/>
      <c r="W4" s="788">
        <v>22</v>
      </c>
    </row>
    <row s="17239" customFormat="1" customHeight="1" ht="18">
      <c r="A5" s="1100"/>
      <c r="D5" s="1163"/>
      <c r="E5" s="2555" t="str">
        <f>IF(org=0,"Не определено",org)</f>
        <v>АО "ДГК"</v>
      </c>
      <c r="F5" s="2555"/>
      <c r="G5" s="2556"/>
      <c r="H5" s="2556"/>
      <c r="I5" s="2557"/>
      <c r="J5" s="832"/>
      <c r="K5" s="794"/>
      <c r="L5" s="794"/>
      <c r="M5" s="848"/>
      <c r="W5" s="1099">
        <v>17</v>
      </c>
    </row>
    <row s="17214" customFormat="1" customHeight="1" ht="11.549999999999999">
      <c r="A6" s="820"/>
      <c r="D6" s="827"/>
      <c r="E6" s="822"/>
      <c r="F6" s="822"/>
      <c r="G6" s="825"/>
      <c r="H6" s="825"/>
      <c r="I6" s="826"/>
      <c r="J6" s="826"/>
      <c r="K6" s="1093"/>
      <c r="L6" s="826"/>
      <c r="W6" s="821">
        <v>11</v>
      </c>
    </row>
    <row customHeight="1" ht="14.699999999999998">
      <c r="D7" s="791"/>
      <c r="E7" s="2549" t="s">
        <v>295</v>
      </c>
      <c r="F7" s="2549"/>
      <c r="G7" s="2550"/>
      <c r="H7" s="2550"/>
      <c r="I7" s="2550"/>
      <c r="J7" s="2550"/>
      <c r="K7" s="2550"/>
      <c r="L7" s="2564" t="s">
        <v>296</v>
      </c>
      <c r="W7" s="788">
        <v>14</v>
      </c>
    </row>
    <row customHeight="1" ht="48.29999999999999">
      <c r="D8" s="791"/>
      <c r="E8" s="814" t="s">
        <v>88</v>
      </c>
      <c r="F8" s="1164"/>
      <c r="G8" s="806" t="s">
        <v>86</v>
      </c>
      <c r="H8" s="806" t="s">
        <v>87</v>
      </c>
      <c r="I8" s="755" t="s">
        <v>85</v>
      </c>
      <c r="J8" s="755" t="s">
        <v>384</v>
      </c>
      <c r="K8" s="755" t="s">
        <v>385</v>
      </c>
      <c r="L8" s="2564"/>
      <c r="W8" s="788">
        <v>46</v>
      </c>
    </row>
    <row customHeight="1" ht="12" hidden="1">
      <c r="D9" s="828"/>
      <c r="E9" s="834"/>
      <c r="F9" s="1171"/>
      <c r="G9" s="834"/>
      <c r="H9" s="834"/>
      <c r="I9" s="834"/>
      <c r="J9" s="834"/>
      <c r="K9" s="834"/>
      <c r="L9" s="834"/>
      <c r="M9" s="788"/>
      <c r="W9" s="788">
        <v>0</v>
      </c>
    </row>
    <row customHeight="1" ht="14.25" hidden="1">
      <c r="A10" s="846"/>
      <c r="B10" s="846"/>
      <c r="D10" s="847"/>
      <c r="E10" s="853">
        <v>0</v>
      </c>
      <c r="F10" s="1162"/>
      <c r="G10" s="849"/>
      <c r="H10" s="849"/>
      <c r="I10" s="849"/>
      <c r="J10" s="849"/>
      <c r="K10" s="849"/>
      <c r="L10" s="2562" t="s">
        <v>386</v>
      </c>
      <c r="M10" s="848"/>
      <c r="N10" s="846"/>
      <c r="O10" s="846"/>
      <c r="P10" s="846"/>
      <c r="Q10" s="846"/>
      <c r="R10" s="846"/>
      <c r="S10" s="846"/>
      <c r="T10" s="846"/>
      <c r="U10" s="846"/>
      <c r="V10" s="846"/>
      <c r="W10" s="788">
        <v>0</v>
      </c>
    </row>
    <row customHeight="1" ht="15" hidden="1">
      <c r="A11" s="2440"/>
      <c r="B11" s="845"/>
      <c r="C11" s="845"/>
      <c r="D11" s="1206"/>
      <c r="E11" s="854"/>
      <c r="F11" s="854"/>
      <c r="G11" s="854"/>
      <c r="H11" s="854"/>
      <c r="I11" s="855"/>
      <c r="J11" s="856"/>
      <c r="K11" s="1054"/>
      <c r="L11" s="2582"/>
      <c r="M11" s="852"/>
      <c r="N11" s="852"/>
      <c r="O11" s="852"/>
      <c r="P11" s="857"/>
      <c r="Q11" s="857"/>
      <c r="R11" s="858"/>
      <c r="S11" s="852"/>
      <c r="T11" s="852"/>
      <c r="U11" s="852"/>
      <c r="V11" s="852"/>
      <c r="W11" s="788">
        <v>0</v>
      </c>
    </row>
    <row s="17214" customFormat="1" customHeight="1" ht="15">
      <c r="A12" s="2440"/>
      <c r="B12" s="845"/>
      <c r="C12" s="845"/>
      <c r="D12" s="1207"/>
      <c r="E12" s="1164">
        <v>1</v>
      </c>
      <c r="F12" s="1205">
        <v>23</v>
      </c>
      <c r="G12" s="1204"/>
      <c r="H12" s="1134"/>
      <c r="I12" s="1132"/>
      <c r="J12" s="861" t="s">
        <v>65</v>
      </c>
      <c r="K12" s="1505" t="s">
        <v>22</v>
      </c>
      <c r="L12" s="2582"/>
      <c r="M12" s="852"/>
      <c r="N12" s="852"/>
      <c r="O12" s="852"/>
      <c r="P12" s="857" t="s">
        <v>387</v>
      </c>
      <c r="Q12" s="857" t="s">
        <v>388</v>
      </c>
      <c r="R12" s="858" t="s">
        <v>389</v>
      </c>
      <c r="S12" s="852" t="s">
        <v>390</v>
      </c>
      <c r="T12" s="852"/>
      <c r="U12" s="852"/>
      <c r="V12" s="852"/>
      <c r="W12" s="821">
        <v>14</v>
      </c>
    </row>
    <row customHeight="1" ht="15.75">
      <c r="A13" s="2440"/>
      <c r="B13" s="846"/>
      <c r="D13" s="847"/>
      <c r="E13" s="746"/>
      <c r="F13" s="870"/>
      <c r="G13" s="757" t="s">
        <v>99</v>
      </c>
      <c r="H13" s="745"/>
      <c r="I13" s="745"/>
      <c r="J13" s="745"/>
      <c r="K13" s="744"/>
      <c r="L13" s="2563"/>
      <c r="M13" s="850"/>
      <c r="N13" s="846"/>
      <c r="O13" s="846"/>
      <c r="P13" s="846"/>
      <c r="Q13" s="846"/>
      <c r="R13" s="846"/>
      <c r="S13" s="846"/>
      <c r="T13" s="846"/>
      <c r="U13" s="846"/>
      <c r="V13" s="846"/>
      <c r="W13" s="788">
        <v>15</v>
      </c>
    </row>
    <row customHeight="1" ht="11.549999999999999">
      <c r="A14" s="820"/>
      <c r="B14" s="821"/>
      <c r="C14" s="821"/>
      <c r="D14" s="836"/>
      <c r="E14" s="821"/>
      <c r="F14" s="821"/>
      <c r="G14" s="821"/>
      <c r="H14" s="821"/>
      <c r="I14" s="821"/>
      <c r="J14" s="821"/>
      <c r="K14" s="821"/>
      <c r="L14" s="821"/>
      <c r="M14" s="821"/>
      <c r="N14" s="821"/>
      <c r="O14" s="821"/>
      <c r="P14" s="821"/>
      <c r="Q14" s="821"/>
      <c r="R14" s="821"/>
      <c r="S14" s="821"/>
      <c r="T14" s="821"/>
      <c r="U14" s="821"/>
      <c r="V14" s="821"/>
      <c r="W14" s="788">
        <v>11</v>
      </c>
    </row>
    <row customHeight="1" ht="14.699999999999998">
      <c r="D15" s="807"/>
      <c r="E15" s="677"/>
      <c r="F15" s="677"/>
      <c r="G15" s="100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807"/>
      <c r="I15" s="807"/>
      <c r="J15" s="807"/>
      <c r="K15" s="807"/>
      <c r="L15" s="807"/>
      <c r="W15" s="788">
        <v>14</v>
      </c>
    </row>
    <row customHeight="1" ht="14.699999999999998">
      <c r="W16" s="788">
        <v>14</v>
      </c>
    </row>
    <row customHeight="1" ht="14.699999999999998">
      <c r="W17" s="788">
        <v>14</v>
      </c>
    </row>
    <row customHeight="1" ht="14.699999999999998">
      <c r="G18" s="846"/>
      <c r="W18" s="788">
        <v>14</v>
      </c>
    </row>
    <row customHeight="1" ht="22.5" hidden="1">
      <c r="A19" s="790" t="s">
        <v>82</v>
      </c>
      <c r="B19" s="788">
        <v>0</v>
      </c>
      <c r="C19" s="1099">
        <v>0</v>
      </c>
      <c r="D19" s="792">
        <v>3</v>
      </c>
      <c r="E19" s="788">
        <v>6</v>
      </c>
      <c r="F19" s="1099">
        <v>0</v>
      </c>
      <c r="G19" s="788">
        <v>30</v>
      </c>
      <c r="H19" s="788">
        <v>30</v>
      </c>
      <c r="I19" s="788">
        <v>8</v>
      </c>
      <c r="J19" s="788">
        <v>12</v>
      </c>
      <c r="K19" s="788">
        <v>46</v>
      </c>
      <c r="L19" s="788">
        <v>100</v>
      </c>
      <c r="M19" s="793">
        <v>7</v>
      </c>
      <c r="N19" s="788">
        <v>10</v>
      </c>
      <c r="O19" s="788">
        <v>10</v>
      </c>
      <c r="P19" s="788">
        <v>10</v>
      </c>
      <c r="Q19" s="788">
        <v>10</v>
      </c>
      <c r="R19" s="788">
        <v>10</v>
      </c>
      <c r="S19" s="788">
        <v>10</v>
      </c>
      <c r="T19" s="788">
        <v>10</v>
      </c>
      <c r="U19" s="788">
        <v>10</v>
      </c>
      <c r="V19" s="788">
        <v>10</v>
      </c>
      <c r="W19" s="788">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9029D7-9805-89EE-02CD-B7648AE1C17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2" style="17239" width="24.7109375" hidden="1" customWidth="1"/>
    <col min="23" max="23" style="17239" width="0.140625" hidden="1" customWidth="1"/>
    <col min="24" max="25" style="17239" width="24.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24.7109375" customWidth="1"/>
    <col min="31" max="31" style="17239" width="0.140625" customWidth="1"/>
    <col min="32" max="33" style="17239" width="24.00390625" customWidth="1"/>
    <col min="34" max="34" style="17239" width="11.00390625" customWidth="1"/>
    <col min="35" max="35" style="17239" width="3.7109375" customWidth="1"/>
    <col min="36" max="36" style="17239" width="11.00390625" customWidth="1"/>
    <col min="37" max="37" style="17239" width="8.57421875" hidden="1" customWidth="1"/>
    <col min="38" max="38" style="17239" width="4.00390625" customWidth="1"/>
    <col min="39" max="39" style="17239" width="115.00390625" customWidth="1"/>
    <col min="40" max="44" style="17316" width="10.00390625" customWidth="1"/>
    <col min="45" max="45" style="17239" width="10.57421875" hidden="1"/>
  </cols>
  <sheetData>
    <row customHeight="1" ht="22.5" hidden="1">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50">
        <f>INDEX(PT_DIFFERENTIATION_NUM_NTAR,MATCH(A2,PT_DIFFERENTIATION_NTAR_ID,0))</f>
      </c>
      <c r="T2" s="639" t="s">
        <v>120</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391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45"/>
      <c r="Q3" s="693"/>
      <c r="R3" s="694"/>
      <c r="S3" s="1650">
        <f>INDEX(PT_DIFFERENTIATION_NUM_TER,MATCH(B3,PT_DIFFERENTIATION_TER_ID,0))</f>
      </c>
      <c r="T3" s="649" t="s">
        <v>392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393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1650">
        <f>INDEX(PT_DIFFERENTIATION_NUM_CS,MATCH(C4,PT_DIFFERENTIATION_CS_ID,0))</f>
      </c>
      <c r="T4" s="650" t="s">
        <v>394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395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694"/>
      <c r="S5" s="1650">
        <f>INDEX(PT_DIFFERENTIATION_NUM_IST_TE,MATCH(D5,PT_DIFFERENTIATION_IST_TE_ID,0))</f>
      </c>
      <c r="T5" s="651" t="s">
        <v>396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397</v>
      </c>
      <c r="AO5" s="841"/>
      <c r="AP5" s="841" t="str">
        <f>IF(T5="","",T5)</f>
        <v>Источник тепловой энергии  </v>
      </c>
      <c r="AQ5" s="841"/>
      <c r="AR5" s="841"/>
      <c r="AS5" s="1496">
        <v>0</v>
      </c>
    </row>
    <row customHeight="1" ht="47.25" hidden="1">
      <c r="A6" s="1704"/>
      <c r="B6" s="1704"/>
      <c r="C6" s="1704"/>
      <c r="D6" s="1704"/>
      <c r="E6" s="2600"/>
      <c r="F6" s="2600"/>
      <c r="G6" s="2600"/>
      <c r="H6" s="2600"/>
      <c r="I6" s="2597">
        <f>S5&amp;".1"</f>
      </c>
      <c r="J6" s="1704"/>
      <c r="K6" s="1704"/>
      <c r="L6" s="1705" t="s">
        <v>398</v>
      </c>
      <c r="M6" s="878"/>
      <c r="P6" s="2598">
        <v>1</v>
      </c>
      <c r="Q6" s="1646"/>
      <c r="R6" s="697"/>
      <c r="S6" s="1650">
        <f>$I6</f>
      </c>
      <c r="T6" s="626" t="s">
        <v>399</v>
      </c>
      <c r="U6" s="641"/>
      <c r="V6" s="2586"/>
      <c r="W6" s="2587"/>
      <c r="X6" s="2587"/>
      <c r="Y6" s="2587"/>
      <c r="Z6" s="2587"/>
      <c r="AA6" s="2587"/>
      <c r="AB6" s="2587"/>
      <c r="AC6" s="2588"/>
      <c r="AD6" s="2586"/>
      <c r="AE6" s="2587"/>
      <c r="AF6" s="2587"/>
      <c r="AG6" s="2587"/>
      <c r="AH6" s="2587"/>
      <c r="AI6" s="2587"/>
      <c r="AJ6" s="2587"/>
      <c r="AK6" s="2587"/>
      <c r="AL6" s="2588"/>
      <c r="AM6" s="1599" t="s">
        <v>400</v>
      </c>
      <c r="AO6" s="841"/>
      <c r="AP6" s="841" t="str">
        <f>IF(T6="","",T6)</f>
        <v>Схема подключения теплопотребляющей установки к коллектору источника тепловой энергии</v>
      </c>
      <c r="AQ6" s="841"/>
      <c r="AR6" s="841"/>
      <c r="AS6" s="1496">
        <v>0</v>
      </c>
    </row>
    <row customHeight="1" ht="21" hidden="1">
      <c r="A7" s="1704"/>
      <c r="B7" s="1704"/>
      <c r="C7" s="1704"/>
      <c r="D7" s="1704"/>
      <c r="E7" s="2600"/>
      <c r="F7" s="2600"/>
      <c r="G7" s="2600"/>
      <c r="H7" s="2600"/>
      <c r="I7" s="2627"/>
      <c r="J7" s="2597">
        <f>I6&amp;".1"</f>
      </c>
      <c r="K7" s="1704"/>
      <c r="L7" s="1705" t="s">
        <v>401</v>
      </c>
      <c r="M7" s="878"/>
      <c r="N7" s="1707"/>
      <c r="P7" s="2598"/>
      <c r="Q7" s="2598">
        <v>1</v>
      </c>
      <c r="R7" s="698"/>
      <c r="S7" s="1650">
        <f>$J7</f>
      </c>
      <c r="T7" s="627" t="s">
        <v>402</v>
      </c>
      <c r="U7" s="641"/>
      <c r="V7" s="2586"/>
      <c r="W7" s="2587"/>
      <c r="X7" s="2587"/>
      <c r="Y7" s="2587"/>
      <c r="Z7" s="2587"/>
      <c r="AA7" s="2587"/>
      <c r="AB7" s="2587"/>
      <c r="AC7" s="2588"/>
      <c r="AD7" s="2586"/>
      <c r="AE7" s="2587"/>
      <c r="AF7" s="2587"/>
      <c r="AG7" s="2587"/>
      <c r="AH7" s="2587"/>
      <c r="AI7" s="2587"/>
      <c r="AJ7" s="2587"/>
      <c r="AK7" s="2587"/>
      <c r="AL7" s="2588"/>
      <c r="AM7" s="1599" t="s">
        <v>403</v>
      </c>
      <c r="AO7" s="841"/>
      <c r="AP7" s="841" t="str">
        <f>IF(T7="","",T7)</f>
        <v>Группа потребителей</v>
      </c>
      <c r="AQ7" s="841"/>
      <c r="AR7" s="841"/>
      <c r="AS7" s="1496">
        <v>0</v>
      </c>
    </row>
    <row customHeight="1" ht="21" hidden="1">
      <c r="A8" s="1704"/>
      <c r="B8" s="1704"/>
      <c r="C8" s="1704"/>
      <c r="D8" s="1704"/>
      <c r="E8" s="2600"/>
      <c r="F8" s="2600"/>
      <c r="G8" s="2600"/>
      <c r="H8" s="2600"/>
      <c r="I8" s="2627"/>
      <c r="J8" s="2627"/>
      <c r="K8" s="2597">
        <f>J7&amp;".1"</f>
      </c>
      <c r="L8" s="1705" t="s">
        <v>404</v>
      </c>
      <c r="M8" s="878"/>
      <c r="N8" s="1707"/>
      <c r="O8" s="1707"/>
      <c r="P8" s="2598"/>
      <c r="Q8" s="2598"/>
      <c r="R8" s="698">
        <v>1</v>
      </c>
      <c r="S8" s="1650">
        <f>$K8</f>
      </c>
      <c r="T8" s="1688"/>
      <c r="U8" s="641"/>
      <c r="V8" s="1092"/>
      <c r="W8" s="666"/>
      <c r="X8" s="1092"/>
      <c r="Y8" s="1598"/>
      <c r="Z8" s="2606"/>
      <c r="AA8" s="2448" t="s">
        <v>65</v>
      </c>
      <c r="AB8" s="2606"/>
      <c r="AC8" s="2448" t="s">
        <v>65</v>
      </c>
      <c r="AD8" s="1092"/>
      <c r="AE8" s="666"/>
      <c r="AF8" s="1092"/>
      <c r="AG8" s="1598"/>
      <c r="AH8" s="2606"/>
      <c r="AI8" s="2448" t="s">
        <v>65</v>
      </c>
      <c r="AJ8" s="2606"/>
      <c r="AK8" s="2448" t="s">
        <v>65</v>
      </c>
      <c r="AL8" s="666"/>
      <c r="AM8" s="2594" t="s">
        <v>405</v>
      </c>
      <c r="AN8" s="852">
        <f>STRCHECKDATE(V9:AL9)</f>
      </c>
      <c r="AO8" s="841"/>
      <c r="AP8" s="841" t="str">
        <f>IF(T8="","",T8)</f>
        <v/>
      </c>
      <c r="AQ8" s="841"/>
      <c r="AR8" s="841"/>
      <c r="AS8" s="1496">
        <v>0</v>
      </c>
    </row>
    <row customHeight="1" ht="0.75" hidden="1">
      <c r="A9" s="1704"/>
      <c r="B9" s="1704"/>
      <c r="C9" s="1704"/>
      <c r="D9" s="1704"/>
      <c r="E9" s="2600"/>
      <c r="F9" s="2600"/>
      <c r="G9" s="2600"/>
      <c r="H9" s="2600"/>
      <c r="I9" s="2627"/>
      <c r="J9" s="2627"/>
      <c r="K9" s="2597"/>
      <c r="L9" s="1705"/>
      <c r="M9" s="878"/>
      <c r="N9" s="1707"/>
      <c r="O9" s="1707"/>
      <c r="P9" s="2598"/>
      <c r="Q9" s="2598"/>
      <c r="R9" s="698"/>
      <c r="S9" s="1647"/>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9" t="s">
        <v>406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5" hidden="1">
      <c r="A11" s="1704"/>
      <c r="B11" s="1704"/>
      <c r="C11" s="1704"/>
      <c r="D11" s="1704"/>
      <c r="E11" s="2600"/>
      <c r="F11" s="2600"/>
      <c r="G11" s="2600"/>
      <c r="H11" s="2600"/>
      <c r="I11" s="2597"/>
      <c r="J11" s="1704"/>
      <c r="K11" s="1704"/>
      <c r="L11" s="1705"/>
      <c r="M11" s="878"/>
      <c r="P11" s="2598"/>
      <c r="Q11" s="1646"/>
      <c r="R11" s="697"/>
      <c r="S11" s="1619"/>
      <c r="T11" s="628" t="s">
        <v>407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619"/>
      <c r="T12" s="706" t="s">
        <v>408</v>
      </c>
      <c r="U12" s="708"/>
      <c r="V12" s="708"/>
      <c r="W12" s="708"/>
      <c r="X12" s="708"/>
      <c r="Y12" s="708"/>
      <c r="Z12" s="708"/>
      <c r="AA12" s="708"/>
      <c r="AB12" s="708"/>
      <c r="AC12" s="707"/>
      <c r="AD12" s="708"/>
      <c r="AE12" s="708"/>
      <c r="AF12" s="708"/>
      <c r="AG12" s="708"/>
      <c r="AH12" s="708"/>
      <c r="AI12" s="708"/>
      <c r="AJ12" s="708"/>
      <c r="AK12" s="707"/>
      <c r="AL12" s="708"/>
      <c r="AM12" s="644"/>
      <c r="AO12" s="841"/>
      <c r="AP12" s="841" t="str">
        <f>IF(T12="","",T12)</f>
        <v>Добавить схему подключения</v>
      </c>
      <c r="AQ12" s="841"/>
      <c r="AR12" s="841"/>
      <c r="AS12" s="1496">
        <v>0</v>
      </c>
    </row>
    <row s="1731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409</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1731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410</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1731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411</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P17" s="1652"/>
      <c r="AD17" s="1701"/>
      <c r="AE17" s="1701"/>
      <c r="AF17" s="1701"/>
      <c r="AG17" s="1702"/>
      <c r="AH17" s="2608"/>
      <c r="AI17" s="2609" t="s">
        <v>65</v>
      </c>
      <c r="AJ17" s="2608"/>
      <c r="AK17" s="2609" t="s">
        <v>65</v>
      </c>
      <c r="AS17" s="1496">
        <v>0</v>
      </c>
    </row>
    <row customHeight="1" ht="14.25" hidden="1">
      <c r="P18" s="1652"/>
      <c r="AD18" s="1701"/>
      <c r="AE18" s="1701"/>
      <c r="AF18" s="1701"/>
      <c r="AG18" s="669" t="str">
        <f>AH17&amp;"-"&amp;AJ17</f>
        <v>-</v>
      </c>
      <c r="AH18" s="2609"/>
      <c r="AI18" s="2609"/>
      <c r="AJ18" s="2609"/>
      <c r="AK18" s="2609"/>
      <c r="AS18" s="1496">
        <v>0</v>
      </c>
    </row>
    <row customHeight="1" ht="14.25" hidden="1">
      <c r="P19" s="1652"/>
      <c r="AK19" s="668"/>
      <c r="AS19" s="1496">
        <v>0</v>
      </c>
    </row>
    <row s="17315" customFormat="1" customHeight="1" ht="22.5" hidden="1">
      <c r="L20" s="1670"/>
      <c r="M20" s="1703"/>
      <c r="N20" s="1703"/>
      <c r="O20" s="1708" t="s">
        <v>412</v>
      </c>
      <c r="P20" s="1703"/>
      <c r="Q20" s="1712"/>
      <c r="R20" s="1712"/>
      <c r="S20" s="1070"/>
      <c r="Z20" s="1708"/>
      <c r="AB20" s="1708"/>
      <c r="AC20" s="1707"/>
      <c r="AH20" s="1708"/>
      <c r="AJ20" s="1708"/>
      <c r="AK20" s="1707"/>
      <c r="AN20" s="852"/>
      <c r="AO20" s="852"/>
      <c r="AP20" s="852"/>
      <c r="AQ20" s="852"/>
      <c r="AR20" s="852"/>
      <c r="AS20" s="1501">
        <v>0</v>
      </c>
    </row>
    <row s="17315" customFormat="1" customHeight="1" ht="14.25" hidden="1">
      <c r="L21" s="1670"/>
      <c r="M21" s="1703"/>
      <c r="N21" s="1703"/>
      <c r="O21" s="1703"/>
      <c r="P21" s="1703"/>
      <c r="Q21" s="1712"/>
      <c r="R21" s="1712"/>
      <c r="S21" s="1070"/>
      <c r="AC21" s="1707"/>
      <c r="AK21" s="1707"/>
      <c r="AN21" s="852"/>
      <c r="AO21" s="852"/>
      <c r="AP21" s="852"/>
      <c r="AQ21" s="852"/>
      <c r="AR21" s="852"/>
      <c r="AS21" s="1501">
        <v>0</v>
      </c>
    </row>
    <row s="17315" customFormat="1" customHeight="1" ht="14.25" hidden="1">
      <c r="L22" s="1670"/>
      <c r="M22" s="1703"/>
      <c r="N22" s="1703"/>
      <c r="O22" s="1705" t="s">
        <v>413</v>
      </c>
      <c r="P22" s="1703"/>
      <c r="Q22" s="1712"/>
      <c r="R22" s="1712"/>
      <c r="S22" s="1070"/>
      <c r="T22" s="1501" t="s">
        <v>414</v>
      </c>
      <c r="AA22" s="527" t="s">
        <v>415</v>
      </c>
      <c r="AC22" s="527" t="s">
        <v>416</v>
      </c>
      <c r="AD22" s="1501" t="s">
        <v>414</v>
      </c>
      <c r="AI22" s="527" t="s">
        <v>417</v>
      </c>
      <c r="AK22" s="527" t="s">
        <v>416</v>
      </c>
      <c r="AN22" s="852"/>
      <c r="AO22" s="852"/>
      <c r="AP22" s="852"/>
      <c r="AQ22" s="852"/>
      <c r="AR22" s="852"/>
      <c r="AS22" s="1501">
        <v>0</v>
      </c>
    </row>
    <row customHeight="1" ht="14.25" hidden="1">
      <c r="O23" s="1705"/>
      <c r="P23" s="1652"/>
      <c r="AS23" s="1496">
        <v>0</v>
      </c>
    </row>
    <row customHeight="1" ht="14.25" hidden="1">
      <c r="O24" s="1705"/>
      <c r="P24" s="1652"/>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14.699999999999998">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S26" s="1496">
        <v>14</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17442" customFormat="1" customHeight="1" ht="25.5" hidden="1">
      <c r="A29" s="1709"/>
      <c r="B29" s="1709"/>
      <c r="C29" s="1709"/>
      <c r="D29" s="1709"/>
      <c r="E29" s="1709"/>
      <c r="F29" s="1709"/>
      <c r="G29" s="1709"/>
      <c r="H29" s="1709"/>
      <c r="I29" s="1709"/>
      <c r="J29" s="1709"/>
      <c r="K29" s="1709"/>
      <c r="L29" s="1710"/>
      <c r="M29" s="1709"/>
      <c r="N29" s="1709"/>
      <c r="O29" s="1709"/>
      <c r="S29" s="2591" t="s">
        <v>41</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418</v>
      </c>
      <c r="T30" s="2591"/>
      <c r="U30" s="1713"/>
      <c r="V30" s="2605" t="str">
        <f>IF(TITLE_DATE_PR_CHANGE="",IF(TITLE_DATE_PR="","",TITLE_DATE_PR),TITLE_DATE_PR_CHANGE)</f>
        <v/>
      </c>
      <c r="W30" s="2605"/>
      <c r="X30" s="2605"/>
      <c r="Y30" s="2605"/>
      <c r="Z30" s="2605"/>
      <c r="AA30" s="2605"/>
      <c r="AB30" s="2605"/>
      <c r="AC30" s="667"/>
      <c r="AD30" s="2605" t="str">
        <f>IF(TITLE_DATE_PR_CHANGE="",IF(TITLE_DATE_PR="","",TITLE_DATE_PR),TITLE_DATE_PR_CHANGE)</f>
        <v/>
      </c>
      <c r="AE30" s="2605"/>
      <c r="AF30" s="2605"/>
      <c r="AG30" s="2605"/>
      <c r="AH30" s="2605"/>
      <c r="AI30" s="2605"/>
      <c r="AJ30" s="2605"/>
      <c r="AK30" s="667"/>
      <c r="AL30" s="667"/>
      <c r="AM30" s="621"/>
      <c r="AN30" s="709"/>
      <c r="AO30" s="709"/>
      <c r="AP30" s="709"/>
      <c r="AQ30" s="709"/>
      <c r="AR30" s="709"/>
      <c r="AS30" s="759">
        <v>0</v>
      </c>
    </row>
    <row s="17442" customFormat="1" customHeight="1" ht="18.75" hidden="1">
      <c r="A31" s="1709"/>
      <c r="B31" s="1709"/>
      <c r="C31" s="1709"/>
      <c r="D31" s="1709"/>
      <c r="E31" s="1709"/>
      <c r="F31" s="1709"/>
      <c r="G31" s="1709"/>
      <c r="H31" s="1709"/>
      <c r="I31" s="1709"/>
      <c r="J31" s="1709"/>
      <c r="K31" s="1709"/>
      <c r="L31" s="1710"/>
      <c r="M31" s="1709"/>
      <c r="N31" s="1709"/>
      <c r="O31" s="1709"/>
      <c r="S31" s="2591" t="s">
        <v>419</v>
      </c>
      <c r="T31" s="2591"/>
      <c r="U31" s="1713"/>
      <c r="V31" s="2592" t="str">
        <f>IF(TITLE_NUMBER_PR_CHANGE="",IF(TITLE_NUMBER_PR="","",TITLE_NUMBER_PR),TITLE_NUMBER_PR_CHANGE)</f>
        <v/>
      </c>
      <c r="W31" s="2592"/>
      <c r="X31" s="2592"/>
      <c r="Y31" s="2592"/>
      <c r="Z31" s="2592"/>
      <c r="AA31" s="2592"/>
      <c r="AB31" s="2592"/>
      <c r="AC31" s="667"/>
      <c r="AD31" s="2592" t="str">
        <f>IF(TITLE_NUMBER_PR_CHANGE="",IF(TITLE_NUMBER_PR="","",TITLE_NUMBER_PR),TITLE_NUMBER_PR_CHANGE)</f>
        <v/>
      </c>
      <c r="AE31" s="2592"/>
      <c r="AF31" s="2592"/>
      <c r="AG31" s="2592"/>
      <c r="AH31" s="2592"/>
      <c r="AI31" s="2592"/>
      <c r="AJ31" s="2592"/>
      <c r="AK31" s="667"/>
      <c r="AL31" s="667"/>
      <c r="AM31" s="621"/>
      <c r="AN31" s="709"/>
      <c r="AO31" s="709"/>
      <c r="AP31" s="709"/>
      <c r="AQ31" s="709"/>
      <c r="AR31" s="709"/>
      <c r="AS31" s="759">
        <v>0</v>
      </c>
    </row>
    <row s="17442" customFormat="1" customHeight="1" ht="18.75" hidden="1">
      <c r="A32" s="1709"/>
      <c r="B32" s="1709"/>
      <c r="C32" s="1709"/>
      <c r="D32" s="1709"/>
      <c r="E32" s="1709"/>
      <c r="F32" s="1709"/>
      <c r="G32" s="1709"/>
      <c r="H32" s="1709"/>
      <c r="I32" s="1709"/>
      <c r="J32" s="1709"/>
      <c r="K32" s="1709"/>
      <c r="L32" s="1710"/>
      <c r="M32" s="1709"/>
      <c r="N32" s="1709"/>
      <c r="O32" s="1709"/>
      <c r="S32" s="2591" t="s">
        <v>42</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hidden="1">
      <c r="P33" s="1669"/>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17442" customFormat="1" customHeight="1" ht="18.75" hidden="1">
      <c r="A34" s="1709"/>
      <c r="B34" s="1709"/>
      <c r="C34" s="1709"/>
      <c r="D34" s="1709"/>
      <c r="E34" s="1709"/>
      <c r="F34" s="1709"/>
      <c r="G34" s="1709"/>
      <c r="H34" s="1709"/>
      <c r="I34" s="1709"/>
      <c r="J34" s="1709"/>
      <c r="K34" s="1709"/>
      <c r="L34" s="1710"/>
      <c r="M34" s="1709"/>
      <c r="N34" s="1709"/>
      <c r="O34" s="1709"/>
      <c r="S34" s="2591" t="s">
        <v>420</v>
      </c>
      <c r="T34" s="2591"/>
      <c r="U34" s="1713"/>
      <c r="V34" s="2605" t="str">
        <f>IF(TITLE_DATE_PR_CHANGE="",IF(TITLE_DATE_PR="","",TITLE_DATE_PR),TITLE_DATE_PR_CHANGE)</f>
        <v/>
      </c>
      <c r="W34" s="2605"/>
      <c r="X34" s="2605"/>
      <c r="Y34" s="2605"/>
      <c r="Z34" s="2605"/>
      <c r="AA34" s="2605"/>
      <c r="AB34" s="2605"/>
      <c r="AC34" s="667"/>
      <c r="AD34" s="2605" t="str">
        <f>IF(TITLE_DATE_PR_CHANGE="",IF(TITLE_DATE_PR="","",TITLE_DATE_PR),TITLE_DATE_PR_CHANGE)</f>
        <v/>
      </c>
      <c r="AE34" s="2605"/>
      <c r="AF34" s="2605"/>
      <c r="AG34" s="2605"/>
      <c r="AH34" s="2605"/>
      <c r="AI34" s="2605"/>
      <c r="AJ34" s="2605"/>
      <c r="AK34" s="667"/>
      <c r="AL34" s="667"/>
      <c r="AM34" s="621"/>
      <c r="AN34" s="709"/>
      <c r="AO34" s="709"/>
      <c r="AP34" s="709"/>
      <c r="AQ34" s="709"/>
      <c r="AR34" s="709"/>
      <c r="AS34" s="759">
        <v>0</v>
      </c>
    </row>
    <row s="17442" customFormat="1" customHeight="1" ht="18.75" hidden="1">
      <c r="A35" s="1709"/>
      <c r="B35" s="1709"/>
      <c r="C35" s="1709"/>
      <c r="D35" s="1709"/>
      <c r="E35" s="1709"/>
      <c r="F35" s="1709"/>
      <c r="G35" s="1709"/>
      <c r="H35" s="1709"/>
      <c r="I35" s="1709"/>
      <c r="J35" s="1709"/>
      <c r="K35" s="1709"/>
      <c r="L35" s="1710"/>
      <c r="M35" s="1709"/>
      <c r="N35" s="1709"/>
      <c r="O35" s="1709"/>
      <c r="S35" s="2591" t="s">
        <v>421</v>
      </c>
      <c r="T35" s="2591"/>
      <c r="U35" s="1713"/>
      <c r="V35" s="2592" t="str">
        <f>IF(TITLE_NUMBER_PR_CHANGE="",IF(TITLE_NUMBER_PR="","",TITLE_NUMBER_PR),TITLE_NUMBER_PR_CHANGE)</f>
        <v/>
      </c>
      <c r="W35" s="2592"/>
      <c r="X35" s="2592"/>
      <c r="Y35" s="2592"/>
      <c r="Z35" s="2592"/>
      <c r="AA35" s="2592"/>
      <c r="AB35" s="2592"/>
      <c r="AC35" s="667"/>
      <c r="AD35" s="2592" t="str">
        <f>IF(TITLE_NUMBER_PR_CHANGE="",IF(TITLE_NUMBER_PR="","",TITLE_NUMBER_PR),TITLE_NUMBER_PR_CHANGE)</f>
        <v/>
      </c>
      <c r="AE35" s="2592"/>
      <c r="AF35" s="2592"/>
      <c r="AG35" s="2592"/>
      <c r="AH35" s="2592"/>
      <c r="AI35" s="2592"/>
      <c r="AJ35" s="2592"/>
      <c r="AK35" s="667"/>
      <c r="AL35" s="667"/>
      <c r="AM35" s="621"/>
      <c r="AN35" s="709"/>
      <c r="AO35" s="709"/>
      <c r="AP35" s="709"/>
      <c r="AQ35" s="709"/>
      <c r="AR35" s="709"/>
      <c r="AS35" s="759">
        <v>0</v>
      </c>
    </row>
    <row s="17442" customFormat="1" customHeight="1" ht="0">
      <c r="A36" s="1709"/>
      <c r="B36" s="1709"/>
      <c r="C36" s="1709"/>
      <c r="D36" s="1709"/>
      <c r="E36" s="1709"/>
      <c r="F36" s="1709"/>
      <c r="G36" s="1709"/>
      <c r="H36" s="1709"/>
      <c r="I36" s="1709"/>
      <c r="J36" s="1709"/>
      <c r="K36" s="1709"/>
      <c r="L36" s="1710"/>
      <c r="M36" s="1709"/>
      <c r="N36" s="1709"/>
      <c r="O36" s="1709"/>
      <c r="S36" s="664"/>
      <c r="T36" s="664"/>
      <c r="U36" s="1560"/>
      <c r="V36" s="667"/>
      <c r="W36" s="667"/>
      <c r="X36" s="667"/>
      <c r="Y36" s="667"/>
      <c r="Z36" s="667"/>
      <c r="AA36" s="667"/>
      <c r="AB36" s="667"/>
      <c r="AC36" s="619" t="s">
        <v>422</v>
      </c>
      <c r="AD36" s="667"/>
      <c r="AE36" s="667"/>
      <c r="AF36" s="667"/>
      <c r="AG36" s="667"/>
      <c r="AH36" s="667"/>
      <c r="AI36" s="667"/>
      <c r="AJ36" s="667"/>
      <c r="AK36" s="619" t="s">
        <v>422</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295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296</v>
      </c>
      <c r="AS38" s="1496">
        <v>14</v>
      </c>
    </row>
    <row customHeight="1" ht="14.699999999999998">
      <c r="Q39" s="717"/>
      <c r="R39" s="717"/>
      <c r="S39" s="2614" t="s">
        <v>88</v>
      </c>
      <c r="T39" s="2550" t="s">
        <v>423</v>
      </c>
      <c r="U39" s="642"/>
      <c r="V39" s="2615" t="s">
        <v>424</v>
      </c>
      <c r="W39" s="2616"/>
      <c r="X39" s="2616"/>
      <c r="Y39" s="2616"/>
      <c r="Z39" s="2616"/>
      <c r="AA39" s="2616"/>
      <c r="AB39" s="2617"/>
      <c r="AC39" s="2618" t="s">
        <v>425</v>
      </c>
      <c r="AD39" s="2615" t="s">
        <v>424</v>
      </c>
      <c r="AE39" s="2616"/>
      <c r="AF39" s="2616"/>
      <c r="AG39" s="2616"/>
      <c r="AH39" s="2616"/>
      <c r="AI39" s="2616"/>
      <c r="AJ39" s="2617"/>
      <c r="AK39" s="2618" t="s">
        <v>426</v>
      </c>
      <c r="AL39" s="2621" t="s">
        <v>427</v>
      </c>
      <c r="AM39" s="2468"/>
      <c r="AS39" s="1496">
        <v>14</v>
      </c>
    </row>
    <row customHeight="1" ht="35.699999999999996">
      <c r="Q40" s="717"/>
      <c r="R40" s="717"/>
      <c r="S40" s="2614"/>
      <c r="T40" s="2550"/>
      <c r="U40" s="1372"/>
      <c r="V40" s="2601" t="s">
        <v>428</v>
      </c>
      <c r="W40" s="2951" t="s">
        <v>429</v>
      </c>
      <c r="X40" s="2603" t="s">
        <v>430</v>
      </c>
      <c r="Y40" s="2604"/>
      <c r="Z40" s="2603" t="s">
        <v>431</v>
      </c>
      <c r="AA40" s="2610"/>
      <c r="AB40" s="2604"/>
      <c r="AC40" s="2619"/>
      <c r="AD40" s="2601" t="s">
        <v>428</v>
      </c>
      <c r="AE40" s="2624" t="s">
        <v>429</v>
      </c>
      <c r="AF40" s="2603" t="s">
        <v>430</v>
      </c>
      <c r="AG40" s="2604"/>
      <c r="AH40" s="2603" t="s">
        <v>431</v>
      </c>
      <c r="AI40" s="2610"/>
      <c r="AJ40" s="2604"/>
      <c r="AK40" s="2619"/>
      <c r="AL40" s="2622"/>
      <c r="AM40" s="2468"/>
      <c r="AS40" s="1496">
        <v>34</v>
      </c>
    </row>
    <row customHeight="1" ht="35.699999999999996">
      <c r="A41" s="1711"/>
      <c r="B41" s="1711" t="s">
        <v>132</v>
      </c>
      <c r="C41" s="1711" t="s">
        <v>133</v>
      </c>
      <c r="D41" s="1711" t="s">
        <v>134</v>
      </c>
      <c r="E41" s="1705" t="s">
        <v>432</v>
      </c>
      <c r="F41" s="1705" t="s">
        <v>433</v>
      </c>
      <c r="G41" s="1705" t="s">
        <v>434</v>
      </c>
      <c r="H41" s="1705" t="s">
        <v>435</v>
      </c>
      <c r="I41" s="1705" t="s">
        <v>436</v>
      </c>
      <c r="J41" s="1705" t="s">
        <v>437</v>
      </c>
      <c r="K41" s="1705" t="s">
        <v>438</v>
      </c>
      <c r="L41" s="1705" t="s">
        <v>413</v>
      </c>
      <c r="Q41" s="717"/>
      <c r="R41" s="717"/>
      <c r="S41" s="2614"/>
      <c r="T41" s="2550"/>
      <c r="U41" s="643"/>
      <c r="V41" s="2602"/>
      <c r="W41" s="2625"/>
      <c r="X41" s="1563" t="s">
        <v>439</v>
      </c>
      <c r="Y41" s="1563" t="s">
        <v>440</v>
      </c>
      <c r="Z41" s="1562" t="s">
        <v>441</v>
      </c>
      <c r="AA41" s="2611" t="s">
        <v>442</v>
      </c>
      <c r="AB41" s="2612"/>
      <c r="AC41" s="2620"/>
      <c r="AD41" s="2602"/>
      <c r="AE41" s="2625"/>
      <c r="AF41" s="1563" t="s">
        <v>439</v>
      </c>
      <c r="AG41" s="1563" t="s">
        <v>440</v>
      </c>
      <c r="AH41" s="1654" t="s">
        <v>441</v>
      </c>
      <c r="AI41" s="2611" t="s">
        <v>442</v>
      </c>
      <c r="AJ41" s="2612"/>
      <c r="AK41" s="2620"/>
      <c r="AL41" s="2623"/>
      <c r="AM41" s="2468"/>
      <c r="AS41" s="1496">
        <v>34</v>
      </c>
    </row>
    <row s="17832"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106</v>
      </c>
      <c r="T42" s="1596" t="s">
        <v>107</v>
      </c>
      <c r="U42" s="1586" t="str">
        <f>OFFSET(U42,0,-1)</f>
        <v>2</v>
      </c>
      <c r="V42" s="1597">
        <f>OFFSET(V42,0,-1)+1</f>
        <v>3</v>
      </c>
      <c r="W42" s="1597"/>
      <c r="X42" s="1597">
        <f>OFFSET(X42,0,-1)+1</f>
        <v>1</v>
      </c>
      <c r="Y42" s="1597">
        <f>OFFSET(Y42,0,-1)+1</f>
        <v>2</v>
      </c>
      <c r="Z42" s="1597">
        <f>OFFSET(Z42,0,-1)+1</f>
        <v>3</v>
      </c>
      <c r="AA42" s="2613">
        <f>OFFSET(AA42,0,-1)+1</f>
        <v>4</v>
      </c>
      <c r="AB42" s="2613"/>
      <c r="AC42" s="1597">
        <f>OFFSET(AC42,0,-2)+1</f>
        <v>5</v>
      </c>
      <c r="AD42" s="1653">
        <f>OFFSET(AD42,0,-1)+1</f>
        <v>6</v>
      </c>
      <c r="AE42" s="1653"/>
      <c r="AF42" s="1653">
        <f>OFFSET(AF42,0,-1)+1</f>
        <v>1</v>
      </c>
      <c r="AG42" s="1653">
        <f>OFFSET(AG42,0,-1)+1</f>
        <v>2</v>
      </c>
      <c r="AH42" s="1653">
        <f>OFFSET(AH42,0,-1)+1</f>
        <v>3</v>
      </c>
      <c r="AI42" s="2613">
        <f>OFFSET(AI42,0,-1)+1</f>
        <v>4</v>
      </c>
      <c r="AJ42" s="2613"/>
      <c r="AK42" s="1653">
        <f>OFFSET(AK42,0,-2)+1</f>
        <v>5</v>
      </c>
      <c r="AL42" s="1586">
        <f>OFFSET(AL42,0,-1)</f>
        <v>5</v>
      </c>
      <c r="AM42" s="1597">
        <f>OFFSET(AM42,0,-1)+1</f>
        <v>6</v>
      </c>
      <c r="AN42" s="852"/>
      <c r="AO42" s="852"/>
      <c r="AP42" s="852"/>
      <c r="AQ42" s="852"/>
      <c r="AR42" s="852"/>
      <c r="AS42" s="837">
        <v>0</v>
      </c>
    </row>
    <row customHeight="1" ht="24">
      <c r="A43" s="1704" t="s">
        <v>153</v>
      </c>
      <c r="B43" s="1704"/>
      <c r="C43" s="1704"/>
      <c r="D43" s="1704"/>
      <c r="E43" s="2599">
        <v>1</v>
      </c>
      <c r="F43" s="1704"/>
      <c r="G43" s="1704"/>
      <c r="H43" s="1704"/>
      <c r="I43" s="1704"/>
      <c r="J43" s="1704"/>
      <c r="K43" s="1704"/>
      <c r="L43" s="1705"/>
      <c r="M43" s="1706"/>
      <c r="N43" s="1706"/>
      <c r="O43" s="1706"/>
      <c r="P43" s="702"/>
      <c r="Q43" s="701"/>
      <c r="R43" s="696"/>
      <c r="S43" s="1565">
        <f>INDEX(PT_DIFFERENTIATION_NUM_NTAR,MATCH(A43,PT_DIFFERENTIATION_NTAR_ID,0))</f>
        <v>0</v>
      </c>
      <c r="T43" s="639" t="s">
        <v>120</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23</v>
      </c>
    </row>
    <row customHeight="1" ht="24">
      <c r="A44" s="1704" t="s">
        <v>153</v>
      </c>
      <c r="B44" s="1704" t="s">
        <v>154</v>
      </c>
      <c r="C44" s="1704"/>
      <c r="D44" s="1704"/>
      <c r="E44" s="2600"/>
      <c r="F44" s="2599">
        <v>1</v>
      </c>
      <c r="G44" s="1704"/>
      <c r="H44" s="1704"/>
      <c r="I44" s="1704"/>
      <c r="J44" s="1704"/>
      <c r="K44" s="1704"/>
      <c r="L44" s="1705"/>
      <c r="M44" s="1706"/>
      <c r="N44" s="1706"/>
      <c r="O44" s="1706"/>
      <c r="P44" s="863"/>
      <c r="Q44" s="693"/>
      <c r="R44" s="694"/>
      <c r="S44" s="1565" t="str">
        <f>INDEX(PT_DIFFERENTIATION_NUM_TER,MATCH(B44,PT_DIFFERENTIATION_TER_ID,0))</f>
        <v>.</v>
      </c>
      <c r="T44" s="649" t="s">
        <v>392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393</v>
      </c>
      <c r="AO44" s="841"/>
      <c r="AP44" s="841" t="str">
        <f>IF(T44="","",T44)</f>
        <v>Территория действия тарифа</v>
      </c>
      <c r="AQ44" s="841"/>
      <c r="AR44" s="841"/>
      <c r="AS44" s="1496">
        <v>23</v>
      </c>
    </row>
    <row customHeight="1" ht="24">
      <c r="A45" s="1704" t="s">
        <v>153</v>
      </c>
      <c r="B45" s="1704" t="s">
        <v>154</v>
      </c>
      <c r="C45" s="1704" t="s">
        <v>155</v>
      </c>
      <c r="D45" s="1704"/>
      <c r="E45" s="2600"/>
      <c r="F45" s="2600"/>
      <c r="G45" s="2599">
        <v>1</v>
      </c>
      <c r="H45" s="1704"/>
      <c r="I45" s="1704"/>
      <c r="J45" s="1704"/>
      <c r="K45" s="1704"/>
      <c r="L45" s="1705"/>
      <c r="M45" s="1706"/>
      <c r="N45" s="1706"/>
      <c r="O45" s="1706"/>
      <c r="P45" s="695"/>
      <c r="Q45" s="693"/>
      <c r="R45" s="694"/>
      <c r="S45" s="1565" t="str">
        <f>INDEX(PT_DIFFERENTIATION_NUM_CS,MATCH(C45,PT_DIFFERENTIATION_CS_ID,0))</f>
        <v>..</v>
      </c>
      <c r="T45" s="650" t="s">
        <v>394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395</v>
      </c>
      <c r="AO45" s="841"/>
      <c r="AP45" s="841" t="str">
        <f>IF(T45="","",T45)</f>
        <v>Наименование системы теплоснабжения </v>
      </c>
      <c r="AQ45" s="841"/>
      <c r="AR45" s="841"/>
      <c r="AS45" s="1496">
        <v>23</v>
      </c>
    </row>
    <row customHeight="1" ht="24">
      <c r="A46" s="1704" t="s">
        <v>153</v>
      </c>
      <c r="B46" s="1704" t="s">
        <v>154</v>
      </c>
      <c r="C46" s="1704" t="s">
        <v>155</v>
      </c>
      <c r="D46" s="1704" t="s">
        <v>156</v>
      </c>
      <c r="E46" s="2600"/>
      <c r="F46" s="2600"/>
      <c r="G46" s="2600"/>
      <c r="H46" s="2599">
        <v>1</v>
      </c>
      <c r="I46" s="1704"/>
      <c r="J46" s="1704"/>
      <c r="K46" s="1704"/>
      <c r="L46" s="1705"/>
      <c r="M46" s="1706"/>
      <c r="N46" s="1706"/>
      <c r="O46" s="1706"/>
      <c r="P46" s="695"/>
      <c r="Q46" s="693"/>
      <c r="R46" s="694"/>
      <c r="S46" s="1565" t="str">
        <f>INDEX(PT_DIFFERENTIATION_NUM_IST_TE,MATCH(D46,PT_DIFFERENTIATION_IST_TE_ID,0))</f>
        <v>...</v>
      </c>
      <c r="T46" s="651" t="s">
        <v>396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397</v>
      </c>
      <c r="AO46" s="841"/>
      <c r="AP46" s="841" t="str">
        <f>IF(T46="","",T46)</f>
        <v>Источник тепловой энергии  </v>
      </c>
      <c r="AQ46" s="841"/>
      <c r="AR46" s="841"/>
      <c r="AS46" s="1496">
        <v>23</v>
      </c>
    </row>
    <row customHeight="1" ht="49.5">
      <c r="A47" s="1704" t="s">
        <v>153</v>
      </c>
      <c r="B47" s="1704" t="s">
        <v>154</v>
      </c>
      <c r="C47" s="1704" t="s">
        <v>155</v>
      </c>
      <c r="D47" s="1704" t="s">
        <v>156</v>
      </c>
      <c r="E47" s="2600"/>
      <c r="F47" s="2600"/>
      <c r="G47" s="2600"/>
      <c r="H47" s="2600"/>
      <c r="I47" s="2597" t="str">
        <f>S46&amp;".1"</f>
        <v>....1</v>
      </c>
      <c r="J47" s="1704"/>
      <c r="K47" s="1704"/>
      <c r="L47" s="1705" t="s">
        <v>398</v>
      </c>
      <c r="P47" s="2598">
        <v>1</v>
      </c>
      <c r="Q47" s="1561"/>
      <c r="R47" s="697"/>
      <c r="S47" s="1565" t="str">
        <f>$I47</f>
        <v>....1</v>
      </c>
      <c r="T47" s="626" t="s">
        <v>399</v>
      </c>
      <c r="U47" s="641"/>
      <c r="V47" s="2586"/>
      <c r="W47" s="2587"/>
      <c r="X47" s="2587"/>
      <c r="Y47" s="2587"/>
      <c r="Z47" s="2587"/>
      <c r="AA47" s="2587"/>
      <c r="AB47" s="2587"/>
      <c r="AC47" s="2588"/>
      <c r="AD47" s="2586"/>
      <c r="AE47" s="2587"/>
      <c r="AF47" s="2587"/>
      <c r="AG47" s="2587"/>
      <c r="AH47" s="2587"/>
      <c r="AI47" s="2587"/>
      <c r="AJ47" s="2587"/>
      <c r="AK47" s="2587"/>
      <c r="AL47" s="2588"/>
      <c r="AM47" s="1599" t="s">
        <v>400</v>
      </c>
      <c r="AO47" s="841"/>
      <c r="AP47" s="841" t="str">
        <f>IF(T47="","",T47)</f>
        <v>Схема подключения теплопотребляющей установки к коллектору источника тепловой энергии</v>
      </c>
      <c r="AQ47" s="841"/>
      <c r="AR47" s="841"/>
      <c r="AS47" s="1496">
        <v>47</v>
      </c>
    </row>
    <row customHeight="1" ht="24">
      <c r="A48" s="1704" t="s">
        <v>153</v>
      </c>
      <c r="B48" s="1704" t="s">
        <v>154</v>
      </c>
      <c r="C48" s="1704" t="s">
        <v>155</v>
      </c>
      <c r="D48" s="1704" t="s">
        <v>156</v>
      </c>
      <c r="E48" s="2600"/>
      <c r="F48" s="2600"/>
      <c r="G48" s="2600"/>
      <c r="H48" s="2600"/>
      <c r="I48" s="2627"/>
      <c r="J48" s="2597" t="str">
        <f>I47&amp;".1"</f>
        <v>....1.1</v>
      </c>
      <c r="K48" s="1704"/>
      <c r="L48" s="1705" t="s">
        <v>401</v>
      </c>
      <c r="P48" s="2598"/>
      <c r="Q48" s="2598">
        <v>1</v>
      </c>
      <c r="R48" s="698"/>
      <c r="S48" s="1565" t="str">
        <f>$J48</f>
        <v>....1.1</v>
      </c>
      <c r="T48" s="627" t="s">
        <v>402</v>
      </c>
      <c r="U48" s="641"/>
      <c r="V48" s="2586"/>
      <c r="W48" s="2587"/>
      <c r="X48" s="2587"/>
      <c r="Y48" s="2587"/>
      <c r="Z48" s="2587"/>
      <c r="AA48" s="2587"/>
      <c r="AB48" s="2587"/>
      <c r="AC48" s="2588"/>
      <c r="AD48" s="2586"/>
      <c r="AE48" s="2587"/>
      <c r="AF48" s="2587"/>
      <c r="AG48" s="2587"/>
      <c r="AH48" s="2587"/>
      <c r="AI48" s="2587"/>
      <c r="AJ48" s="2587"/>
      <c r="AK48" s="2587"/>
      <c r="AL48" s="2588"/>
      <c r="AM48" s="1599" t="s">
        <v>403</v>
      </c>
      <c r="AO48" s="841"/>
      <c r="AP48" s="841" t="str">
        <f>IF(T48="","",T48)</f>
        <v>Группа потребителей</v>
      </c>
      <c r="AQ48" s="841"/>
      <c r="AR48" s="841"/>
      <c r="AS48" s="1496">
        <v>23</v>
      </c>
    </row>
    <row customHeight="1" ht="24">
      <c r="A49" s="1704" t="s">
        <v>153</v>
      </c>
      <c r="B49" s="1704" t="s">
        <v>154</v>
      </c>
      <c r="C49" s="1704" t="s">
        <v>155</v>
      </c>
      <c r="D49" s="1704" t="s">
        <v>156</v>
      </c>
      <c r="E49" s="2600"/>
      <c r="F49" s="2600"/>
      <c r="G49" s="2600"/>
      <c r="H49" s="2600"/>
      <c r="I49" s="2627"/>
      <c r="J49" s="2627"/>
      <c r="K49" s="2597" t="str">
        <f>J48&amp;".1"</f>
        <v>....1.1.1</v>
      </c>
      <c r="L49" s="1705" t="s">
        <v>404</v>
      </c>
      <c r="P49" s="2598"/>
      <c r="Q49" s="2598"/>
      <c r="R49" s="698">
        <v>1</v>
      </c>
      <c r="S49" s="1565" t="str">
        <f>$K49</f>
        <v>....1.1.1</v>
      </c>
      <c r="T49" s="1688"/>
      <c r="U49" s="641"/>
      <c r="V49" s="1092"/>
      <c r="W49" s="666"/>
      <c r="X49" s="1092"/>
      <c r="Y49" s="1598"/>
      <c r="Z49" s="2606"/>
      <c r="AA49" s="2448" t="s">
        <v>65</v>
      </c>
      <c r="AB49" s="2606"/>
      <c r="AC49" s="2448" t="s">
        <v>65</v>
      </c>
      <c r="AD49" s="1092"/>
      <c r="AE49" s="666"/>
      <c r="AF49" s="1092"/>
      <c r="AG49" s="1598"/>
      <c r="AH49" s="2606"/>
      <c r="AI49" s="2448" t="s">
        <v>65</v>
      </c>
      <c r="AJ49" s="2628"/>
      <c r="AK49" s="2448" t="s">
        <v>65</v>
      </c>
      <c r="AL49" s="1689"/>
      <c r="AM49" s="2594" t="s">
        <v>405</v>
      </c>
      <c r="AN49" s="852">
        <f>STRCHECKDATE(V50:AL50)</f>
      </c>
      <c r="AO49" s="841"/>
      <c r="AP49" s="841" t="str">
        <f>IF(T49="","",T49)</f>
        <v/>
      </c>
      <c r="AQ49" s="841"/>
      <c r="AR49" s="841"/>
      <c r="AS49" s="1496">
        <v>23</v>
      </c>
    </row>
    <row customHeight="1" ht="1.05">
      <c r="A50" s="1704" t="s">
        <v>153</v>
      </c>
      <c r="B50" s="1704" t="s">
        <v>154</v>
      </c>
      <c r="C50" s="1704" t="s">
        <v>155</v>
      </c>
      <c r="D50" s="1704" t="s">
        <v>156</v>
      </c>
      <c r="E50" s="2600"/>
      <c r="F50" s="2600"/>
      <c r="G50" s="2600"/>
      <c r="H50" s="2600"/>
      <c r="I50" s="2627"/>
      <c r="J50" s="2627"/>
      <c r="K50" s="2597"/>
      <c r="L50" s="1705"/>
      <c r="P50" s="2598"/>
      <c r="Q50" s="2598"/>
      <c r="R50" s="698"/>
      <c r="S50" s="1564"/>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1</v>
      </c>
    </row>
    <row customHeight="1" ht="11.549999999999999">
      <c r="A51" s="1704" t="s">
        <v>153</v>
      </c>
      <c r="B51" s="1704" t="s">
        <v>154</v>
      </c>
      <c r="C51" s="1704" t="s">
        <v>155</v>
      </c>
      <c r="D51" s="1704" t="s">
        <v>156</v>
      </c>
      <c r="E51" s="2600"/>
      <c r="F51" s="2600"/>
      <c r="G51" s="2600"/>
      <c r="H51" s="2600"/>
      <c r="I51" s="2627"/>
      <c r="J51" s="2597"/>
      <c r="K51" s="1704"/>
      <c r="L51" s="1705"/>
      <c r="P51" s="2598"/>
      <c r="Q51" s="2598"/>
      <c r="R51" s="697"/>
      <c r="S51" s="1619"/>
      <c r="T51" s="629" t="s">
        <v>406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153</v>
      </c>
      <c r="B52" s="1704" t="s">
        <v>154</v>
      </c>
      <c r="C52" s="1704" t="s">
        <v>155</v>
      </c>
      <c r="D52" s="1704" t="s">
        <v>156</v>
      </c>
      <c r="E52" s="2600"/>
      <c r="F52" s="2600"/>
      <c r="G52" s="2600"/>
      <c r="H52" s="2600"/>
      <c r="I52" s="2597"/>
      <c r="J52" s="1704"/>
      <c r="K52" s="1704"/>
      <c r="L52" s="1705"/>
      <c r="P52" s="2598"/>
      <c r="Q52" s="1561"/>
      <c r="R52" s="697"/>
      <c r="S52" s="1619"/>
      <c r="T52" s="628" t="s">
        <v>407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14.699999999999998">
      <c r="A53" s="1704" t="s">
        <v>153</v>
      </c>
      <c r="B53" s="1704" t="s">
        <v>154</v>
      </c>
      <c r="C53" s="1704" t="s">
        <v>155</v>
      </c>
      <c r="D53" s="1704" t="s">
        <v>156</v>
      </c>
      <c r="E53" s="2600"/>
      <c r="F53" s="2600"/>
      <c r="G53" s="2600"/>
      <c r="H53" s="2599"/>
      <c r="I53" s="1704"/>
      <c r="J53" s="1704"/>
      <c r="K53" s="1704"/>
      <c r="L53" s="1705"/>
      <c r="M53" s="1706"/>
      <c r="N53" s="1706"/>
      <c r="O53" s="878"/>
      <c r="P53" s="701"/>
      <c r="Q53" s="716"/>
      <c r="R53" s="696"/>
      <c r="S53" s="1619"/>
      <c r="T53" s="706" t="s">
        <v>408</v>
      </c>
      <c r="U53" s="708"/>
      <c r="V53" s="708"/>
      <c r="W53" s="708"/>
      <c r="X53" s="708"/>
      <c r="Y53" s="708"/>
      <c r="Z53" s="708"/>
      <c r="AA53" s="708"/>
      <c r="AB53" s="708"/>
      <c r="AC53" s="707"/>
      <c r="AD53" s="708"/>
      <c r="AE53" s="708"/>
      <c r="AF53" s="708"/>
      <c r="AG53" s="708"/>
      <c r="AH53" s="708"/>
      <c r="AI53" s="708"/>
      <c r="AJ53" s="708"/>
      <c r="AK53" s="707"/>
      <c r="AL53" s="708"/>
      <c r="AM53" s="644"/>
      <c r="AO53" s="841"/>
      <c r="AP53" s="841" t="str">
        <f>IF(T53="","",T53)</f>
        <v>Добавить схему подключения</v>
      </c>
      <c r="AQ53" s="841"/>
      <c r="AR53" s="841"/>
      <c r="AS53" s="1496">
        <v>14</v>
      </c>
    </row>
    <row s="17316" customFormat="1" customHeight="1" ht="1.05">
      <c r="A54" s="1684" t="s">
        <v>153</v>
      </c>
      <c r="B54" s="1684" t="s">
        <v>154</v>
      </c>
      <c r="C54" s="1684" t="s">
        <v>155</v>
      </c>
      <c r="D54" s="1655"/>
      <c r="E54" s="2600"/>
      <c r="F54" s="2600"/>
      <c r="G54" s="2599"/>
      <c r="H54" s="1655"/>
      <c r="I54" s="1655"/>
      <c r="J54" s="1655"/>
      <c r="K54" s="1655"/>
      <c r="L54" s="1680"/>
      <c r="M54" s="1656"/>
      <c r="N54" s="1656"/>
      <c r="P54" s="1657"/>
      <c r="Q54" s="1658"/>
      <c r="R54" s="1657"/>
      <c r="S54" s="1663"/>
      <c r="T54" s="1666" t="s">
        <v>409</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1</v>
      </c>
    </row>
    <row s="17316" customFormat="1" customHeight="1" ht="1.05">
      <c r="A55" s="1684" t="s">
        <v>153</v>
      </c>
      <c r="B55" s="1684" t="s">
        <v>154</v>
      </c>
      <c r="C55" s="1655"/>
      <c r="D55" s="1655"/>
      <c r="E55" s="2600"/>
      <c r="F55" s="2599"/>
      <c r="G55" s="1655"/>
      <c r="H55" s="1655"/>
      <c r="I55" s="1655"/>
      <c r="J55" s="1655"/>
      <c r="K55" s="1655"/>
      <c r="L55" s="1680"/>
      <c r="M55" s="1662"/>
      <c r="N55" s="1662"/>
      <c r="P55" s="1657"/>
      <c r="Q55" s="1658"/>
      <c r="R55" s="1657"/>
      <c r="S55" s="1663"/>
      <c r="T55" s="1666" t="s">
        <v>410</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1</v>
      </c>
    </row>
    <row s="17316" customFormat="1" customHeight="1" ht="1.05">
      <c r="A56" s="1684" t="s">
        <v>153</v>
      </c>
      <c r="B56" s="1684"/>
      <c r="C56" s="1684"/>
      <c r="D56" s="1684"/>
      <c r="E56" s="2599"/>
      <c r="F56" s="1684"/>
      <c r="G56" s="1684"/>
      <c r="H56" s="1684"/>
      <c r="I56" s="1684"/>
      <c r="J56" s="1684"/>
      <c r="K56" s="1684"/>
      <c r="L56" s="1687"/>
      <c r="M56" s="1662"/>
      <c r="N56" s="1662"/>
      <c r="O56" s="859"/>
      <c r="P56" s="721"/>
      <c r="Q56" s="1685"/>
      <c r="R56" s="721"/>
      <c r="S56" s="1663"/>
      <c r="T56" s="1666" t="s">
        <v>411</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1</v>
      </c>
    </row>
    <row s="17316" customFormat="1" customHeight="1" ht="1.05">
      <c r="A57" s="1655"/>
      <c r="B57" s="1655"/>
      <c r="C57" s="1655"/>
      <c r="D57" s="1655"/>
      <c r="E57" s="1684"/>
      <c r="F57" s="1655"/>
      <c r="G57" s="1655"/>
      <c r="H57" s="1655"/>
      <c r="I57" s="1655"/>
      <c r="J57" s="1655"/>
      <c r="K57" s="1655"/>
      <c r="L57" s="1680"/>
      <c r="M57" s="1662"/>
      <c r="N57" s="1662"/>
      <c r="P57" s="1657"/>
      <c r="Q57" s="1658"/>
      <c r="R57" s="1657"/>
      <c r="S57" s="1663"/>
      <c r="T57" s="1666" t="s">
        <v>443</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1</v>
      </c>
    </row>
    <row customHeight="1" ht="11.549999999999999">
      <c r="M58" s="1501"/>
      <c r="N58" s="1501"/>
      <c r="O58" s="878"/>
      <c r="P58" s="1496"/>
      <c r="Q58" s="1496"/>
      <c r="R58" s="1496"/>
      <c r="S58" s="1496"/>
      <c r="AN58" s="1496"/>
      <c r="AO58" s="1496"/>
      <c r="AP58" s="1496"/>
      <c r="AQ58" s="1496"/>
      <c r="AR58" s="1496"/>
      <c r="AS58" s="1496">
        <v>11</v>
      </c>
    </row>
    <row customHeight="1" ht="28.5">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27</v>
      </c>
    </row>
    <row customHeight="1" ht="67.2">
      <c r="O60" s="878"/>
      <c r="P60" s="1644"/>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64</v>
      </c>
    </row>
    <row customHeight="1" ht="14.699999999999998">
      <c r="O61" s="878"/>
      <c r="AS61" s="1496">
        <v>14</v>
      </c>
    </row>
    <row customHeight="1" ht="18.75">
      <c r="O62" s="878"/>
      <c r="P62" s="1669"/>
      <c r="S62" s="1594"/>
      <c r="T62" s="2626"/>
      <c r="U62" s="2626"/>
      <c r="V62" s="2626"/>
      <c r="W62" s="2626"/>
      <c r="X62" s="2626"/>
      <c r="Y62" s="2626"/>
      <c r="Z62" s="2626"/>
      <c r="AA62" s="2626"/>
      <c r="AB62" s="2626"/>
      <c r="AC62" s="2626"/>
      <c r="AD62" s="2626"/>
      <c r="AE62" s="2626"/>
      <c r="AF62" s="2626"/>
      <c r="AG62" s="2626"/>
      <c r="AH62" s="2626"/>
      <c r="AI62" s="2626"/>
      <c r="AJ62" s="2626"/>
      <c r="AK62" s="2626"/>
      <c r="AL62" s="2626"/>
      <c r="AM62" s="2626"/>
      <c r="AS62" s="1496">
        <v>18</v>
      </c>
    </row>
    <row customHeight="1" ht="18.75">
      <c r="O63" s="878"/>
      <c r="P63" s="1669"/>
      <c r="T63" s="2626"/>
      <c r="U63" s="2626"/>
      <c r="V63" s="2626"/>
      <c r="W63" s="2626"/>
      <c r="X63" s="2626"/>
      <c r="Y63" s="2626"/>
      <c r="Z63" s="2626"/>
      <c r="AA63" s="2626"/>
      <c r="AB63" s="2626"/>
      <c r="AC63" s="2626"/>
      <c r="AD63" s="2626"/>
      <c r="AE63" s="2626"/>
      <c r="AF63" s="2626"/>
      <c r="AG63" s="2626"/>
      <c r="AH63" s="2626"/>
      <c r="AI63" s="2626"/>
      <c r="AJ63" s="2626"/>
      <c r="AK63" s="2626"/>
      <c r="AL63" s="2626"/>
      <c r="AM63" s="2626"/>
      <c r="AS63" s="1496">
        <v>18</v>
      </c>
    </row>
    <row customHeight="1" ht="29.25">
      <c r="O64" s="878"/>
      <c r="P64" s="1669"/>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28</v>
      </c>
    </row>
    <row customHeight="1" ht="22.5" hidden="1">
      <c r="A65" s="1501" t="s">
        <v>82</v>
      </c>
      <c r="B65" s="1501">
        <v>0</v>
      </c>
      <c r="C65" s="1501">
        <v>0</v>
      </c>
      <c r="D65" s="1501">
        <v>0</v>
      </c>
      <c r="E65" s="1501">
        <v>0</v>
      </c>
      <c r="F65" s="1501">
        <v>0</v>
      </c>
      <c r="G65" s="1501">
        <v>0</v>
      </c>
      <c r="H65" s="1501">
        <v>0</v>
      </c>
      <c r="I65" s="1501">
        <v>0</v>
      </c>
      <c r="J65" s="1501">
        <v>0</v>
      </c>
      <c r="K65" s="1501">
        <v>0</v>
      </c>
      <c r="L65" s="1670">
        <v>0</v>
      </c>
      <c r="M65" s="1703">
        <v>0</v>
      </c>
      <c r="N65" s="1703">
        <v>0</v>
      </c>
      <c r="O65" s="1703">
        <v>0</v>
      </c>
      <c r="P65" s="1559">
        <v>3</v>
      </c>
      <c r="Q65" s="685">
        <v>3</v>
      </c>
      <c r="R65" s="685">
        <v>3</v>
      </c>
      <c r="S65" s="922">
        <v>12</v>
      </c>
      <c r="T65" s="1496">
        <v>35</v>
      </c>
      <c r="U65" s="1496">
        <v>0</v>
      </c>
      <c r="V65" s="1496">
        <v>0</v>
      </c>
      <c r="W65" s="1496">
        <v>0</v>
      </c>
      <c r="X65" s="1496">
        <v>0</v>
      </c>
      <c r="Y65" s="1496">
        <v>0</v>
      </c>
      <c r="Z65" s="1496">
        <v>0</v>
      </c>
      <c r="AA65" s="1496">
        <v>0</v>
      </c>
      <c r="AB65" s="1496">
        <v>0</v>
      </c>
      <c r="AC65" s="1496">
        <v>0</v>
      </c>
      <c r="AD65" s="1496">
        <v>24</v>
      </c>
      <c r="AE65" s="1496">
        <v>0</v>
      </c>
      <c r="AF65" s="1496">
        <v>24</v>
      </c>
      <c r="AG65" s="1496">
        <v>24</v>
      </c>
      <c r="AH65" s="1496">
        <v>11</v>
      </c>
      <c r="AI65" s="1496">
        <v>3</v>
      </c>
      <c r="AJ65" s="1496">
        <v>11</v>
      </c>
      <c r="AK65" s="1496">
        <v>0</v>
      </c>
      <c r="AL65" s="1496">
        <v>4</v>
      </c>
      <c r="AM65" s="1496">
        <v>115</v>
      </c>
      <c r="AN65" s="852">
        <v>10</v>
      </c>
      <c r="AO65" s="852">
        <v>10</v>
      </c>
      <c r="AP65" s="852">
        <v>10</v>
      </c>
      <c r="AQ65" s="852">
        <v>10</v>
      </c>
      <c r="AR65" s="852">
        <v>10</v>
      </c>
      <c r="AS65" s="1496">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B3F656-AF11-4E5A-912D-10F52105238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1.00390625" customWidth="1"/>
    <col min="21" max="21" style="17239" width="0.140625" customWidth="1"/>
    <col min="22" max="22" style="17239" width="24.7109375" hidden="1" customWidth="1"/>
    <col min="23" max="23" style="17239" width="0.140625" hidden="1" customWidth="1"/>
    <col min="24" max="25" style="17239" width="24.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24.7109375" customWidth="1"/>
    <col min="31" max="31" style="17239" width="0.140625" customWidth="1"/>
    <col min="32" max="33" style="17239" width="24.00390625" customWidth="1"/>
    <col min="34" max="34" style="17239" width="11.00390625" customWidth="1"/>
    <col min="35" max="35" style="17239" width="3.7109375" customWidth="1"/>
    <col min="36" max="36" style="17239" width="11.00390625" customWidth="1"/>
    <col min="37" max="37" style="17239" width="8.57421875" hidden="1" customWidth="1"/>
    <col min="38" max="38" style="17239" width="4.00390625" customWidth="1"/>
    <col min="39" max="39" style="17239" width="115.00390625" customWidth="1"/>
    <col min="40" max="44" style="17316" width="10.00390625" customWidth="1"/>
    <col min="45" max="45" style="17239" width="10.57421875" hidden="1"/>
  </cols>
  <sheetData>
    <row customHeight="1" ht="22.5" hidden="1">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120</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391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392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393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1677">
        <f>INDEX(PT_DIFFERENTIATION_NUM_CS,MATCH(C4,PT_DIFFERENTIATION_CS_ID,0))</f>
      </c>
      <c r="T4" s="650" t="s">
        <v>394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395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694"/>
      <c r="S5" s="1677">
        <f>INDEX(PT_DIFFERENTIATION_NUM_IST_TE,MATCH(D5,PT_DIFFERENTIATION_IST_TE_ID,0))</f>
      </c>
      <c r="T5" s="651" t="s">
        <v>396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397</v>
      </c>
      <c r="AO5" s="841"/>
      <c r="AP5" s="841" t="str">
        <f>IF(T5="","",T5)</f>
        <v>Источник тепловой энергии  </v>
      </c>
      <c r="AQ5" s="841"/>
      <c r="AR5" s="841"/>
      <c r="AS5" s="1496">
        <v>0</v>
      </c>
    </row>
    <row customHeight="1" ht="47.25" hidden="1">
      <c r="A6" s="1704"/>
      <c r="B6" s="1704"/>
      <c r="C6" s="1704"/>
      <c r="D6" s="1704"/>
      <c r="E6" s="2600"/>
      <c r="F6" s="2600"/>
      <c r="G6" s="2600"/>
      <c r="H6" s="2600"/>
      <c r="I6" s="2597">
        <f>S5&amp;".1"</f>
      </c>
      <c r="J6" s="1704"/>
      <c r="K6" s="1704"/>
      <c r="L6" s="1705" t="s">
        <v>398</v>
      </c>
      <c r="M6" s="878"/>
      <c r="P6" s="2598">
        <v>1</v>
      </c>
      <c r="Q6" s="1672"/>
      <c r="R6" s="697"/>
      <c r="S6" s="1677">
        <f>$I6</f>
      </c>
      <c r="T6" s="626" t="s">
        <v>399</v>
      </c>
      <c r="U6" s="641"/>
      <c r="V6" s="2586"/>
      <c r="W6" s="2587"/>
      <c r="X6" s="2587"/>
      <c r="Y6" s="2587"/>
      <c r="Z6" s="2587"/>
      <c r="AA6" s="2587"/>
      <c r="AB6" s="2587"/>
      <c r="AC6" s="2588"/>
      <c r="AD6" s="2586"/>
      <c r="AE6" s="2587"/>
      <c r="AF6" s="2587"/>
      <c r="AG6" s="2587"/>
      <c r="AH6" s="2587"/>
      <c r="AI6" s="2587"/>
      <c r="AJ6" s="2587"/>
      <c r="AK6" s="2587"/>
      <c r="AL6" s="2588"/>
      <c r="AM6" s="1599" t="s">
        <v>400</v>
      </c>
      <c r="AO6" s="841"/>
      <c r="AP6" s="841" t="str">
        <f>IF(T6="","",T6)</f>
        <v>Схема подключения теплопотребляющей установки к коллектору источника тепловой энергии</v>
      </c>
      <c r="AQ6" s="841"/>
      <c r="AR6" s="841"/>
      <c r="AS6" s="1496">
        <v>0</v>
      </c>
    </row>
    <row customHeight="1" ht="21" hidden="1">
      <c r="A7" s="1704"/>
      <c r="B7" s="1704"/>
      <c r="C7" s="1704"/>
      <c r="D7" s="1704"/>
      <c r="E7" s="2600"/>
      <c r="F7" s="2600"/>
      <c r="G7" s="2600"/>
      <c r="H7" s="2600"/>
      <c r="I7" s="2627"/>
      <c r="J7" s="2597">
        <f>I6&amp;".1"</f>
      </c>
      <c r="K7" s="1704"/>
      <c r="L7" s="1705" t="s">
        <v>401</v>
      </c>
      <c r="M7" s="878"/>
      <c r="N7" s="1707"/>
      <c r="P7" s="2598"/>
      <c r="Q7" s="2598">
        <v>1</v>
      </c>
      <c r="R7" s="698"/>
      <c r="S7" s="1677">
        <f>$J7</f>
      </c>
      <c r="T7" s="627" t="s">
        <v>402</v>
      </c>
      <c r="U7" s="641"/>
      <c r="V7" s="2586"/>
      <c r="W7" s="2587"/>
      <c r="X7" s="2587"/>
      <c r="Y7" s="2587"/>
      <c r="Z7" s="2587"/>
      <c r="AA7" s="2587"/>
      <c r="AB7" s="2587"/>
      <c r="AC7" s="2588"/>
      <c r="AD7" s="2586"/>
      <c r="AE7" s="2587"/>
      <c r="AF7" s="2587"/>
      <c r="AG7" s="2587"/>
      <c r="AH7" s="2587"/>
      <c r="AI7" s="2587"/>
      <c r="AJ7" s="2587"/>
      <c r="AK7" s="2587"/>
      <c r="AL7" s="2588"/>
      <c r="AM7" s="1599" t="s">
        <v>403</v>
      </c>
      <c r="AO7" s="841"/>
      <c r="AP7" s="841" t="str">
        <f>IF(T7="","",T7)</f>
        <v>Группа потребителей</v>
      </c>
      <c r="AQ7" s="841"/>
      <c r="AR7" s="841"/>
      <c r="AS7" s="1496">
        <v>0</v>
      </c>
    </row>
    <row customHeight="1" ht="21" hidden="1">
      <c r="A8" s="1704"/>
      <c r="B8" s="1704"/>
      <c r="C8" s="1704"/>
      <c r="D8" s="1704"/>
      <c r="E8" s="2600"/>
      <c r="F8" s="2600"/>
      <c r="G8" s="2600"/>
      <c r="H8" s="2600"/>
      <c r="I8" s="2627"/>
      <c r="J8" s="2627"/>
      <c r="K8" s="2597">
        <f>J7&amp;".1"</f>
      </c>
      <c r="L8" s="1705" t="s">
        <v>404</v>
      </c>
      <c r="M8" s="878"/>
      <c r="N8" s="1707"/>
      <c r="O8" s="1707"/>
      <c r="P8" s="2598"/>
      <c r="Q8" s="2598"/>
      <c r="R8" s="698">
        <v>1</v>
      </c>
      <c r="S8" s="1677">
        <f>$K8</f>
      </c>
      <c r="T8" s="1688"/>
      <c r="U8" s="641"/>
      <c r="V8" s="1092"/>
      <c r="W8" s="666"/>
      <c r="X8" s="1092"/>
      <c r="Y8" s="1598"/>
      <c r="Z8" s="2606"/>
      <c r="AA8" s="2448" t="s">
        <v>65</v>
      </c>
      <c r="AB8" s="2606"/>
      <c r="AC8" s="2448" t="s">
        <v>65</v>
      </c>
      <c r="AD8" s="1092"/>
      <c r="AE8" s="666"/>
      <c r="AF8" s="1092"/>
      <c r="AG8" s="1598"/>
      <c r="AH8" s="2606"/>
      <c r="AI8" s="2448" t="s">
        <v>65</v>
      </c>
      <c r="AJ8" s="2606"/>
      <c r="AK8" s="2448" t="s">
        <v>65</v>
      </c>
      <c r="AL8" s="666"/>
      <c r="AM8" s="2594" t="s">
        <v>405</v>
      </c>
      <c r="AN8" s="852">
        <f>STRCHECKDATE(V9:AL9)</f>
      </c>
      <c r="AO8" s="841"/>
      <c r="AP8" s="841" t="str">
        <f>IF(T8="","",T8)</f>
        <v/>
      </c>
      <c r="AQ8" s="841"/>
      <c r="AR8" s="841"/>
      <c r="AS8" s="1496">
        <v>0</v>
      </c>
    </row>
    <row customHeight="1" ht="0.7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9" t="s">
        <v>406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5" hidden="1">
      <c r="A11" s="1704"/>
      <c r="B11" s="1704"/>
      <c r="C11" s="1704"/>
      <c r="D11" s="1704"/>
      <c r="E11" s="2600"/>
      <c r="F11" s="2600"/>
      <c r="G11" s="2600"/>
      <c r="H11" s="2600"/>
      <c r="I11" s="2597"/>
      <c r="J11" s="1704"/>
      <c r="K11" s="1704"/>
      <c r="L11" s="1705"/>
      <c r="M11" s="878"/>
      <c r="P11" s="2598"/>
      <c r="Q11" s="1672"/>
      <c r="R11" s="697"/>
      <c r="S11" s="1619"/>
      <c r="T11" s="628" t="s">
        <v>407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619"/>
      <c r="T12" s="706" t="s">
        <v>408</v>
      </c>
      <c r="U12" s="708"/>
      <c r="V12" s="708"/>
      <c r="W12" s="708"/>
      <c r="X12" s="708"/>
      <c r="Y12" s="708"/>
      <c r="Z12" s="708"/>
      <c r="AA12" s="708"/>
      <c r="AB12" s="708"/>
      <c r="AC12" s="707"/>
      <c r="AD12" s="708"/>
      <c r="AE12" s="708"/>
      <c r="AF12" s="708"/>
      <c r="AG12" s="708"/>
      <c r="AH12" s="708"/>
      <c r="AI12" s="708"/>
      <c r="AJ12" s="708"/>
      <c r="AK12" s="707"/>
      <c r="AL12" s="708"/>
      <c r="AM12" s="644"/>
      <c r="AO12" s="841"/>
      <c r="AP12" s="841" t="str">
        <f>IF(T12="","",T12)</f>
        <v>Добавить схему подключения</v>
      </c>
      <c r="AQ12" s="841"/>
      <c r="AR12" s="841"/>
      <c r="AS12" s="1496">
        <v>0</v>
      </c>
    </row>
    <row s="1731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409</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1731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410</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1731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411</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AD17" s="1701"/>
      <c r="AE17" s="1701"/>
      <c r="AF17" s="1701"/>
      <c r="AG17" s="1702"/>
      <c r="AH17" s="2608"/>
      <c r="AI17" s="2609" t="s">
        <v>65</v>
      </c>
      <c r="AJ17" s="2608"/>
      <c r="AK17" s="2609" t="s">
        <v>65</v>
      </c>
      <c r="AS17" s="1496">
        <v>0</v>
      </c>
    </row>
    <row customHeight="1" ht="14.25" hidden="1">
      <c r="AD18" s="1701"/>
      <c r="AE18" s="1701"/>
      <c r="AF18" s="1701"/>
      <c r="AG18" s="669" t="str">
        <f>AH17&amp;"-"&amp;AJ17</f>
        <v>-</v>
      </c>
      <c r="AH18" s="2609"/>
      <c r="AI18" s="2609"/>
      <c r="AJ18" s="2609"/>
      <c r="AK18" s="2609"/>
      <c r="AS18" s="1496">
        <v>0</v>
      </c>
    </row>
    <row customHeight="1" ht="14.25" hidden="1">
      <c r="AK19" s="668"/>
      <c r="AS19" s="1496">
        <v>0</v>
      </c>
    </row>
    <row s="17315" customFormat="1" customHeight="1" ht="22.5" hidden="1">
      <c r="L20" s="1670"/>
      <c r="M20" s="1703"/>
      <c r="N20" s="1703"/>
      <c r="O20" s="1708" t="s">
        <v>412</v>
      </c>
      <c r="P20" s="1703"/>
      <c r="Q20" s="1712"/>
      <c r="R20" s="1712"/>
      <c r="S20" s="1070"/>
      <c r="Z20" s="1708"/>
      <c r="AB20" s="1708"/>
      <c r="AC20" s="1707"/>
      <c r="AH20" s="1708"/>
      <c r="AJ20" s="1708"/>
      <c r="AK20" s="1707"/>
      <c r="AN20" s="852"/>
      <c r="AO20" s="852"/>
      <c r="AP20" s="852"/>
      <c r="AQ20" s="852"/>
      <c r="AR20" s="852"/>
      <c r="AS20" s="1501">
        <v>0</v>
      </c>
    </row>
    <row s="17315" customFormat="1" customHeight="1" ht="14.25" hidden="1">
      <c r="L21" s="1670"/>
      <c r="M21" s="1703"/>
      <c r="N21" s="1703"/>
      <c r="O21" s="1703"/>
      <c r="P21" s="1703"/>
      <c r="Q21" s="1712"/>
      <c r="R21" s="1712"/>
      <c r="S21" s="1070"/>
      <c r="AC21" s="1707"/>
      <c r="AK21" s="1707"/>
      <c r="AN21" s="852"/>
      <c r="AO21" s="852"/>
      <c r="AP21" s="852"/>
      <c r="AQ21" s="852"/>
      <c r="AR21" s="852"/>
      <c r="AS21" s="1501">
        <v>0</v>
      </c>
    </row>
    <row s="17315" customFormat="1" customHeight="1" ht="14.25" hidden="1">
      <c r="L22" s="1670"/>
      <c r="M22" s="1703"/>
      <c r="N22" s="1703"/>
      <c r="O22" s="1705" t="s">
        <v>413</v>
      </c>
      <c r="P22" s="1703"/>
      <c r="Q22" s="1712"/>
      <c r="R22" s="1712"/>
      <c r="S22" s="1070"/>
      <c r="T22" s="1501" t="s">
        <v>414</v>
      </c>
      <c r="AA22" s="527" t="s">
        <v>415</v>
      </c>
      <c r="AC22" s="527" t="s">
        <v>416</v>
      </c>
      <c r="AD22" s="1501" t="s">
        <v>414</v>
      </c>
      <c r="AI22" s="527" t="s">
        <v>417</v>
      </c>
      <c r="AK22" s="527" t="s">
        <v>416</v>
      </c>
      <c r="AN22" s="852"/>
      <c r="AO22" s="852"/>
      <c r="AP22" s="852"/>
      <c r="AQ22" s="852"/>
      <c r="AR22" s="852"/>
      <c r="AS22" s="1501">
        <v>0</v>
      </c>
    </row>
    <row customHeight="1" ht="14.25" hidden="1">
      <c r="O23" s="1705"/>
      <c r="AS23" s="1496">
        <v>0</v>
      </c>
    </row>
    <row customHeight="1" ht="14.25" hidden="1">
      <c r="O24" s="1705"/>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14.699999999999998">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S26" s="1496">
        <v>14</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17442" customFormat="1" customHeight="1" ht="25.5" hidden="1">
      <c r="A29" s="1709"/>
      <c r="B29" s="1709"/>
      <c r="C29" s="1709"/>
      <c r="D29" s="1709"/>
      <c r="E29" s="1709"/>
      <c r="F29" s="1709"/>
      <c r="G29" s="1709"/>
      <c r="H29" s="1709"/>
      <c r="I29" s="1709"/>
      <c r="J29" s="1709"/>
      <c r="K29" s="1709"/>
      <c r="L29" s="1710"/>
      <c r="M29" s="1709"/>
      <c r="N29" s="1709"/>
      <c r="O29" s="1709"/>
      <c r="S29" s="2591" t="s">
        <v>41</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418</v>
      </c>
      <c r="T30" s="2591"/>
      <c r="U30" s="1713"/>
      <c r="V30" s="2605" t="str">
        <f>IF(TITLE_DATE_PR_CHANGE="",IF(TITLE_DATE_PR="","",TITLE_DATE_PR),TITLE_DATE_PR_CHANGE)</f>
        <v/>
      </c>
      <c r="W30" s="2605"/>
      <c r="X30" s="2605"/>
      <c r="Y30" s="2605"/>
      <c r="Z30" s="2605"/>
      <c r="AA30" s="2605"/>
      <c r="AB30" s="2605"/>
      <c r="AC30" s="667"/>
      <c r="AD30" s="2605" t="str">
        <f>IF(TITLE_DATE_PR_CHANGE="",IF(TITLE_DATE_PR="","",TITLE_DATE_PR),TITLE_DATE_PR_CHANGE)</f>
        <v/>
      </c>
      <c r="AE30" s="2605"/>
      <c r="AF30" s="2605"/>
      <c r="AG30" s="2605"/>
      <c r="AH30" s="2605"/>
      <c r="AI30" s="2605"/>
      <c r="AJ30" s="2605"/>
      <c r="AK30" s="667"/>
      <c r="AL30" s="667"/>
      <c r="AM30" s="621"/>
      <c r="AN30" s="709"/>
      <c r="AO30" s="709"/>
      <c r="AP30" s="709"/>
      <c r="AQ30" s="709"/>
      <c r="AR30" s="709"/>
      <c r="AS30" s="759">
        <v>0</v>
      </c>
    </row>
    <row s="17442" customFormat="1" customHeight="1" ht="18.75" hidden="1">
      <c r="A31" s="1709"/>
      <c r="B31" s="1709"/>
      <c r="C31" s="1709"/>
      <c r="D31" s="1709"/>
      <c r="E31" s="1709"/>
      <c r="F31" s="1709"/>
      <c r="G31" s="1709"/>
      <c r="H31" s="1709"/>
      <c r="I31" s="1709"/>
      <c r="J31" s="1709"/>
      <c r="K31" s="1709"/>
      <c r="L31" s="1710"/>
      <c r="M31" s="1709"/>
      <c r="N31" s="1709"/>
      <c r="O31" s="1709"/>
      <c r="S31" s="2591" t="s">
        <v>419</v>
      </c>
      <c r="T31" s="2591"/>
      <c r="U31" s="1713"/>
      <c r="V31" s="2592" t="str">
        <f>IF(TITLE_NUMBER_PR_CHANGE="",IF(TITLE_NUMBER_PR="","",TITLE_NUMBER_PR),TITLE_NUMBER_PR_CHANGE)</f>
        <v/>
      </c>
      <c r="W31" s="2592"/>
      <c r="X31" s="2592"/>
      <c r="Y31" s="2592"/>
      <c r="Z31" s="2592"/>
      <c r="AA31" s="2592"/>
      <c r="AB31" s="2592"/>
      <c r="AC31" s="667"/>
      <c r="AD31" s="2592" t="str">
        <f>IF(TITLE_NUMBER_PR_CHANGE="",IF(TITLE_NUMBER_PR="","",TITLE_NUMBER_PR),TITLE_NUMBER_PR_CHANGE)</f>
        <v/>
      </c>
      <c r="AE31" s="2592"/>
      <c r="AF31" s="2592"/>
      <c r="AG31" s="2592"/>
      <c r="AH31" s="2592"/>
      <c r="AI31" s="2592"/>
      <c r="AJ31" s="2592"/>
      <c r="AK31" s="667"/>
      <c r="AL31" s="667"/>
      <c r="AM31" s="621"/>
      <c r="AN31" s="709"/>
      <c r="AO31" s="709"/>
      <c r="AP31" s="709"/>
      <c r="AQ31" s="709"/>
      <c r="AR31" s="709"/>
      <c r="AS31" s="759">
        <v>0</v>
      </c>
    </row>
    <row s="17442" customFormat="1" customHeight="1" ht="18.75" hidden="1">
      <c r="A32" s="1709"/>
      <c r="B32" s="1709"/>
      <c r="C32" s="1709"/>
      <c r="D32" s="1709"/>
      <c r="E32" s="1709"/>
      <c r="F32" s="1709"/>
      <c r="G32" s="1709"/>
      <c r="H32" s="1709"/>
      <c r="I32" s="1709"/>
      <c r="J32" s="1709"/>
      <c r="K32" s="1709"/>
      <c r="L32" s="1710"/>
      <c r="M32" s="1709"/>
      <c r="N32" s="1709"/>
      <c r="O32" s="1709"/>
      <c r="S32" s="2591" t="s">
        <v>42</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hidden="1">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17442" customFormat="1" customHeight="1" ht="18.75" hidden="1">
      <c r="A34" s="1709"/>
      <c r="B34" s="1709"/>
      <c r="C34" s="1709"/>
      <c r="D34" s="1709"/>
      <c r="E34" s="1709"/>
      <c r="F34" s="1709"/>
      <c r="G34" s="1709"/>
      <c r="H34" s="1709"/>
      <c r="I34" s="1709"/>
      <c r="J34" s="1709"/>
      <c r="K34" s="1709"/>
      <c r="L34" s="1710"/>
      <c r="M34" s="1709"/>
      <c r="N34" s="1709"/>
      <c r="O34" s="1709"/>
      <c r="S34" s="2591" t="s">
        <v>420</v>
      </c>
      <c r="T34" s="2591"/>
      <c r="U34" s="1713"/>
      <c r="V34" s="2605" t="str">
        <f>IF(TITLE_DATE_PR_CHANGE="",IF(TITLE_DATE_PR="","",TITLE_DATE_PR),TITLE_DATE_PR_CHANGE)</f>
        <v/>
      </c>
      <c r="W34" s="2605"/>
      <c r="X34" s="2605"/>
      <c r="Y34" s="2605"/>
      <c r="Z34" s="2605"/>
      <c r="AA34" s="2605"/>
      <c r="AB34" s="2605"/>
      <c r="AC34" s="667"/>
      <c r="AD34" s="2605" t="str">
        <f>IF(TITLE_DATE_PR_CHANGE="",IF(TITLE_DATE_PR="","",TITLE_DATE_PR),TITLE_DATE_PR_CHANGE)</f>
        <v/>
      </c>
      <c r="AE34" s="2605"/>
      <c r="AF34" s="2605"/>
      <c r="AG34" s="2605"/>
      <c r="AH34" s="2605"/>
      <c r="AI34" s="2605"/>
      <c r="AJ34" s="2605"/>
      <c r="AK34" s="667"/>
      <c r="AL34" s="667"/>
      <c r="AM34" s="621"/>
      <c r="AN34" s="709"/>
      <c r="AO34" s="709"/>
      <c r="AP34" s="709"/>
      <c r="AQ34" s="709"/>
      <c r="AR34" s="709"/>
      <c r="AS34" s="759">
        <v>0</v>
      </c>
    </row>
    <row s="17442" customFormat="1" customHeight="1" ht="18.75" hidden="1">
      <c r="A35" s="1709"/>
      <c r="B35" s="1709"/>
      <c r="C35" s="1709"/>
      <c r="D35" s="1709"/>
      <c r="E35" s="1709"/>
      <c r="F35" s="1709"/>
      <c r="G35" s="1709"/>
      <c r="H35" s="1709"/>
      <c r="I35" s="1709"/>
      <c r="J35" s="1709"/>
      <c r="K35" s="1709"/>
      <c r="L35" s="1710"/>
      <c r="M35" s="1709"/>
      <c r="N35" s="1709"/>
      <c r="O35" s="1709"/>
      <c r="S35" s="2591" t="s">
        <v>421</v>
      </c>
      <c r="T35" s="2591"/>
      <c r="U35" s="1713"/>
      <c r="V35" s="2592" t="str">
        <f>IF(TITLE_NUMBER_PR_CHANGE="",IF(TITLE_NUMBER_PR="","",TITLE_NUMBER_PR),TITLE_NUMBER_PR_CHANGE)</f>
        <v/>
      </c>
      <c r="W35" s="2592"/>
      <c r="X35" s="2592"/>
      <c r="Y35" s="2592"/>
      <c r="Z35" s="2592"/>
      <c r="AA35" s="2592"/>
      <c r="AB35" s="2592"/>
      <c r="AC35" s="667"/>
      <c r="AD35" s="2592" t="str">
        <f>IF(TITLE_NUMBER_PR_CHANGE="",IF(TITLE_NUMBER_PR="","",TITLE_NUMBER_PR),TITLE_NUMBER_PR_CHANGE)</f>
        <v/>
      </c>
      <c r="AE35" s="2592"/>
      <c r="AF35" s="2592"/>
      <c r="AG35" s="2592"/>
      <c r="AH35" s="2592"/>
      <c r="AI35" s="2592"/>
      <c r="AJ35" s="2592"/>
      <c r="AK35" s="667"/>
      <c r="AL35" s="667"/>
      <c r="AM35" s="621"/>
      <c r="AN35" s="709"/>
      <c r="AO35" s="709"/>
      <c r="AP35" s="709"/>
      <c r="AQ35" s="709"/>
      <c r="AR35" s="709"/>
      <c r="AS35" s="759">
        <v>0</v>
      </c>
    </row>
    <row s="1744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422</v>
      </c>
      <c r="AD36" s="667"/>
      <c r="AE36" s="667"/>
      <c r="AF36" s="667"/>
      <c r="AG36" s="667"/>
      <c r="AH36" s="667"/>
      <c r="AI36" s="667"/>
      <c r="AJ36" s="667"/>
      <c r="AK36" s="619" t="s">
        <v>422</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295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296</v>
      </c>
      <c r="AS38" s="1496">
        <v>14</v>
      </c>
    </row>
    <row customHeight="1" ht="14.699999999999998">
      <c r="Q39" s="717"/>
      <c r="R39" s="717"/>
      <c r="S39" s="2614" t="s">
        <v>88</v>
      </c>
      <c r="T39" s="2550" t="s">
        <v>423</v>
      </c>
      <c r="U39" s="642"/>
      <c r="V39" s="2615" t="s">
        <v>424</v>
      </c>
      <c r="W39" s="2616"/>
      <c r="X39" s="2616"/>
      <c r="Y39" s="2616"/>
      <c r="Z39" s="2616"/>
      <c r="AA39" s="2616"/>
      <c r="AB39" s="2617"/>
      <c r="AC39" s="2618" t="s">
        <v>425</v>
      </c>
      <c r="AD39" s="2615" t="s">
        <v>424</v>
      </c>
      <c r="AE39" s="2616"/>
      <c r="AF39" s="2616"/>
      <c r="AG39" s="2616"/>
      <c r="AH39" s="2616"/>
      <c r="AI39" s="2616"/>
      <c r="AJ39" s="2617"/>
      <c r="AK39" s="2618" t="s">
        <v>426</v>
      </c>
      <c r="AL39" s="2621" t="s">
        <v>427</v>
      </c>
      <c r="AM39" s="2468"/>
      <c r="AS39" s="1496">
        <v>14</v>
      </c>
    </row>
    <row customHeight="1" ht="35.699999999999996">
      <c r="Q40" s="717"/>
      <c r="R40" s="717"/>
      <c r="S40" s="2614"/>
      <c r="T40" s="2550"/>
      <c r="U40" s="1372"/>
      <c r="V40" s="2601" t="s">
        <v>428</v>
      </c>
      <c r="W40" s="2624" t="s">
        <v>429</v>
      </c>
      <c r="X40" s="2603" t="s">
        <v>430</v>
      </c>
      <c r="Y40" s="2604"/>
      <c r="Z40" s="2603" t="s">
        <v>444</v>
      </c>
      <c r="AA40" s="2610"/>
      <c r="AB40" s="2604"/>
      <c r="AC40" s="2619"/>
      <c r="AD40" s="2601" t="s">
        <v>428</v>
      </c>
      <c r="AE40" s="2624" t="s">
        <v>429</v>
      </c>
      <c r="AF40" s="2603" t="s">
        <v>430</v>
      </c>
      <c r="AG40" s="2604"/>
      <c r="AH40" s="2603" t="s">
        <v>431</v>
      </c>
      <c r="AI40" s="2610"/>
      <c r="AJ40" s="2604"/>
      <c r="AK40" s="2619"/>
      <c r="AL40" s="2622"/>
      <c r="AM40" s="2468"/>
      <c r="AS40" s="1496">
        <v>34</v>
      </c>
    </row>
    <row customHeight="1" ht="35.699999999999996">
      <c r="A41" s="1711"/>
      <c r="B41" s="1711" t="s">
        <v>132</v>
      </c>
      <c r="C41" s="1711" t="s">
        <v>133</v>
      </c>
      <c r="D41" s="1711" t="s">
        <v>134</v>
      </c>
      <c r="E41" s="1705" t="s">
        <v>432</v>
      </c>
      <c r="F41" s="1705" t="s">
        <v>433</v>
      </c>
      <c r="G41" s="1705" t="s">
        <v>434</v>
      </c>
      <c r="H41" s="1705" t="s">
        <v>435</v>
      </c>
      <c r="I41" s="1705" t="s">
        <v>436</v>
      </c>
      <c r="J41" s="1705" t="s">
        <v>437</v>
      </c>
      <c r="K41" s="1705" t="s">
        <v>438</v>
      </c>
      <c r="L41" s="1705" t="s">
        <v>413</v>
      </c>
      <c r="Q41" s="717"/>
      <c r="R41" s="717"/>
      <c r="S41" s="2614"/>
      <c r="T41" s="2550"/>
      <c r="U41" s="643"/>
      <c r="V41" s="2602"/>
      <c r="W41" s="2625"/>
      <c r="X41" s="1563" t="s">
        <v>439</v>
      </c>
      <c r="Y41" s="1563" t="s">
        <v>440</v>
      </c>
      <c r="Z41" s="1679" t="s">
        <v>441</v>
      </c>
      <c r="AA41" s="2611" t="s">
        <v>442</v>
      </c>
      <c r="AB41" s="2612"/>
      <c r="AC41" s="2620"/>
      <c r="AD41" s="2602"/>
      <c r="AE41" s="2625"/>
      <c r="AF41" s="1563" t="s">
        <v>439</v>
      </c>
      <c r="AG41" s="1563" t="s">
        <v>440</v>
      </c>
      <c r="AH41" s="1679" t="s">
        <v>441</v>
      </c>
      <c r="AI41" s="2611" t="s">
        <v>442</v>
      </c>
      <c r="AJ41" s="2612"/>
      <c r="AK41" s="2620"/>
      <c r="AL41" s="2623"/>
      <c r="AM41" s="2468"/>
      <c r="AS41" s="1496">
        <v>34</v>
      </c>
    </row>
    <row s="17832"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106</v>
      </c>
      <c r="T42" s="1596" t="s">
        <v>107</v>
      </c>
      <c r="U42" s="1586" t="str">
        <f>OFFSET(U42,0,-1)</f>
        <v>2</v>
      </c>
      <c r="V42" s="1676">
        <f>OFFSET(V42,0,-1)+1</f>
        <v>3</v>
      </c>
      <c r="W42" s="1676"/>
      <c r="X42" s="1676">
        <f>OFFSET(X42,0,-1)+1</f>
        <v>1</v>
      </c>
      <c r="Y42" s="1676">
        <f>OFFSET(Y42,0,-1)+1</f>
        <v>2</v>
      </c>
      <c r="Z42" s="1676">
        <f>OFFSET(Z42,0,-1)+1</f>
        <v>3</v>
      </c>
      <c r="AA42" s="2613">
        <f>OFFSET(AA42,0,-1)+1</f>
        <v>4</v>
      </c>
      <c r="AB42" s="2613"/>
      <c r="AC42" s="1676">
        <f>OFFSET(AC42,0,-2)+1</f>
        <v>5</v>
      </c>
      <c r="AD42" s="1676">
        <f>OFFSET(AD42,0,-1)+1</f>
        <v>6</v>
      </c>
      <c r="AE42" s="1676"/>
      <c r="AF42" s="1676">
        <f>OFFSET(AF42,0,-1)+1</f>
        <v>1</v>
      </c>
      <c r="AG42" s="1676">
        <f>OFFSET(AG42,0,-1)+1</f>
        <v>2</v>
      </c>
      <c r="AH42" s="1676">
        <f>OFFSET(AH42,0,-1)+1</f>
        <v>3</v>
      </c>
      <c r="AI42" s="2613">
        <f>OFFSET(AI42,0,-1)+1</f>
        <v>4</v>
      </c>
      <c r="AJ42" s="2613"/>
      <c r="AK42" s="1676">
        <f>OFFSET(AK42,0,-2)+1</f>
        <v>5</v>
      </c>
      <c r="AL42" s="1586">
        <f>OFFSET(AL42,0,-1)</f>
        <v>5</v>
      </c>
      <c r="AM42" s="1676">
        <f>OFFSET(AM42,0,-1)+1</f>
        <v>6</v>
      </c>
      <c r="AN42" s="852"/>
      <c r="AO42" s="852"/>
      <c r="AP42" s="852"/>
      <c r="AQ42" s="852"/>
      <c r="AR42" s="852"/>
      <c r="AS42" s="837">
        <v>0</v>
      </c>
    </row>
    <row customHeight="1" ht="22.049999999999997">
      <c r="A43" s="1704" t="s">
        <v>158</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0</v>
      </c>
      <c r="T43" s="639" t="s">
        <v>120</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21</v>
      </c>
    </row>
    <row customHeight="1" ht="22.049999999999997">
      <c r="A44" s="1704" t="s">
        <v>158</v>
      </c>
      <c r="B44" s="1704" t="s">
        <v>159</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v>
      </c>
      <c r="T44" s="649" t="s">
        <v>392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393</v>
      </c>
      <c r="AO44" s="841"/>
      <c r="AP44" s="841" t="str">
        <f>IF(T44="","",T44)</f>
        <v>Территория действия тарифа</v>
      </c>
      <c r="AQ44" s="841"/>
      <c r="AR44" s="841"/>
      <c r="AS44" s="1496">
        <v>21</v>
      </c>
    </row>
    <row customHeight="1" ht="24">
      <c r="A45" s="1704" t="s">
        <v>158</v>
      </c>
      <c r="B45" s="1704" t="s">
        <v>159</v>
      </c>
      <c r="C45" s="1704" t="s">
        <v>160</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v>
      </c>
      <c r="T45" s="650" t="s">
        <v>394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395</v>
      </c>
      <c r="AO45" s="841"/>
      <c r="AP45" s="841" t="str">
        <f>IF(T45="","",T45)</f>
        <v>Наименование системы теплоснабжения </v>
      </c>
      <c r="AQ45" s="841"/>
      <c r="AR45" s="841"/>
      <c r="AS45" s="1496">
        <v>23</v>
      </c>
    </row>
    <row customHeight="1" ht="22.049999999999997">
      <c r="A46" s="1704" t="s">
        <v>158</v>
      </c>
      <c r="B46" s="1704" t="s">
        <v>159</v>
      </c>
      <c r="C46" s="1704" t="s">
        <v>160</v>
      </c>
      <c r="D46" s="1704" t="s">
        <v>161</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v>
      </c>
      <c r="T46" s="651" t="s">
        <v>396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397</v>
      </c>
      <c r="AO46" s="841"/>
      <c r="AP46" s="841" t="str">
        <f>IF(T46="","",T46)</f>
        <v>Источник тепловой энергии  </v>
      </c>
      <c r="AQ46" s="841"/>
      <c r="AR46" s="841"/>
      <c r="AS46" s="1496">
        <v>21</v>
      </c>
    </row>
    <row customHeight="1" ht="49.5">
      <c r="A47" s="1704" t="s">
        <v>158</v>
      </c>
      <c r="B47" s="1704" t="s">
        <v>159</v>
      </c>
      <c r="C47" s="1704" t="s">
        <v>160</v>
      </c>
      <c r="D47" s="1704" t="s">
        <v>161</v>
      </c>
      <c r="E47" s="2600"/>
      <c r="F47" s="2600"/>
      <c r="G47" s="2600"/>
      <c r="H47" s="2600"/>
      <c r="I47" s="2597" t="str">
        <f>S46&amp;".1"</f>
        <v>....1</v>
      </c>
      <c r="J47" s="1704"/>
      <c r="K47" s="1704"/>
      <c r="L47" s="1705" t="s">
        <v>398</v>
      </c>
      <c r="P47" s="2598">
        <v>1</v>
      </c>
      <c r="Q47" s="1672"/>
      <c r="R47" s="697"/>
      <c r="S47" s="1677" t="str">
        <f>$I47</f>
        <v>....1</v>
      </c>
      <c r="T47" s="626" t="s">
        <v>399</v>
      </c>
      <c r="U47" s="641"/>
      <c r="V47" s="2586"/>
      <c r="W47" s="2587"/>
      <c r="X47" s="2587"/>
      <c r="Y47" s="2587"/>
      <c r="Z47" s="2587"/>
      <c r="AA47" s="2587"/>
      <c r="AB47" s="2587"/>
      <c r="AC47" s="2588"/>
      <c r="AD47" s="2586"/>
      <c r="AE47" s="2587"/>
      <c r="AF47" s="2587"/>
      <c r="AG47" s="2587"/>
      <c r="AH47" s="2587"/>
      <c r="AI47" s="2587"/>
      <c r="AJ47" s="2587"/>
      <c r="AK47" s="2587"/>
      <c r="AL47" s="2588"/>
      <c r="AM47" s="1599" t="s">
        <v>400</v>
      </c>
      <c r="AO47" s="841"/>
      <c r="AP47" s="841" t="str">
        <f>IF(T47="","",T47)</f>
        <v>Схема подключения теплопотребляющей установки к коллектору источника тепловой энергии</v>
      </c>
      <c r="AQ47" s="841"/>
      <c r="AR47" s="841"/>
      <c r="AS47" s="1496">
        <v>47</v>
      </c>
    </row>
    <row customHeight="1" ht="22.049999999999997">
      <c r="A48" s="1704" t="s">
        <v>158</v>
      </c>
      <c r="B48" s="1704" t="s">
        <v>159</v>
      </c>
      <c r="C48" s="1704" t="s">
        <v>160</v>
      </c>
      <c r="D48" s="1704" t="s">
        <v>161</v>
      </c>
      <c r="E48" s="2600"/>
      <c r="F48" s="2600"/>
      <c r="G48" s="2600"/>
      <c r="H48" s="2600"/>
      <c r="I48" s="2627"/>
      <c r="J48" s="2597" t="str">
        <f>I47&amp;".1"</f>
        <v>....1.1</v>
      </c>
      <c r="K48" s="1704"/>
      <c r="L48" s="1705" t="s">
        <v>401</v>
      </c>
      <c r="P48" s="2598"/>
      <c r="Q48" s="2598">
        <v>1</v>
      </c>
      <c r="R48" s="698"/>
      <c r="S48" s="1677" t="str">
        <f>$J48</f>
        <v>....1.1</v>
      </c>
      <c r="T48" s="627" t="s">
        <v>402</v>
      </c>
      <c r="U48" s="641"/>
      <c r="V48" s="2586"/>
      <c r="W48" s="2587"/>
      <c r="X48" s="2587"/>
      <c r="Y48" s="2587"/>
      <c r="Z48" s="2587"/>
      <c r="AA48" s="2587"/>
      <c r="AB48" s="2587"/>
      <c r="AC48" s="2588"/>
      <c r="AD48" s="2586"/>
      <c r="AE48" s="2587"/>
      <c r="AF48" s="2587"/>
      <c r="AG48" s="2587"/>
      <c r="AH48" s="2587"/>
      <c r="AI48" s="2587"/>
      <c r="AJ48" s="2587"/>
      <c r="AK48" s="2587"/>
      <c r="AL48" s="2588"/>
      <c r="AM48" s="1599" t="s">
        <v>403</v>
      </c>
      <c r="AO48" s="841"/>
      <c r="AP48" s="841" t="str">
        <f>IF(T48="","",T48)</f>
        <v>Группа потребителей</v>
      </c>
      <c r="AQ48" s="841"/>
      <c r="AR48" s="841"/>
      <c r="AS48" s="1496">
        <v>21</v>
      </c>
    </row>
    <row customHeight="1" ht="22.049999999999997">
      <c r="A49" s="1704" t="s">
        <v>158</v>
      </c>
      <c r="B49" s="1704" t="s">
        <v>159</v>
      </c>
      <c r="C49" s="1704" t="s">
        <v>160</v>
      </c>
      <c r="D49" s="1704" t="s">
        <v>161</v>
      </c>
      <c r="E49" s="2600"/>
      <c r="F49" s="2600"/>
      <c r="G49" s="2600"/>
      <c r="H49" s="2600"/>
      <c r="I49" s="2627"/>
      <c r="J49" s="2627"/>
      <c r="K49" s="2597" t="str">
        <f>J48&amp;".1"</f>
        <v>....1.1.1</v>
      </c>
      <c r="L49" s="1705" t="s">
        <v>404</v>
      </c>
      <c r="P49" s="2598"/>
      <c r="Q49" s="2598"/>
      <c r="R49" s="698">
        <v>1</v>
      </c>
      <c r="S49" s="1677" t="str">
        <f>$K49</f>
        <v>....1.1.1</v>
      </c>
      <c r="T49" s="1688"/>
      <c r="U49" s="641"/>
      <c r="V49" s="1092"/>
      <c r="W49" s="666"/>
      <c r="X49" s="1092"/>
      <c r="Y49" s="1598"/>
      <c r="Z49" s="2606"/>
      <c r="AA49" s="2448" t="s">
        <v>65</v>
      </c>
      <c r="AB49" s="2606"/>
      <c r="AC49" s="2448" t="s">
        <v>65</v>
      </c>
      <c r="AD49" s="1092"/>
      <c r="AE49" s="666"/>
      <c r="AF49" s="1092"/>
      <c r="AG49" s="1598"/>
      <c r="AH49" s="2606"/>
      <c r="AI49" s="2448" t="s">
        <v>65</v>
      </c>
      <c r="AJ49" s="2628"/>
      <c r="AK49" s="2448" t="s">
        <v>65</v>
      </c>
      <c r="AL49" s="1689"/>
      <c r="AM49" s="2594" t="s">
        <v>405</v>
      </c>
      <c r="AN49" s="852">
        <f>STRCHECKDATE(V50:AL50)</f>
      </c>
      <c r="AO49" s="841"/>
      <c r="AP49" s="841" t="str">
        <f>IF(T49="","",T49)</f>
        <v/>
      </c>
      <c r="AQ49" s="841"/>
      <c r="AR49" s="841"/>
      <c r="AS49" s="1496">
        <v>21</v>
      </c>
    </row>
    <row customHeight="1" ht="1.05">
      <c r="A50" s="1704" t="s">
        <v>158</v>
      </c>
      <c r="B50" s="1704" t="s">
        <v>159</v>
      </c>
      <c r="C50" s="1704" t="s">
        <v>160</v>
      </c>
      <c r="D50" s="1704" t="s">
        <v>161</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1</v>
      </c>
    </row>
    <row customHeight="1" ht="11.549999999999999">
      <c r="A51" s="1704" t="s">
        <v>158</v>
      </c>
      <c r="B51" s="1704" t="s">
        <v>159</v>
      </c>
      <c r="C51" s="1704" t="s">
        <v>160</v>
      </c>
      <c r="D51" s="1704" t="s">
        <v>161</v>
      </c>
      <c r="E51" s="2600"/>
      <c r="F51" s="2600"/>
      <c r="G51" s="2600"/>
      <c r="H51" s="2600"/>
      <c r="I51" s="2627"/>
      <c r="J51" s="2597"/>
      <c r="K51" s="1704"/>
      <c r="L51" s="1705"/>
      <c r="P51" s="2598"/>
      <c r="Q51" s="2598"/>
      <c r="R51" s="697"/>
      <c r="S51" s="1619"/>
      <c r="T51" s="629" t="s">
        <v>406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158</v>
      </c>
      <c r="B52" s="1704" t="s">
        <v>159</v>
      </c>
      <c r="C52" s="1704" t="s">
        <v>160</v>
      </c>
      <c r="D52" s="1704" t="s">
        <v>161</v>
      </c>
      <c r="E52" s="2600"/>
      <c r="F52" s="2600"/>
      <c r="G52" s="2600"/>
      <c r="H52" s="2600"/>
      <c r="I52" s="2597"/>
      <c r="J52" s="1704"/>
      <c r="K52" s="1704"/>
      <c r="L52" s="1705"/>
      <c r="P52" s="2598"/>
      <c r="Q52" s="1672"/>
      <c r="R52" s="697"/>
      <c r="S52" s="1619"/>
      <c r="T52" s="628" t="s">
        <v>407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14.699999999999998">
      <c r="A53" s="1704" t="s">
        <v>158</v>
      </c>
      <c r="B53" s="1704" t="s">
        <v>159</v>
      </c>
      <c r="C53" s="1704" t="s">
        <v>160</v>
      </c>
      <c r="D53" s="1704" t="s">
        <v>161</v>
      </c>
      <c r="E53" s="2600"/>
      <c r="F53" s="2600"/>
      <c r="G53" s="2600"/>
      <c r="H53" s="2599"/>
      <c r="I53" s="1704"/>
      <c r="J53" s="1704"/>
      <c r="K53" s="1704"/>
      <c r="L53" s="1705"/>
      <c r="M53" s="1706"/>
      <c r="N53" s="1706"/>
      <c r="O53" s="878"/>
      <c r="P53" s="701"/>
      <c r="Q53" s="716"/>
      <c r="R53" s="696"/>
      <c r="S53" s="1619"/>
      <c r="T53" s="706" t="s">
        <v>408</v>
      </c>
      <c r="U53" s="708"/>
      <c r="V53" s="708"/>
      <c r="W53" s="708"/>
      <c r="X53" s="708"/>
      <c r="Y53" s="708"/>
      <c r="Z53" s="708"/>
      <c r="AA53" s="708"/>
      <c r="AB53" s="708"/>
      <c r="AC53" s="707"/>
      <c r="AD53" s="708"/>
      <c r="AE53" s="708"/>
      <c r="AF53" s="708"/>
      <c r="AG53" s="708"/>
      <c r="AH53" s="708"/>
      <c r="AI53" s="708"/>
      <c r="AJ53" s="708"/>
      <c r="AK53" s="707"/>
      <c r="AL53" s="708"/>
      <c r="AM53" s="644"/>
      <c r="AO53" s="841"/>
      <c r="AP53" s="841" t="str">
        <f>IF(T53="","",T53)</f>
        <v>Добавить схему подключения</v>
      </c>
      <c r="AQ53" s="841"/>
      <c r="AR53" s="841"/>
      <c r="AS53" s="1496">
        <v>14</v>
      </c>
    </row>
    <row s="17316" customFormat="1" customHeight="1" ht="1.05">
      <c r="A54" s="1684" t="s">
        <v>158</v>
      </c>
      <c r="B54" s="1684" t="s">
        <v>159</v>
      </c>
      <c r="C54" s="1684" t="s">
        <v>160</v>
      </c>
      <c r="D54" s="1655"/>
      <c r="E54" s="2600"/>
      <c r="F54" s="2600"/>
      <c r="G54" s="2599"/>
      <c r="H54" s="1655"/>
      <c r="I54" s="1655"/>
      <c r="J54" s="1655"/>
      <c r="K54" s="1655"/>
      <c r="L54" s="1680"/>
      <c r="M54" s="1656"/>
      <c r="N54" s="1656"/>
      <c r="P54" s="1657"/>
      <c r="Q54" s="1658"/>
      <c r="R54" s="1657"/>
      <c r="S54" s="1663"/>
      <c r="T54" s="1666" t="s">
        <v>409</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1</v>
      </c>
    </row>
    <row s="17316" customFormat="1" customHeight="1" ht="1.05">
      <c r="A55" s="1684" t="s">
        <v>158</v>
      </c>
      <c r="B55" s="1684" t="s">
        <v>159</v>
      </c>
      <c r="C55" s="1655"/>
      <c r="D55" s="1655"/>
      <c r="E55" s="2600"/>
      <c r="F55" s="2599"/>
      <c r="G55" s="1655"/>
      <c r="H55" s="1655"/>
      <c r="I55" s="1655"/>
      <c r="J55" s="1655"/>
      <c r="K55" s="1655"/>
      <c r="L55" s="1680"/>
      <c r="M55" s="1662"/>
      <c r="N55" s="1662"/>
      <c r="P55" s="1657"/>
      <c r="Q55" s="1658"/>
      <c r="R55" s="1657"/>
      <c r="S55" s="1663"/>
      <c r="T55" s="1666" t="s">
        <v>410</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1</v>
      </c>
    </row>
    <row s="17316" customFormat="1" customHeight="1" ht="1.05">
      <c r="A56" s="1684" t="s">
        <v>158</v>
      </c>
      <c r="B56" s="1684"/>
      <c r="C56" s="1684"/>
      <c r="D56" s="1684"/>
      <c r="E56" s="2599"/>
      <c r="F56" s="1684"/>
      <c r="G56" s="1684"/>
      <c r="H56" s="1684"/>
      <c r="I56" s="1684"/>
      <c r="J56" s="1684"/>
      <c r="K56" s="1684"/>
      <c r="L56" s="1687"/>
      <c r="M56" s="1662"/>
      <c r="N56" s="1662"/>
      <c r="O56" s="859"/>
      <c r="P56" s="721"/>
      <c r="Q56" s="1685"/>
      <c r="R56" s="721"/>
      <c r="S56" s="1663"/>
      <c r="T56" s="1666" t="s">
        <v>411</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1</v>
      </c>
    </row>
    <row s="17316" customFormat="1" customHeight="1" ht="1.05">
      <c r="A57" s="1655"/>
      <c r="B57" s="1655"/>
      <c r="C57" s="1655"/>
      <c r="D57" s="1655"/>
      <c r="E57" s="1684"/>
      <c r="F57" s="1655"/>
      <c r="G57" s="1655"/>
      <c r="H57" s="1655"/>
      <c r="I57" s="1655"/>
      <c r="J57" s="1655"/>
      <c r="K57" s="1655"/>
      <c r="L57" s="1680"/>
      <c r="M57" s="1662"/>
      <c r="N57" s="1662"/>
      <c r="P57" s="1657"/>
      <c r="Q57" s="1658"/>
      <c r="R57" s="1657"/>
      <c r="S57" s="1663"/>
      <c r="T57" s="1666" t="s">
        <v>443</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1</v>
      </c>
    </row>
    <row customHeight="1" ht="11.549999999999999">
      <c r="M58" s="1501"/>
      <c r="N58" s="1501"/>
      <c r="O58" s="878"/>
      <c r="P58" s="1496"/>
      <c r="Q58" s="1496"/>
      <c r="R58" s="1496"/>
      <c r="S58" s="1496"/>
      <c r="AN58" s="1496"/>
      <c r="AO58" s="1496"/>
      <c r="AP58" s="1496"/>
      <c r="AQ58" s="1496"/>
      <c r="AR58" s="1496"/>
      <c r="AS58" s="1496">
        <v>11</v>
      </c>
    </row>
    <row customHeight="1" ht="28.5">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27</v>
      </c>
    </row>
    <row customHeight="1" ht="65.25">
      <c r="O60" s="878"/>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62</v>
      </c>
    </row>
    <row customHeight="1" ht="14.699999999999998">
      <c r="O61" s="878"/>
      <c r="AS61" s="1496">
        <v>14</v>
      </c>
    </row>
    <row customHeight="1" ht="18.75">
      <c r="O62" s="878"/>
      <c r="S62" s="1594"/>
      <c r="T62" s="2626"/>
      <c r="U62" s="2626"/>
      <c r="V62" s="2626"/>
      <c r="W62" s="2626"/>
      <c r="X62" s="2626"/>
      <c r="Y62" s="2626"/>
      <c r="Z62" s="2626"/>
      <c r="AA62" s="2626"/>
      <c r="AB62" s="2626"/>
      <c r="AC62" s="2626"/>
      <c r="AD62" s="2626"/>
      <c r="AE62" s="2626"/>
      <c r="AF62" s="2626"/>
      <c r="AG62" s="2626"/>
      <c r="AH62" s="2626"/>
      <c r="AI62" s="2626"/>
      <c r="AJ62" s="2626"/>
      <c r="AK62" s="2626"/>
      <c r="AL62" s="2626"/>
      <c r="AM62" s="2626"/>
      <c r="AS62" s="1496">
        <v>18</v>
      </c>
    </row>
    <row customHeight="1" ht="18.75">
      <c r="O63" s="878"/>
      <c r="T63" s="2626"/>
      <c r="U63" s="2626"/>
      <c r="V63" s="2626"/>
      <c r="W63" s="2626"/>
      <c r="X63" s="2626"/>
      <c r="Y63" s="2626"/>
      <c r="Z63" s="2626"/>
      <c r="AA63" s="2626"/>
      <c r="AB63" s="2626"/>
      <c r="AC63" s="2626"/>
      <c r="AD63" s="2626"/>
      <c r="AE63" s="2626"/>
      <c r="AF63" s="2626"/>
      <c r="AG63" s="2626"/>
      <c r="AH63" s="2626"/>
      <c r="AI63" s="2626"/>
      <c r="AJ63" s="2626"/>
      <c r="AK63" s="2626"/>
      <c r="AL63" s="2626"/>
      <c r="AM63" s="2626"/>
      <c r="AS63" s="1496">
        <v>18</v>
      </c>
    </row>
    <row customHeight="1" ht="29.25">
      <c r="O64" s="878"/>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28</v>
      </c>
    </row>
    <row customHeight="1" ht="22.5" hidden="1">
      <c r="A65" s="1501" t="s">
        <v>82</v>
      </c>
      <c r="B65" s="1501">
        <v>0</v>
      </c>
      <c r="C65" s="1501">
        <v>0</v>
      </c>
      <c r="D65" s="1501">
        <v>0</v>
      </c>
      <c r="E65" s="1501">
        <v>0</v>
      </c>
      <c r="F65" s="1501">
        <v>0</v>
      </c>
      <c r="G65" s="1501">
        <v>0</v>
      </c>
      <c r="H65" s="1501">
        <v>0</v>
      </c>
      <c r="I65" s="1501">
        <v>0</v>
      </c>
      <c r="J65" s="1501">
        <v>0</v>
      </c>
      <c r="K65" s="1501">
        <v>0</v>
      </c>
      <c r="L65" s="1670">
        <v>0</v>
      </c>
      <c r="M65" s="1703">
        <v>0</v>
      </c>
      <c r="N65" s="1703">
        <v>0</v>
      </c>
      <c r="O65" s="1703">
        <v>0</v>
      </c>
      <c r="P65" s="1669">
        <v>3</v>
      </c>
      <c r="Q65" s="685">
        <v>3</v>
      </c>
      <c r="R65" s="685">
        <v>3</v>
      </c>
      <c r="S65" s="922">
        <v>12</v>
      </c>
      <c r="T65" s="1496">
        <v>31</v>
      </c>
      <c r="U65" s="1496">
        <v>0</v>
      </c>
      <c r="V65" s="1496">
        <v>0</v>
      </c>
      <c r="W65" s="1496">
        <v>0</v>
      </c>
      <c r="X65" s="1496">
        <v>0</v>
      </c>
      <c r="Y65" s="1496">
        <v>0</v>
      </c>
      <c r="Z65" s="1496">
        <v>0</v>
      </c>
      <c r="AA65" s="1496">
        <v>0</v>
      </c>
      <c r="AB65" s="1496">
        <v>0</v>
      </c>
      <c r="AC65" s="1496">
        <v>0</v>
      </c>
      <c r="AD65" s="1496">
        <v>24</v>
      </c>
      <c r="AE65" s="1496">
        <v>0</v>
      </c>
      <c r="AF65" s="1496">
        <v>24</v>
      </c>
      <c r="AG65" s="1496">
        <v>24</v>
      </c>
      <c r="AH65" s="1496">
        <v>11</v>
      </c>
      <c r="AI65" s="1496">
        <v>3</v>
      </c>
      <c r="AJ65" s="1496">
        <v>11</v>
      </c>
      <c r="AK65" s="1496">
        <v>0</v>
      </c>
      <c r="AL65" s="1496">
        <v>4</v>
      </c>
      <c r="AM65" s="1496">
        <v>115</v>
      </c>
      <c r="AN65" s="852">
        <v>10</v>
      </c>
      <c r="AO65" s="852">
        <v>10</v>
      </c>
      <c r="AP65" s="852">
        <v>10</v>
      </c>
      <c r="AQ65" s="852">
        <v>10</v>
      </c>
      <c r="AR65" s="852">
        <v>10</v>
      </c>
      <c r="AS65" s="1496">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3544B3-AE5C-8FDA-8783-5352206B2DB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7239" width="10.57421875" hidden="1"/>
    <col min="2" max="2" style="17239" width="11.00390625" hidden="1" customWidth="1"/>
    <col min="3" max="3" style="17239" width="10.57421875" hidden="1"/>
    <col min="4" max="4" style="17239" width="11.8515625" hidden="1" customWidth="1"/>
    <col min="5" max="5" style="17239" width="10.00390625" hidden="1" customWidth="1"/>
    <col min="6" max="6" style="17239" width="8.7109375" hidden="1" customWidth="1"/>
    <col min="7" max="7" style="17239" width="7.57421875" hidden="1" customWidth="1"/>
    <col min="8" max="8" style="17239" width="11.421875" hidden="1" customWidth="1"/>
    <col min="9" max="9" style="17239" width="12.00390625" hidden="1" customWidth="1"/>
    <col min="10" max="10" style="17239" width="9.8515625" hidden="1" customWidth="1"/>
    <col min="11" max="11" style="17239" width="11.421875" hidden="1" customWidth="1"/>
    <col min="12" max="12" style="17313" width="19.140625" hidden="1" customWidth="1"/>
    <col min="13" max="14" style="18078" width="12.28125" hidden="1" customWidth="1"/>
    <col min="15" max="15" style="18078" width="23.421875" hidden="1" customWidth="1"/>
    <col min="16" max="16" style="18078" width="3.00390625" customWidth="1"/>
    <col min="17" max="18" style="18079" width="3.00390625" customWidth="1"/>
    <col min="19" max="19" style="18080" width="12.00390625" customWidth="1"/>
    <col min="20" max="20" style="17239" width="31.00390625" customWidth="1"/>
    <col min="21" max="21" style="17239" width="0.140625" customWidth="1"/>
    <col min="22" max="22" style="17239" width="24.7109375" hidden="1" customWidth="1"/>
    <col min="23" max="23" style="17239" width="0.140625" hidden="1" customWidth="1"/>
    <col min="24" max="25" style="17239" width="24.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24.7109375" customWidth="1"/>
    <col min="31" max="31" style="17239" width="0.140625" customWidth="1"/>
    <col min="32" max="33" style="17239" width="24.00390625" customWidth="1"/>
    <col min="34" max="34" style="17239" width="11.00390625" customWidth="1"/>
    <col min="35" max="35" style="17239" width="3.7109375" customWidth="1"/>
    <col min="36" max="36" style="17239" width="11.00390625" customWidth="1"/>
    <col min="37" max="37" style="17239" width="8.57421875" hidden="1" customWidth="1"/>
    <col min="38" max="38" style="17239" width="4.00390625" customWidth="1"/>
    <col min="39" max="39" style="17239" width="115.00390625" customWidth="1"/>
    <col min="40" max="44" style="17316" width="10.00390625" customWidth="1"/>
    <col min="45" max="45" style="17239" width="10.57421875" hidden="1"/>
  </cols>
  <sheetData>
    <row customHeight="1" ht="22.5" hidden="1">
      <c r="AS1" s="1972" t="s">
        <v>14</v>
      </c>
    </row>
    <row customHeight="1" ht="21" hidden="1">
      <c r="A2" s="1608"/>
      <c r="B2" s="1608"/>
      <c r="C2" s="1608"/>
      <c r="D2" s="1608"/>
      <c r="E2" s="2630">
        <v>1</v>
      </c>
      <c r="F2" s="1608"/>
      <c r="G2" s="1608"/>
      <c r="H2" s="1608"/>
      <c r="I2" s="1608"/>
      <c r="J2" s="1608"/>
      <c r="K2" s="1608"/>
      <c r="L2" s="1651"/>
      <c r="M2" s="1951"/>
      <c r="N2" s="1951"/>
      <c r="O2" s="1951"/>
      <c r="P2" s="1931"/>
      <c r="Q2" s="701"/>
      <c r="R2" s="696"/>
      <c r="S2" s="2299">
        <f>INDEX(PT_DIFFERENTIATION_NUM_NTAR,MATCH(A2,PT_DIFFERENTIATION_NTAR_ID,0))</f>
      </c>
      <c r="T2" s="1866" t="s">
        <v>120</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391</v>
      </c>
      <c r="AO2" s="1965"/>
      <c r="AP2" s="1965" t="str">
        <f>IF(T2="","",T2)</f>
        <v>Наименование тарифа</v>
      </c>
      <c r="AQ2" s="1965"/>
      <c r="AR2" s="1965"/>
      <c r="AS2" s="1972">
        <v>0</v>
      </c>
    </row>
    <row customHeight="1" ht="21" hidden="1">
      <c r="A3" s="1608"/>
      <c r="B3" s="1608"/>
      <c r="C3" s="1608"/>
      <c r="D3" s="1608"/>
      <c r="E3" s="2631"/>
      <c r="F3" s="2630">
        <v>1</v>
      </c>
      <c r="G3" s="1608"/>
      <c r="H3" s="1608"/>
      <c r="I3" s="1608"/>
      <c r="J3" s="1608"/>
      <c r="K3" s="1608"/>
      <c r="L3" s="1651"/>
      <c r="M3" s="1951"/>
      <c r="N3" s="1951"/>
      <c r="O3" s="1951"/>
      <c r="P3" s="2281"/>
      <c r="Q3" s="693"/>
      <c r="R3" s="694"/>
      <c r="S3" s="2299">
        <f>INDEX(PT_DIFFERENTIATION_NUM_TER,MATCH(B3,PT_DIFFERENTIATION_TER_ID,0))</f>
      </c>
      <c r="T3" s="1863" t="s">
        <v>392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393</v>
      </c>
      <c r="AO3" s="1965"/>
      <c r="AP3" s="1965" t="str">
        <f>IF(T3="","",T3)</f>
        <v>Территория действия тарифа</v>
      </c>
      <c r="AQ3" s="1965"/>
      <c r="AR3" s="1965"/>
      <c r="AS3" s="1972">
        <v>0</v>
      </c>
    </row>
    <row customHeight="1" ht="23.25" hidden="1">
      <c r="A4" s="1608"/>
      <c r="B4" s="1608"/>
      <c r="C4" s="1608"/>
      <c r="D4" s="1608"/>
      <c r="E4" s="2631"/>
      <c r="F4" s="2631"/>
      <c r="G4" s="2630">
        <v>1</v>
      </c>
      <c r="H4" s="1608"/>
      <c r="I4" s="1608"/>
      <c r="J4" s="1608"/>
      <c r="K4" s="1608"/>
      <c r="L4" s="1651"/>
      <c r="M4" s="1951"/>
      <c r="N4" s="1951"/>
      <c r="O4" s="1951"/>
      <c r="P4" s="695"/>
      <c r="Q4" s="693"/>
      <c r="R4" s="694"/>
      <c r="S4" s="2299">
        <f>INDEX(PT_DIFFERENTIATION_NUM_CS,MATCH(C4,PT_DIFFERENTIATION_CS_ID,0))</f>
      </c>
      <c r="T4" s="650" t="s">
        <v>394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395</v>
      </c>
      <c r="AO4" s="1965"/>
      <c r="AP4" s="1965" t="str">
        <f>IF(T4="","",T4)</f>
        <v>Наименование системы теплоснабжения </v>
      </c>
      <c r="AQ4" s="1965"/>
      <c r="AR4" s="1965"/>
      <c r="AS4" s="1972">
        <v>0</v>
      </c>
    </row>
    <row customHeight="1" ht="21" hidden="1">
      <c r="A5" s="1608"/>
      <c r="B5" s="1608"/>
      <c r="C5" s="1608"/>
      <c r="D5" s="1608"/>
      <c r="E5" s="2631"/>
      <c r="F5" s="2631"/>
      <c r="G5" s="2631"/>
      <c r="H5" s="2630">
        <v>1</v>
      </c>
      <c r="I5" s="1608"/>
      <c r="J5" s="1608"/>
      <c r="K5" s="1608"/>
      <c r="L5" s="1651"/>
      <c r="M5" s="1951"/>
      <c r="N5" s="1951"/>
      <c r="O5" s="1951"/>
      <c r="P5" s="695"/>
      <c r="Q5" s="693"/>
      <c r="R5" s="694"/>
      <c r="S5" s="2299">
        <f>INDEX(PT_DIFFERENTIATION_NUM_IST_TE,MATCH(D5,PT_DIFFERENTIATION_IST_TE_ID,0))</f>
      </c>
      <c r="T5" s="651" t="s">
        <v>396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397</v>
      </c>
      <c r="AO5" s="1965"/>
      <c r="AP5" s="1965" t="str">
        <f>IF(T5="","",T5)</f>
        <v>Источник тепловой энергии  </v>
      </c>
      <c r="AQ5" s="1965"/>
      <c r="AR5" s="1965"/>
      <c r="AS5" s="1972">
        <v>0</v>
      </c>
    </row>
    <row customHeight="1" ht="47.25" hidden="1">
      <c r="A6" s="1608"/>
      <c r="B6" s="1608"/>
      <c r="C6" s="1608"/>
      <c r="D6" s="1608"/>
      <c r="E6" s="2631"/>
      <c r="F6" s="2631"/>
      <c r="G6" s="2631"/>
      <c r="H6" s="2631"/>
      <c r="I6" s="2468">
        <f>S5&amp;".1"</f>
      </c>
      <c r="J6" s="1608"/>
      <c r="K6" s="1608"/>
      <c r="L6" s="1651" t="s">
        <v>398</v>
      </c>
      <c r="M6" s="1976"/>
      <c r="P6" s="2598">
        <v>1</v>
      </c>
      <c r="Q6" s="2295"/>
      <c r="R6" s="697"/>
      <c r="S6" s="2299">
        <f>$I6</f>
      </c>
      <c r="T6" s="626" t="s">
        <v>399</v>
      </c>
      <c r="U6" s="641"/>
      <c r="V6" s="2586"/>
      <c r="W6" s="2587"/>
      <c r="X6" s="2587"/>
      <c r="Y6" s="2587"/>
      <c r="Z6" s="2587"/>
      <c r="AA6" s="2587"/>
      <c r="AB6" s="2587"/>
      <c r="AC6" s="2588"/>
      <c r="AD6" s="2586"/>
      <c r="AE6" s="2587"/>
      <c r="AF6" s="2587"/>
      <c r="AG6" s="2587"/>
      <c r="AH6" s="2587"/>
      <c r="AI6" s="2587"/>
      <c r="AJ6" s="2587"/>
      <c r="AK6" s="2587"/>
      <c r="AL6" s="2588"/>
      <c r="AM6" s="1599" t="s">
        <v>400</v>
      </c>
      <c r="AO6" s="1965"/>
      <c r="AP6" s="1965" t="str">
        <f>IF(T6="","",T6)</f>
        <v>Схема подключения теплопотребляющей установки к коллектору источника тепловой энергии</v>
      </c>
      <c r="AQ6" s="1965"/>
      <c r="AR6" s="1965"/>
      <c r="AS6" s="1972">
        <v>0</v>
      </c>
    </row>
    <row customHeight="1" ht="21" hidden="1">
      <c r="A7" s="1608"/>
      <c r="B7" s="1608"/>
      <c r="C7" s="1608"/>
      <c r="D7" s="1608"/>
      <c r="E7" s="2631"/>
      <c r="F7" s="2631"/>
      <c r="G7" s="2631"/>
      <c r="H7" s="2631"/>
      <c r="I7" s="2442"/>
      <c r="J7" s="2468">
        <f>I6&amp;".1"</f>
      </c>
      <c r="K7" s="1608"/>
      <c r="L7" s="1651" t="s">
        <v>401</v>
      </c>
      <c r="M7" s="1976"/>
      <c r="N7" s="1972"/>
      <c r="P7" s="2598"/>
      <c r="Q7" s="2598">
        <v>1</v>
      </c>
      <c r="R7" s="698"/>
      <c r="S7" s="2299">
        <f>$J7</f>
      </c>
      <c r="T7" s="627" t="s">
        <v>402</v>
      </c>
      <c r="U7" s="641"/>
      <c r="V7" s="2586"/>
      <c r="W7" s="2587"/>
      <c r="X7" s="2587"/>
      <c r="Y7" s="2587"/>
      <c r="Z7" s="2587"/>
      <c r="AA7" s="2587"/>
      <c r="AB7" s="2587"/>
      <c r="AC7" s="2588"/>
      <c r="AD7" s="2586"/>
      <c r="AE7" s="2587"/>
      <c r="AF7" s="2587"/>
      <c r="AG7" s="2587"/>
      <c r="AH7" s="2587"/>
      <c r="AI7" s="2587"/>
      <c r="AJ7" s="2587"/>
      <c r="AK7" s="2587"/>
      <c r="AL7" s="2588"/>
      <c r="AM7" s="1599" t="s">
        <v>403</v>
      </c>
      <c r="AO7" s="1965"/>
      <c r="AP7" s="1965" t="str">
        <f>IF(T7="","",T7)</f>
        <v>Группа потребителей</v>
      </c>
      <c r="AQ7" s="1965"/>
      <c r="AR7" s="1965"/>
      <c r="AS7" s="1972">
        <v>0</v>
      </c>
    </row>
    <row customHeight="1" ht="21" hidden="1">
      <c r="A8" s="1608"/>
      <c r="B8" s="1608"/>
      <c r="C8" s="1608"/>
      <c r="D8" s="1608"/>
      <c r="E8" s="2631"/>
      <c r="F8" s="2631"/>
      <c r="G8" s="2631"/>
      <c r="H8" s="2631"/>
      <c r="I8" s="2442"/>
      <c r="J8" s="2442"/>
      <c r="K8" s="2468">
        <f>J7&amp;".1"</f>
      </c>
      <c r="L8" s="1651" t="s">
        <v>404</v>
      </c>
      <c r="M8" s="1976"/>
      <c r="N8" s="1972"/>
      <c r="O8" s="1972"/>
      <c r="P8" s="2598"/>
      <c r="Q8" s="2598"/>
      <c r="R8" s="698">
        <v>1</v>
      </c>
      <c r="S8" s="2299">
        <f>$K8</f>
      </c>
      <c r="T8" s="1688"/>
      <c r="U8" s="641"/>
      <c r="V8" s="1092"/>
      <c r="W8" s="666"/>
      <c r="X8" s="1092"/>
      <c r="Y8" s="1598"/>
      <c r="Z8" s="2606"/>
      <c r="AA8" s="2448" t="s">
        <v>65</v>
      </c>
      <c r="AB8" s="2606"/>
      <c r="AC8" s="2448" t="s">
        <v>65</v>
      </c>
      <c r="AD8" s="1092"/>
      <c r="AE8" s="666"/>
      <c r="AF8" s="1092"/>
      <c r="AG8" s="1598"/>
      <c r="AH8" s="2606"/>
      <c r="AI8" s="2448" t="s">
        <v>65</v>
      </c>
      <c r="AJ8" s="2606"/>
      <c r="AK8" s="2448" t="s">
        <v>65</v>
      </c>
      <c r="AL8" s="666"/>
      <c r="AM8" s="2594" t="s">
        <v>405</v>
      </c>
      <c r="AN8" s="1977">
        <f>STRCHECKDATE(V9:AL9)</f>
      </c>
      <c r="AO8" s="1965"/>
      <c r="AP8" s="1965" t="str">
        <f>IF(T8="","",T8)</f>
        <v/>
      </c>
      <c r="AQ8" s="1965"/>
      <c r="AR8" s="1965"/>
      <c r="AS8" s="1972">
        <v>0</v>
      </c>
    </row>
    <row customHeight="1" ht="0.75" hidden="1">
      <c r="A9" s="1608"/>
      <c r="B9" s="1608"/>
      <c r="C9" s="1608"/>
      <c r="D9" s="1608"/>
      <c r="E9" s="2631"/>
      <c r="F9" s="2631"/>
      <c r="G9" s="2631"/>
      <c r="H9" s="2631"/>
      <c r="I9" s="2442"/>
      <c r="J9" s="2442"/>
      <c r="K9" s="2468"/>
      <c r="L9" s="1651"/>
      <c r="M9" s="1976"/>
      <c r="N9" s="1972"/>
      <c r="O9" s="1972"/>
      <c r="P9" s="2598"/>
      <c r="Q9" s="2598"/>
      <c r="R9" s="698"/>
      <c r="S9" s="2308"/>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1965"/>
      <c r="AP9" s="1965" t="str">
        <f>IF(T9="","",T9)</f>
        <v/>
      </c>
      <c r="AQ9" s="1965"/>
      <c r="AR9" s="1965"/>
      <c r="AS9" s="1972">
        <v>0</v>
      </c>
    </row>
    <row customHeight="1" ht="15" hidden="1">
      <c r="A10" s="1608"/>
      <c r="B10" s="1608"/>
      <c r="C10" s="1608"/>
      <c r="D10" s="1608"/>
      <c r="E10" s="2631"/>
      <c r="F10" s="2631"/>
      <c r="G10" s="2631"/>
      <c r="H10" s="2631"/>
      <c r="I10" s="2442"/>
      <c r="J10" s="2468"/>
      <c r="K10" s="1608"/>
      <c r="L10" s="1651"/>
      <c r="M10" s="1976"/>
      <c r="N10" s="1972"/>
      <c r="P10" s="2598"/>
      <c r="Q10" s="2598"/>
      <c r="R10" s="697"/>
      <c r="S10" s="1619"/>
      <c r="T10" s="629" t="s">
        <v>406</v>
      </c>
      <c r="U10" s="941"/>
      <c r="V10" s="941"/>
      <c r="W10" s="941"/>
      <c r="X10" s="941"/>
      <c r="Y10" s="941"/>
      <c r="Z10" s="941"/>
      <c r="AA10" s="941"/>
      <c r="AB10" s="941"/>
      <c r="AC10" s="941"/>
      <c r="AD10" s="941"/>
      <c r="AE10" s="941"/>
      <c r="AF10" s="941"/>
      <c r="AG10" s="941"/>
      <c r="AH10" s="941"/>
      <c r="AI10" s="941"/>
      <c r="AJ10" s="941"/>
      <c r="AK10" s="941"/>
      <c r="AL10" s="665"/>
      <c r="AM10" s="2596"/>
      <c r="AO10" s="1965"/>
      <c r="AP10" s="1965" t="str">
        <f>IF(T10="","",T10)</f>
        <v>Добавить вид теплоносителя (параметры теплоносителя)</v>
      </c>
      <c r="AQ10" s="1965"/>
      <c r="AR10" s="1965"/>
      <c r="AS10" s="1972">
        <v>0</v>
      </c>
    </row>
    <row customHeight="1" ht="15" hidden="1">
      <c r="A11" s="1608"/>
      <c r="B11" s="1608"/>
      <c r="C11" s="1608"/>
      <c r="D11" s="1608"/>
      <c r="E11" s="2631"/>
      <c r="F11" s="2631"/>
      <c r="G11" s="2631"/>
      <c r="H11" s="2631"/>
      <c r="I11" s="2468"/>
      <c r="J11" s="1608"/>
      <c r="K11" s="1608"/>
      <c r="L11" s="1651"/>
      <c r="M11" s="1976"/>
      <c r="P11" s="2598"/>
      <c r="Q11" s="2295"/>
      <c r="R11" s="697"/>
      <c r="S11" s="1619"/>
      <c r="T11" s="628" t="s">
        <v>407</v>
      </c>
      <c r="U11" s="941"/>
      <c r="V11" s="941"/>
      <c r="W11" s="941"/>
      <c r="X11" s="941"/>
      <c r="Y11" s="941"/>
      <c r="Z11" s="941"/>
      <c r="AA11" s="941"/>
      <c r="AB11" s="941"/>
      <c r="AC11" s="707"/>
      <c r="AD11" s="941"/>
      <c r="AE11" s="941"/>
      <c r="AF11" s="941"/>
      <c r="AG11" s="941"/>
      <c r="AH11" s="941"/>
      <c r="AI11" s="941"/>
      <c r="AJ11" s="941"/>
      <c r="AK11" s="707"/>
      <c r="AL11" s="941"/>
      <c r="AM11" s="644"/>
      <c r="AO11" s="1965"/>
      <c r="AP11" s="1965" t="str">
        <f>IF(T11="","",T11)</f>
        <v>Добавить группу потребителей</v>
      </c>
      <c r="AQ11" s="1965"/>
      <c r="AR11" s="1965"/>
      <c r="AS11" s="1972">
        <v>0</v>
      </c>
    </row>
    <row customHeight="1" ht="14.25" hidden="1">
      <c r="A12" s="1608"/>
      <c r="B12" s="1608"/>
      <c r="C12" s="1608"/>
      <c r="D12" s="1608"/>
      <c r="E12" s="2631"/>
      <c r="F12" s="2631"/>
      <c r="G12" s="2631"/>
      <c r="H12" s="2630"/>
      <c r="I12" s="1608"/>
      <c r="J12" s="1608"/>
      <c r="K12" s="1608"/>
      <c r="L12" s="1651"/>
      <c r="M12" s="1951"/>
      <c r="N12" s="1951"/>
      <c r="O12" s="1976"/>
      <c r="P12" s="701"/>
      <c r="Q12" s="716"/>
      <c r="R12" s="696"/>
      <c r="S12" s="1619"/>
      <c r="T12" s="706" t="s">
        <v>408</v>
      </c>
      <c r="U12" s="941"/>
      <c r="V12" s="941"/>
      <c r="W12" s="941"/>
      <c r="X12" s="941"/>
      <c r="Y12" s="941"/>
      <c r="Z12" s="941"/>
      <c r="AA12" s="941"/>
      <c r="AB12" s="941"/>
      <c r="AC12" s="707"/>
      <c r="AD12" s="941"/>
      <c r="AE12" s="941"/>
      <c r="AF12" s="941"/>
      <c r="AG12" s="941"/>
      <c r="AH12" s="941"/>
      <c r="AI12" s="941"/>
      <c r="AJ12" s="941"/>
      <c r="AK12" s="707"/>
      <c r="AL12" s="941"/>
      <c r="AM12" s="644"/>
      <c r="AO12" s="1965"/>
      <c r="AP12" s="1965" t="str">
        <f>IF(T12="","",T12)</f>
        <v>Добавить схему подключения</v>
      </c>
      <c r="AQ12" s="1965"/>
      <c r="AR12" s="1965"/>
      <c r="AS12" s="1972">
        <v>0</v>
      </c>
    </row>
    <row s="17316" customFormat="1" customHeight="1" ht="0.75" hidden="1">
      <c r="A13" s="1715"/>
      <c r="B13" s="1715"/>
      <c r="C13" s="1715"/>
      <c r="D13" s="1715"/>
      <c r="E13" s="2631"/>
      <c r="F13" s="2631"/>
      <c r="G13" s="2630"/>
      <c r="H13" s="1715"/>
      <c r="I13" s="1715"/>
      <c r="J13" s="1715"/>
      <c r="K13" s="1715"/>
      <c r="L13" s="1718"/>
      <c r="M13" s="1719"/>
      <c r="N13" s="1719"/>
      <c r="O13" s="692"/>
      <c r="P13" s="1657"/>
      <c r="Q13" s="1658"/>
      <c r="R13" s="1657"/>
      <c r="S13" s="1659"/>
      <c r="T13" s="1660" t="s">
        <v>409</v>
      </c>
      <c r="U13" s="1661"/>
      <c r="V13" s="1661"/>
      <c r="W13" s="1661"/>
      <c r="X13" s="1661"/>
      <c r="Y13" s="1661"/>
      <c r="Z13" s="1661"/>
      <c r="AA13" s="1661"/>
      <c r="AB13" s="1661"/>
      <c r="AC13" s="1661"/>
      <c r="AD13" s="1661"/>
      <c r="AE13" s="1661"/>
      <c r="AF13" s="1661"/>
      <c r="AG13" s="1661"/>
      <c r="AH13" s="1661"/>
      <c r="AI13" s="1661"/>
      <c r="AJ13" s="1661"/>
      <c r="AK13" s="1661"/>
      <c r="AL13" s="1661"/>
      <c r="AM13" s="1661"/>
      <c r="AO13" s="1592"/>
      <c r="AP13" s="1592" t="str">
        <f>IF(T13="","",T13)</f>
        <v>Добавить источник для дифференциации</v>
      </c>
      <c r="AQ13" s="1592"/>
      <c r="AR13" s="1592"/>
      <c r="AS13" s="1983">
        <v>0</v>
      </c>
    </row>
    <row s="17316" customFormat="1" customHeight="1" ht="0.75" hidden="1">
      <c r="A14" s="1715"/>
      <c r="B14" s="1715"/>
      <c r="C14" s="1715"/>
      <c r="D14" s="1715"/>
      <c r="E14" s="2631"/>
      <c r="F14" s="2630"/>
      <c r="G14" s="1715"/>
      <c r="H14" s="1715"/>
      <c r="I14" s="1715"/>
      <c r="J14" s="1715"/>
      <c r="K14" s="1715"/>
      <c r="L14" s="1718"/>
      <c r="M14" s="1720"/>
      <c r="N14" s="1720"/>
      <c r="O14" s="692"/>
      <c r="P14" s="1657"/>
      <c r="Q14" s="1658"/>
      <c r="R14" s="1657"/>
      <c r="S14" s="1663"/>
      <c r="T14" s="1664" t="s">
        <v>410</v>
      </c>
      <c r="U14" s="1665"/>
      <c r="V14" s="1665"/>
      <c r="W14" s="1665"/>
      <c r="X14" s="1665"/>
      <c r="Y14" s="1665"/>
      <c r="Z14" s="1665"/>
      <c r="AA14" s="1665"/>
      <c r="AB14" s="1665"/>
      <c r="AC14" s="1665"/>
      <c r="AD14" s="1665"/>
      <c r="AE14" s="1665"/>
      <c r="AF14" s="1665"/>
      <c r="AG14" s="1665"/>
      <c r="AH14" s="1665"/>
      <c r="AI14" s="1665"/>
      <c r="AJ14" s="1665"/>
      <c r="AK14" s="1665"/>
      <c r="AL14" s="1665"/>
      <c r="AM14" s="1665"/>
      <c r="AO14" s="1592"/>
      <c r="AP14" s="1592" t="str">
        <f>IF(T14="","",T14)</f>
        <v>Добавить централизованную систему для дифференциации</v>
      </c>
      <c r="AQ14" s="1592"/>
      <c r="AR14" s="1592"/>
      <c r="AS14" s="1983">
        <v>0</v>
      </c>
    </row>
    <row s="17316" customFormat="1" customHeight="1" ht="0.75" hidden="1">
      <c r="A15" s="1715"/>
      <c r="B15" s="1715"/>
      <c r="C15" s="1715"/>
      <c r="D15" s="1715"/>
      <c r="E15" s="2630"/>
      <c r="F15" s="1715"/>
      <c r="G15" s="1715"/>
      <c r="H15" s="1715"/>
      <c r="I15" s="1715"/>
      <c r="J15" s="1715"/>
      <c r="K15" s="1715"/>
      <c r="L15" s="1718"/>
      <c r="M15" s="1720"/>
      <c r="N15" s="1720"/>
      <c r="O15" s="692"/>
      <c r="P15" s="1657"/>
      <c r="Q15" s="1658"/>
      <c r="R15" s="1657"/>
      <c r="S15" s="1663"/>
      <c r="T15" s="1666" t="s">
        <v>411</v>
      </c>
      <c r="U15" s="1665"/>
      <c r="V15" s="1665"/>
      <c r="W15" s="1665"/>
      <c r="X15" s="1665"/>
      <c r="Y15" s="1665"/>
      <c r="Z15" s="1665"/>
      <c r="AA15" s="1665"/>
      <c r="AB15" s="1665"/>
      <c r="AC15" s="1665"/>
      <c r="AD15" s="1665"/>
      <c r="AE15" s="1665"/>
      <c r="AF15" s="1665"/>
      <c r="AG15" s="1665"/>
      <c r="AH15" s="1665"/>
      <c r="AI15" s="1665"/>
      <c r="AJ15" s="1665"/>
      <c r="AK15" s="1665"/>
      <c r="AL15" s="1665"/>
      <c r="AM15" s="1665"/>
      <c r="AO15" s="1592"/>
      <c r="AP15" s="1592" t="str">
        <f>IF(T15="","",T15)</f>
        <v>Добавить территорию для дифференциации</v>
      </c>
      <c r="AQ15" s="1592"/>
      <c r="AR15" s="1592"/>
      <c r="AS15" s="1983">
        <v>0</v>
      </c>
    </row>
    <row customHeight="1" ht="14.25" hidden="1">
      <c r="AS16" s="1972">
        <v>0</v>
      </c>
    </row>
    <row customHeight="1" ht="14.25" hidden="1">
      <c r="AD17" s="1701"/>
      <c r="AE17" s="1701"/>
      <c r="AF17" s="1701"/>
      <c r="AG17" s="1702"/>
      <c r="AH17" s="2608"/>
      <c r="AI17" s="2609" t="s">
        <v>65</v>
      </c>
      <c r="AJ17" s="2608"/>
      <c r="AK17" s="2609" t="s">
        <v>65</v>
      </c>
      <c r="AS17" s="1972">
        <v>0</v>
      </c>
    </row>
    <row customHeight="1" ht="14.25" hidden="1">
      <c r="AD18" s="1701"/>
      <c r="AE18" s="1701"/>
      <c r="AF18" s="1701"/>
      <c r="AG18" s="669" t="str">
        <f>AH17&amp;"-"&amp;AJ17</f>
        <v>-</v>
      </c>
      <c r="AH18" s="2609"/>
      <c r="AI18" s="2609"/>
      <c r="AJ18" s="2609"/>
      <c r="AK18" s="2609"/>
      <c r="AS18" s="1972">
        <v>0</v>
      </c>
    </row>
    <row customHeight="1" ht="14.25" hidden="1">
      <c r="AS19" s="1972">
        <v>0</v>
      </c>
    </row>
    <row s="17315" customFormat="1" customHeight="1" ht="14.25" hidden="1">
      <c r="A20" s="1972"/>
      <c r="B20" s="1972"/>
      <c r="C20" s="1972"/>
      <c r="D20" s="1972"/>
      <c r="E20" s="1972"/>
      <c r="F20" s="1972"/>
      <c r="G20" s="1972"/>
      <c r="H20" s="1972"/>
      <c r="I20" s="1972"/>
      <c r="J20" s="1972"/>
      <c r="K20" s="1972"/>
      <c r="L20" s="2280"/>
      <c r="M20" s="2306"/>
      <c r="N20" s="2306"/>
      <c r="O20" s="1686" t="s">
        <v>412</v>
      </c>
      <c r="P20" s="1703"/>
      <c r="Q20" s="1712"/>
      <c r="R20" s="1712"/>
      <c r="S20" s="1070"/>
      <c r="Z20" s="1708"/>
      <c r="AB20" s="1708"/>
      <c r="AH20" s="1708"/>
      <c r="AJ20" s="1708"/>
      <c r="AN20" s="1977"/>
      <c r="AO20" s="1977"/>
      <c r="AP20" s="1977"/>
      <c r="AQ20" s="1977"/>
      <c r="AR20" s="1977"/>
      <c r="AS20" s="1707">
        <v>0</v>
      </c>
    </row>
    <row s="17315" customFormat="1" customHeight="1" ht="14.25" hidden="1">
      <c r="A21" s="1972"/>
      <c r="B21" s="1972"/>
      <c r="C21" s="1972"/>
      <c r="D21" s="1972"/>
      <c r="E21" s="1972"/>
      <c r="F21" s="1972"/>
      <c r="G21" s="1972"/>
      <c r="H21" s="1972"/>
      <c r="I21" s="1972"/>
      <c r="J21" s="1972"/>
      <c r="K21" s="1972"/>
      <c r="L21" s="2280"/>
      <c r="M21" s="2306"/>
      <c r="N21" s="2306"/>
      <c r="O21" s="2306"/>
      <c r="P21" s="1703"/>
      <c r="Q21" s="1712"/>
      <c r="R21" s="1712"/>
      <c r="S21" s="1070"/>
      <c r="AN21" s="1977"/>
      <c r="AO21" s="1977"/>
      <c r="AP21" s="1977"/>
      <c r="AQ21" s="1977"/>
      <c r="AR21" s="1977"/>
      <c r="AS21" s="1707">
        <v>0</v>
      </c>
    </row>
    <row s="17315" customFormat="1" customHeight="1" ht="14.25" hidden="1">
      <c r="A22" s="1972"/>
      <c r="B22" s="1972"/>
      <c r="C22" s="1972"/>
      <c r="D22" s="1972"/>
      <c r="E22" s="1972"/>
      <c r="F22" s="1972"/>
      <c r="G22" s="1972"/>
      <c r="H22" s="1972"/>
      <c r="I22" s="1972"/>
      <c r="J22" s="1972"/>
      <c r="K22" s="1972"/>
      <c r="L22" s="2280"/>
      <c r="M22" s="2306"/>
      <c r="N22" s="2306"/>
      <c r="O22" s="1651" t="s">
        <v>413</v>
      </c>
      <c r="P22" s="1703"/>
      <c r="Q22" s="1712"/>
      <c r="R22" s="1712"/>
      <c r="S22" s="1070"/>
      <c r="T22" s="1707" t="s">
        <v>414</v>
      </c>
      <c r="AA22" s="936" t="s">
        <v>415</v>
      </c>
      <c r="AC22" s="936" t="s">
        <v>416</v>
      </c>
      <c r="AD22" s="1707" t="s">
        <v>414</v>
      </c>
      <c r="AI22" s="936" t="s">
        <v>417</v>
      </c>
      <c r="AK22" s="936" t="s">
        <v>416</v>
      </c>
      <c r="AN22" s="1977"/>
      <c r="AO22" s="1977"/>
      <c r="AP22" s="1977"/>
      <c r="AQ22" s="1977"/>
      <c r="AR22" s="1977"/>
      <c r="AS22" s="1707">
        <v>0</v>
      </c>
    </row>
    <row customHeight="1" ht="14.25" hidden="1">
      <c r="O23" s="1651"/>
      <c r="AS23" s="1972">
        <v>0</v>
      </c>
    </row>
    <row customHeight="1" ht="14.25" hidden="1">
      <c r="O24" s="1651"/>
      <c r="AS24" s="1972">
        <v>0</v>
      </c>
    </row>
    <row customHeight="1" ht="14.699999999999998">
      <c r="Q25" s="717"/>
      <c r="R25" s="717"/>
      <c r="S25" s="1616"/>
      <c r="T25" s="798"/>
      <c r="U25" s="798"/>
      <c r="V25" s="1976"/>
      <c r="W25" s="1976"/>
      <c r="X25" s="1976"/>
      <c r="Y25" s="1976"/>
      <c r="Z25" s="1976"/>
      <c r="AA25" s="1976"/>
      <c r="AB25" s="1976"/>
      <c r="AC25" s="1976"/>
      <c r="AD25" s="1976"/>
      <c r="AE25" s="1976"/>
      <c r="AF25" s="1976"/>
      <c r="AG25" s="1976"/>
      <c r="AH25" s="1976"/>
      <c r="AI25" s="1976"/>
      <c r="AJ25" s="1976"/>
      <c r="AK25" s="1976"/>
      <c r="AS25" s="1972">
        <v>14</v>
      </c>
    </row>
    <row customHeight="1" ht="14.699999999999998">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S26" s="1972">
        <v>14</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972">
        <v>14</v>
      </c>
    </row>
    <row customHeight="1" ht="14.25" hidden="1">
      <c r="Q28" s="717"/>
      <c r="R28" s="717"/>
      <c r="S28" s="1616"/>
      <c r="T28" s="798"/>
      <c r="U28" s="798"/>
      <c r="V28" s="663"/>
      <c r="W28" s="663"/>
      <c r="X28" s="663"/>
      <c r="Y28" s="663"/>
      <c r="Z28" s="663"/>
      <c r="AA28" s="663"/>
      <c r="AB28" s="663"/>
      <c r="AC28" s="663"/>
      <c r="AD28" s="663"/>
      <c r="AE28" s="663"/>
      <c r="AF28" s="663"/>
      <c r="AG28" s="663"/>
      <c r="AH28" s="663"/>
      <c r="AI28" s="663"/>
      <c r="AJ28" s="663"/>
      <c r="AK28" s="663"/>
      <c r="AL28" s="1976"/>
      <c r="AS28" s="1972">
        <v>0</v>
      </c>
    </row>
    <row s="17442" customFormat="1" customHeight="1" ht="25.5" hidden="1">
      <c r="A29" s="1589"/>
      <c r="B29" s="1589"/>
      <c r="C29" s="1589"/>
      <c r="D29" s="1589"/>
      <c r="E29" s="1589"/>
      <c r="F29" s="1589"/>
      <c r="G29" s="1589"/>
      <c r="H29" s="1589"/>
      <c r="I29" s="1589"/>
      <c r="J29" s="1589"/>
      <c r="K29" s="1589"/>
      <c r="L29" s="1721"/>
      <c r="M29" s="1589"/>
      <c r="N29" s="1589"/>
      <c r="O29" s="1589"/>
      <c r="S29" s="2591" t="s">
        <v>41</v>
      </c>
      <c r="T29" s="2591"/>
      <c r="U29" s="1713"/>
      <c r="V29" s="2592" t="str">
        <f>IF(TITLE_NAME_OR_PR_CHANGE="",IF(TITLE_NAME_OR_PR="","",TITLE_NAME_OR_PR),TITLE_NAME_OR_PR_CHANGE)</f>
        <v/>
      </c>
      <c r="W29" s="2592"/>
      <c r="X29" s="2592"/>
      <c r="Y29" s="2592"/>
      <c r="Z29" s="2592"/>
      <c r="AA29" s="2592"/>
      <c r="AB29" s="2592"/>
      <c r="AC29" s="1976"/>
      <c r="AD29" s="2592" t="str">
        <f>IF(TITLE_NAME_OR_PR_CHANGE="",IF(TITLE_NAME_OR_PR="","",TITLE_NAME_OR_PR),TITLE_NAME_OR_PR_CHANGE)</f>
        <v/>
      </c>
      <c r="AE29" s="2592"/>
      <c r="AF29" s="2592"/>
      <c r="AG29" s="2592"/>
      <c r="AH29" s="2592"/>
      <c r="AI29" s="2592"/>
      <c r="AJ29" s="2592"/>
      <c r="AK29" s="1976"/>
      <c r="AL29" s="1976"/>
      <c r="AM29" s="621"/>
      <c r="AN29" s="709"/>
      <c r="AO29" s="709"/>
      <c r="AP29" s="709"/>
      <c r="AQ29" s="709"/>
      <c r="AR29" s="709"/>
      <c r="AS29" s="759">
        <v>0</v>
      </c>
    </row>
    <row s="17442" customFormat="1" customHeight="1" ht="18.75" hidden="1">
      <c r="A30" s="1589"/>
      <c r="B30" s="1589"/>
      <c r="C30" s="1589"/>
      <c r="D30" s="1589"/>
      <c r="E30" s="1589"/>
      <c r="F30" s="1589"/>
      <c r="G30" s="1589"/>
      <c r="H30" s="1589"/>
      <c r="I30" s="1589"/>
      <c r="J30" s="1589"/>
      <c r="K30" s="1589"/>
      <c r="L30" s="1721"/>
      <c r="M30" s="1589"/>
      <c r="N30" s="1589"/>
      <c r="O30" s="1589"/>
      <c r="S30" s="2591" t="s">
        <v>418</v>
      </c>
      <c r="T30" s="2591"/>
      <c r="U30" s="1713"/>
      <c r="V30" s="2605" t="str">
        <f>IF(TITLE_DATE_PR_CHANGE="",IF(TITLE_DATE_PR="","",TITLE_DATE_PR),TITLE_DATE_PR_CHANGE)</f>
        <v/>
      </c>
      <c r="W30" s="2605"/>
      <c r="X30" s="2605"/>
      <c r="Y30" s="2605"/>
      <c r="Z30" s="2605"/>
      <c r="AA30" s="2605"/>
      <c r="AB30" s="2605"/>
      <c r="AC30" s="1976"/>
      <c r="AD30" s="2605" t="str">
        <f>IF(TITLE_DATE_PR_CHANGE="",IF(TITLE_DATE_PR="","",TITLE_DATE_PR),TITLE_DATE_PR_CHANGE)</f>
        <v/>
      </c>
      <c r="AE30" s="2605"/>
      <c r="AF30" s="2605"/>
      <c r="AG30" s="2605"/>
      <c r="AH30" s="2605"/>
      <c r="AI30" s="2605"/>
      <c r="AJ30" s="2605"/>
      <c r="AK30" s="1976"/>
      <c r="AL30" s="1976"/>
      <c r="AM30" s="621"/>
      <c r="AN30" s="709"/>
      <c r="AO30" s="709"/>
      <c r="AP30" s="709"/>
      <c r="AQ30" s="709"/>
      <c r="AR30" s="709"/>
      <c r="AS30" s="759">
        <v>0</v>
      </c>
    </row>
    <row s="17442" customFormat="1" customHeight="1" ht="18.75" hidden="1">
      <c r="A31" s="1589"/>
      <c r="B31" s="1589"/>
      <c r="C31" s="1589"/>
      <c r="D31" s="1589"/>
      <c r="E31" s="1589"/>
      <c r="F31" s="1589"/>
      <c r="G31" s="1589"/>
      <c r="H31" s="1589"/>
      <c r="I31" s="1589"/>
      <c r="J31" s="1589"/>
      <c r="K31" s="1589"/>
      <c r="L31" s="1721"/>
      <c r="M31" s="1589"/>
      <c r="N31" s="1589"/>
      <c r="O31" s="1589"/>
      <c r="S31" s="2591" t="s">
        <v>419</v>
      </c>
      <c r="T31" s="2591"/>
      <c r="U31" s="1713"/>
      <c r="V31" s="2592" t="str">
        <f>IF(TITLE_NUMBER_PR_CHANGE="",IF(TITLE_NUMBER_PR="","",TITLE_NUMBER_PR),TITLE_NUMBER_PR_CHANGE)</f>
        <v/>
      </c>
      <c r="W31" s="2592"/>
      <c r="X31" s="2592"/>
      <c r="Y31" s="2592"/>
      <c r="Z31" s="2592"/>
      <c r="AA31" s="2592"/>
      <c r="AB31" s="2592"/>
      <c r="AC31" s="1976"/>
      <c r="AD31" s="2592" t="str">
        <f>IF(TITLE_NUMBER_PR_CHANGE="",IF(TITLE_NUMBER_PR="","",TITLE_NUMBER_PR),TITLE_NUMBER_PR_CHANGE)</f>
        <v/>
      </c>
      <c r="AE31" s="2592"/>
      <c r="AF31" s="2592"/>
      <c r="AG31" s="2592"/>
      <c r="AH31" s="2592"/>
      <c r="AI31" s="2592"/>
      <c r="AJ31" s="2592"/>
      <c r="AK31" s="1976"/>
      <c r="AL31" s="1976"/>
      <c r="AM31" s="621"/>
      <c r="AN31" s="709"/>
      <c r="AO31" s="709"/>
      <c r="AP31" s="709"/>
      <c r="AQ31" s="709"/>
      <c r="AR31" s="709"/>
      <c r="AS31" s="759">
        <v>0</v>
      </c>
    </row>
    <row s="17442" customFormat="1" customHeight="1" ht="18.75" hidden="1">
      <c r="A32" s="1589"/>
      <c r="B32" s="1589"/>
      <c r="C32" s="1589"/>
      <c r="D32" s="1589"/>
      <c r="E32" s="1589"/>
      <c r="F32" s="1589"/>
      <c r="G32" s="1589"/>
      <c r="H32" s="1589"/>
      <c r="I32" s="1589"/>
      <c r="J32" s="1589"/>
      <c r="K32" s="1589"/>
      <c r="L32" s="1721"/>
      <c r="M32" s="1589"/>
      <c r="N32" s="1589"/>
      <c r="O32" s="1589"/>
      <c r="S32" s="2591" t="s">
        <v>42</v>
      </c>
      <c r="T32" s="2591"/>
      <c r="U32" s="1713"/>
      <c r="V32" s="2592" t="str">
        <f>IF(TITLE_IST_PUB_CHANGE="",IF(TITLE_IST_PUB="","",TITLE_IST_PUB),TITLE_IST_PUB_CHANGE)</f>
        <v/>
      </c>
      <c r="W32" s="2592"/>
      <c r="X32" s="2592"/>
      <c r="Y32" s="2592"/>
      <c r="Z32" s="2592"/>
      <c r="AA32" s="2592"/>
      <c r="AB32" s="2592"/>
      <c r="AC32" s="1976"/>
      <c r="AD32" s="2592" t="str">
        <f>IF(TITLE_IST_PUB_CHANGE="",IF(TITLE_IST_PUB="","",TITLE_IST_PUB),TITLE_IST_PUB_CHANGE)</f>
        <v/>
      </c>
      <c r="AE32" s="2592"/>
      <c r="AF32" s="2592"/>
      <c r="AG32" s="2592"/>
      <c r="AH32" s="2592"/>
      <c r="AI32" s="2592"/>
      <c r="AJ32" s="2592"/>
      <c r="AK32" s="1976"/>
      <c r="AL32" s="1976"/>
      <c r="AM32" s="621"/>
      <c r="AN32" s="709"/>
      <c r="AO32" s="709"/>
      <c r="AP32" s="709"/>
      <c r="AQ32" s="709"/>
      <c r="AR32" s="709"/>
      <c r="AS32" s="759">
        <v>0</v>
      </c>
    </row>
    <row customHeight="1" ht="14.25" hidden="1">
      <c r="Q33" s="717"/>
      <c r="R33" s="717"/>
      <c r="S33" s="1616"/>
      <c r="T33" s="798"/>
      <c r="U33" s="798"/>
      <c r="V33" s="663"/>
      <c r="W33" s="663"/>
      <c r="X33" s="663"/>
      <c r="Y33" s="663"/>
      <c r="Z33" s="663"/>
      <c r="AA33" s="663"/>
      <c r="AB33" s="663"/>
      <c r="AC33" s="663"/>
      <c r="AD33" s="663"/>
      <c r="AE33" s="663"/>
      <c r="AF33" s="663"/>
      <c r="AG33" s="663"/>
      <c r="AH33" s="663"/>
      <c r="AI33" s="663"/>
      <c r="AJ33" s="663"/>
      <c r="AK33" s="663"/>
      <c r="AL33" s="1976"/>
      <c r="AS33" s="1972">
        <v>0</v>
      </c>
    </row>
    <row s="17442" customFormat="1" customHeight="1" ht="18.75" hidden="1">
      <c r="A34" s="1589"/>
      <c r="B34" s="1589"/>
      <c r="C34" s="1589"/>
      <c r="D34" s="1589"/>
      <c r="E34" s="1589"/>
      <c r="F34" s="1589"/>
      <c r="G34" s="1589"/>
      <c r="H34" s="1589"/>
      <c r="I34" s="1589"/>
      <c r="J34" s="1589"/>
      <c r="K34" s="1589"/>
      <c r="L34" s="1721"/>
      <c r="M34" s="1589"/>
      <c r="N34" s="1589"/>
      <c r="O34" s="1589"/>
      <c r="S34" s="2591" t="s">
        <v>420</v>
      </c>
      <c r="T34" s="2591"/>
      <c r="U34" s="1713"/>
      <c r="V34" s="2605" t="str">
        <f>IF(TITLE_DATE_PR_CHANGE="",IF(TITLE_DATE_PR="","",TITLE_DATE_PR),TITLE_DATE_PR_CHANGE)</f>
        <v/>
      </c>
      <c r="W34" s="2605"/>
      <c r="X34" s="2605"/>
      <c r="Y34" s="2605"/>
      <c r="Z34" s="2605"/>
      <c r="AA34" s="2605"/>
      <c r="AB34" s="2605"/>
      <c r="AC34" s="1976"/>
      <c r="AD34" s="2605" t="str">
        <f>IF(TITLE_DATE_PR_CHANGE="",IF(TITLE_DATE_PR="","",TITLE_DATE_PR),TITLE_DATE_PR_CHANGE)</f>
        <v/>
      </c>
      <c r="AE34" s="2605"/>
      <c r="AF34" s="2605"/>
      <c r="AG34" s="2605"/>
      <c r="AH34" s="2605"/>
      <c r="AI34" s="2605"/>
      <c r="AJ34" s="2605"/>
      <c r="AK34" s="1976"/>
      <c r="AL34" s="1976"/>
      <c r="AM34" s="621"/>
      <c r="AN34" s="709"/>
      <c r="AO34" s="709"/>
      <c r="AP34" s="709"/>
      <c r="AQ34" s="709"/>
      <c r="AR34" s="709"/>
      <c r="AS34" s="759">
        <v>0</v>
      </c>
    </row>
    <row s="17442" customFormat="1" customHeight="1" ht="18.75" hidden="1">
      <c r="A35" s="1589"/>
      <c r="B35" s="1589"/>
      <c r="C35" s="1589"/>
      <c r="D35" s="1589"/>
      <c r="E35" s="1589"/>
      <c r="F35" s="1589"/>
      <c r="G35" s="1589"/>
      <c r="H35" s="1589"/>
      <c r="I35" s="1589"/>
      <c r="J35" s="1589"/>
      <c r="K35" s="1589"/>
      <c r="L35" s="1721"/>
      <c r="M35" s="1589"/>
      <c r="N35" s="1589"/>
      <c r="O35" s="1589"/>
      <c r="S35" s="2591" t="s">
        <v>421</v>
      </c>
      <c r="T35" s="2591"/>
      <c r="U35" s="1713"/>
      <c r="V35" s="2592" t="str">
        <f>IF(TITLE_NUMBER_PR_CHANGE="",IF(TITLE_NUMBER_PR="","",TITLE_NUMBER_PR),TITLE_NUMBER_PR_CHANGE)</f>
        <v/>
      </c>
      <c r="W35" s="2592"/>
      <c r="X35" s="2592"/>
      <c r="Y35" s="2592"/>
      <c r="Z35" s="2592"/>
      <c r="AA35" s="2592"/>
      <c r="AB35" s="2592"/>
      <c r="AC35" s="1976"/>
      <c r="AD35" s="2592" t="str">
        <f>IF(TITLE_NUMBER_PR_CHANGE="",IF(TITLE_NUMBER_PR="","",TITLE_NUMBER_PR),TITLE_NUMBER_PR_CHANGE)</f>
        <v/>
      </c>
      <c r="AE35" s="2592"/>
      <c r="AF35" s="2592"/>
      <c r="AG35" s="2592"/>
      <c r="AH35" s="2592"/>
      <c r="AI35" s="2592"/>
      <c r="AJ35" s="2592"/>
      <c r="AK35" s="1976"/>
      <c r="AL35" s="1976"/>
      <c r="AM35" s="621"/>
      <c r="AN35" s="709"/>
      <c r="AO35" s="709"/>
      <c r="AP35" s="709"/>
      <c r="AQ35" s="709"/>
      <c r="AR35" s="709"/>
      <c r="AS35" s="759">
        <v>0</v>
      </c>
    </row>
    <row s="17442" customFormat="1" customHeight="1" ht="0">
      <c r="A36" s="1589"/>
      <c r="B36" s="1589"/>
      <c r="C36" s="1589"/>
      <c r="D36" s="1589"/>
      <c r="E36" s="1589"/>
      <c r="F36" s="1589"/>
      <c r="G36" s="1589"/>
      <c r="H36" s="1589"/>
      <c r="I36" s="1589"/>
      <c r="J36" s="1589"/>
      <c r="K36" s="1589"/>
      <c r="L36" s="1721"/>
      <c r="M36" s="1589"/>
      <c r="N36" s="1589"/>
      <c r="O36" s="1589"/>
      <c r="S36" s="1976"/>
      <c r="T36" s="1976"/>
      <c r="U36" s="2311"/>
      <c r="V36" s="1976"/>
      <c r="W36" s="1976"/>
      <c r="X36" s="1976"/>
      <c r="Y36" s="1976"/>
      <c r="Z36" s="1976"/>
      <c r="AA36" s="1976"/>
      <c r="AB36" s="1976"/>
      <c r="AC36" s="1983" t="s">
        <v>422</v>
      </c>
      <c r="AD36" s="1976"/>
      <c r="AE36" s="1976"/>
      <c r="AF36" s="1976"/>
      <c r="AG36" s="1976"/>
      <c r="AH36" s="1976"/>
      <c r="AI36" s="1976"/>
      <c r="AJ36" s="1976"/>
      <c r="AK36" s="1983" t="s">
        <v>422</v>
      </c>
      <c r="AN36" s="709"/>
      <c r="AO36" s="709"/>
      <c r="AP36" s="709"/>
      <c r="AQ36" s="709"/>
      <c r="AR36" s="709"/>
      <c r="AS36" s="759">
        <v>0</v>
      </c>
    </row>
    <row customHeight="1" ht="14.699999999999998">
      <c r="Q37" s="717"/>
      <c r="R37" s="717"/>
      <c r="S37" s="1616"/>
      <c r="T37" s="798"/>
      <c r="U37" s="1585"/>
      <c r="V37" s="2593"/>
      <c r="W37" s="2593"/>
      <c r="X37" s="2593"/>
      <c r="Y37" s="2593"/>
      <c r="Z37" s="2593"/>
      <c r="AA37" s="2593"/>
      <c r="AB37" s="2593"/>
      <c r="AC37" s="2593"/>
      <c r="AD37" s="2593"/>
      <c r="AE37" s="2593"/>
      <c r="AF37" s="2593"/>
      <c r="AG37" s="2593"/>
      <c r="AH37" s="2593"/>
      <c r="AI37" s="2593"/>
      <c r="AJ37" s="2593"/>
      <c r="AK37" s="2593"/>
      <c r="AS37" s="1972">
        <v>14</v>
      </c>
    </row>
    <row customHeight="1" ht="14.699999999999998">
      <c r="Q38" s="717"/>
      <c r="R38" s="717"/>
      <c r="S38" s="2468" t="s">
        <v>295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296</v>
      </c>
      <c r="AS38" s="1972">
        <v>14</v>
      </c>
    </row>
    <row customHeight="1" ht="14.699999999999998">
      <c r="Q39" s="717"/>
      <c r="R39" s="717"/>
      <c r="S39" s="2614" t="s">
        <v>88</v>
      </c>
      <c r="T39" s="2550" t="s">
        <v>423</v>
      </c>
      <c r="U39" s="678"/>
      <c r="V39" s="2615" t="s">
        <v>424</v>
      </c>
      <c r="W39" s="2616"/>
      <c r="X39" s="2616"/>
      <c r="Y39" s="2616"/>
      <c r="Z39" s="2616"/>
      <c r="AA39" s="2616"/>
      <c r="AB39" s="2617"/>
      <c r="AC39" s="2618" t="s">
        <v>425</v>
      </c>
      <c r="AD39" s="2615" t="s">
        <v>424</v>
      </c>
      <c r="AE39" s="2616"/>
      <c r="AF39" s="2616"/>
      <c r="AG39" s="2616"/>
      <c r="AH39" s="2616"/>
      <c r="AI39" s="2616"/>
      <c r="AJ39" s="2617"/>
      <c r="AK39" s="2618" t="s">
        <v>426</v>
      </c>
      <c r="AL39" s="2621" t="s">
        <v>427</v>
      </c>
      <c r="AM39" s="2468"/>
      <c r="AS39" s="1972">
        <v>14</v>
      </c>
    </row>
    <row customHeight="1" ht="35.699999999999996">
      <c r="Q40" s="717"/>
      <c r="R40" s="717"/>
      <c r="S40" s="2614"/>
      <c r="T40" s="2550"/>
      <c r="U40" s="1372"/>
      <c r="V40" s="2601" t="s">
        <v>428</v>
      </c>
      <c r="W40" s="2624" t="s">
        <v>429</v>
      </c>
      <c r="X40" s="2603" t="s">
        <v>430</v>
      </c>
      <c r="Y40" s="2604"/>
      <c r="Z40" s="2603" t="s">
        <v>444</v>
      </c>
      <c r="AA40" s="2610"/>
      <c r="AB40" s="2604"/>
      <c r="AC40" s="2619"/>
      <c r="AD40" s="2601" t="s">
        <v>428</v>
      </c>
      <c r="AE40" s="2624" t="s">
        <v>429</v>
      </c>
      <c r="AF40" s="2603" t="s">
        <v>430</v>
      </c>
      <c r="AG40" s="2604"/>
      <c r="AH40" s="2603" t="s">
        <v>431</v>
      </c>
      <c r="AI40" s="2610"/>
      <c r="AJ40" s="2604"/>
      <c r="AK40" s="2619"/>
      <c r="AL40" s="2622"/>
      <c r="AM40" s="2468"/>
      <c r="AS40" s="1972">
        <v>34</v>
      </c>
    </row>
    <row customHeight="1" ht="35.699999999999996">
      <c r="A41" s="1607"/>
      <c r="B41" s="1607" t="s">
        <v>132</v>
      </c>
      <c r="C41" s="1607" t="s">
        <v>133</v>
      </c>
      <c r="D41" s="1607" t="s">
        <v>134</v>
      </c>
      <c r="E41" s="1651" t="s">
        <v>432</v>
      </c>
      <c r="F41" s="1651" t="s">
        <v>433</v>
      </c>
      <c r="G41" s="1651" t="s">
        <v>434</v>
      </c>
      <c r="H41" s="1651" t="s">
        <v>435</v>
      </c>
      <c r="I41" s="1651" t="s">
        <v>436</v>
      </c>
      <c r="J41" s="1651" t="s">
        <v>437</v>
      </c>
      <c r="K41" s="1651" t="s">
        <v>438</v>
      </c>
      <c r="L41" s="1651" t="s">
        <v>413</v>
      </c>
      <c r="Q41" s="717"/>
      <c r="R41" s="717"/>
      <c r="S41" s="2614"/>
      <c r="T41" s="2550"/>
      <c r="U41" s="643"/>
      <c r="V41" s="2602"/>
      <c r="W41" s="2625"/>
      <c r="X41" s="2279" t="s">
        <v>439</v>
      </c>
      <c r="Y41" s="2279" t="s">
        <v>440</v>
      </c>
      <c r="Z41" s="2279" t="s">
        <v>441</v>
      </c>
      <c r="AA41" s="2611" t="s">
        <v>442</v>
      </c>
      <c r="AB41" s="2612"/>
      <c r="AC41" s="2620"/>
      <c r="AD41" s="2602"/>
      <c r="AE41" s="2625"/>
      <c r="AF41" s="2279" t="s">
        <v>439</v>
      </c>
      <c r="AG41" s="2279" t="s">
        <v>440</v>
      </c>
      <c r="AH41" s="2279" t="s">
        <v>441</v>
      </c>
      <c r="AI41" s="2611" t="s">
        <v>442</v>
      </c>
      <c r="AJ41" s="2612"/>
      <c r="AK41" s="2620"/>
      <c r="AL41" s="2623"/>
      <c r="AM41" s="2468"/>
      <c r="AS41" s="1972">
        <v>34</v>
      </c>
    </row>
    <row s="17832" customFormat="1" customHeight="1" ht="11.25" hidden="1">
      <c r="A42" s="1607"/>
      <c r="B42" s="1607"/>
      <c r="C42" s="1607"/>
      <c r="D42" s="1607"/>
      <c r="E42" s="1607"/>
      <c r="F42" s="1607"/>
      <c r="G42" s="1607"/>
      <c r="H42" s="1607"/>
      <c r="I42" s="1607"/>
      <c r="J42" s="1607"/>
      <c r="K42" s="1607"/>
      <c r="L42" s="1651"/>
      <c r="M42" s="2306"/>
      <c r="N42" s="2306"/>
      <c r="O42" s="2306"/>
      <c r="P42" s="1587"/>
      <c r="Q42" s="1588"/>
      <c r="R42" s="1595">
        <v>1</v>
      </c>
      <c r="S42" s="1618" t="s">
        <v>106</v>
      </c>
      <c r="T42" s="1596" t="s">
        <v>107</v>
      </c>
      <c r="U42" s="1586" t="str">
        <f>OFFSET(U42,0,-1)</f>
        <v>2</v>
      </c>
      <c r="V42" s="2297">
        <f>OFFSET(V42,0,-1)+1</f>
        <v>3</v>
      </c>
      <c r="W42" s="2297"/>
      <c r="X42" s="2297">
        <f>OFFSET(X42,0,-1)+1</f>
        <v>1</v>
      </c>
      <c r="Y42" s="2297">
        <f>OFFSET(Y42,0,-1)+1</f>
        <v>2</v>
      </c>
      <c r="Z42" s="2297">
        <f>OFFSET(Z42,0,-1)+1</f>
        <v>3</v>
      </c>
      <c r="AA42" s="2613">
        <f>OFFSET(AA42,0,-1)+1</f>
        <v>4</v>
      </c>
      <c r="AB42" s="2613"/>
      <c r="AC42" s="2297">
        <f>OFFSET(AC42,0,-2)+1</f>
        <v>5</v>
      </c>
      <c r="AD42" s="2297">
        <f>OFFSET(AD42,0,-1)+1</f>
        <v>6</v>
      </c>
      <c r="AE42" s="2297"/>
      <c r="AF42" s="2297">
        <f>OFFSET(AF42,0,-1)+1</f>
        <v>1</v>
      </c>
      <c r="AG42" s="2297">
        <f>OFFSET(AG42,0,-1)+1</f>
        <v>2</v>
      </c>
      <c r="AH42" s="2297">
        <f>OFFSET(AH42,0,-1)+1</f>
        <v>3</v>
      </c>
      <c r="AI42" s="2613">
        <f>OFFSET(AI42,0,-1)+1</f>
        <v>4</v>
      </c>
      <c r="AJ42" s="2613"/>
      <c r="AK42" s="2297">
        <f>OFFSET(AK42,0,-2)+1</f>
        <v>5</v>
      </c>
      <c r="AL42" s="1586">
        <f>OFFSET(AL42,0,-1)</f>
        <v>5</v>
      </c>
      <c r="AM42" s="2297">
        <f>OFFSET(AM42,0,-1)+1</f>
        <v>6</v>
      </c>
      <c r="AN42" s="1977"/>
      <c r="AO42" s="1977"/>
      <c r="AP42" s="1977"/>
      <c r="AQ42" s="1977"/>
      <c r="AR42" s="1977"/>
      <c r="AS42" s="1982">
        <v>0</v>
      </c>
    </row>
    <row customHeight="1" ht="22.049999999999997">
      <c r="A43" s="1608" t="s">
        <v>207</v>
      </c>
      <c r="B43" s="1608"/>
      <c r="C43" s="1608"/>
      <c r="D43" s="1608"/>
      <c r="E43" s="2630">
        <v>1</v>
      </c>
      <c r="F43" s="1608"/>
      <c r="G43" s="1608"/>
      <c r="H43" s="1608"/>
      <c r="I43" s="1608"/>
      <c r="J43" s="1608"/>
      <c r="K43" s="1608"/>
      <c r="L43" s="1651"/>
      <c r="M43" s="1951"/>
      <c r="N43" s="1951"/>
      <c r="O43" s="1951"/>
      <c r="P43" s="1931"/>
      <c r="Q43" s="701"/>
      <c r="R43" s="696"/>
      <c r="S43" s="2299">
        <f>INDEX(PT_DIFFERENTIATION_NUM_NTAR,MATCH(A43,PT_DIFFERENTIATION_NTAR_ID,0))</f>
        <v>0</v>
      </c>
      <c r="T43" s="1866" t="s">
        <v>120</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65"/>
      <c r="AP43" s="1965" t="str">
        <f>IF(T43="","",T43)</f>
        <v>Наименование тарифа</v>
      </c>
      <c r="AQ43" s="1965"/>
      <c r="AR43" s="1965"/>
      <c r="AS43" s="1972">
        <v>21</v>
      </c>
    </row>
    <row customHeight="1" ht="22.049999999999997">
      <c r="A44" s="1608" t="s">
        <v>207</v>
      </c>
      <c r="B44" s="1608" t="s">
        <v>208</v>
      </c>
      <c r="C44" s="1608"/>
      <c r="D44" s="1608"/>
      <c r="E44" s="2631"/>
      <c r="F44" s="2630">
        <v>1</v>
      </c>
      <c r="G44" s="1608"/>
      <c r="H44" s="1608"/>
      <c r="I44" s="1608"/>
      <c r="J44" s="1608"/>
      <c r="K44" s="1608"/>
      <c r="L44" s="1651"/>
      <c r="M44" s="1951"/>
      <c r="N44" s="1951"/>
      <c r="O44" s="1951"/>
      <c r="P44" s="2281"/>
      <c r="Q44" s="693"/>
      <c r="R44" s="694"/>
      <c r="S44" s="2299" t="str">
        <f>INDEX(PT_DIFFERENTIATION_NUM_TER,MATCH(B44,PT_DIFFERENTIATION_TER_ID,0))</f>
        <v>.</v>
      </c>
      <c r="T44" s="1863" t="s">
        <v>392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393</v>
      </c>
      <c r="AO44" s="1965"/>
      <c r="AP44" s="1965" t="str">
        <f>IF(T44="","",T44)</f>
        <v>Территория действия тарифа</v>
      </c>
      <c r="AQ44" s="1965"/>
      <c r="AR44" s="1965"/>
      <c r="AS44" s="1972">
        <v>21</v>
      </c>
    </row>
    <row customHeight="1" ht="24">
      <c r="A45" s="1608" t="s">
        <v>207</v>
      </c>
      <c r="B45" s="1608" t="s">
        <v>208</v>
      </c>
      <c r="C45" s="1608" t="s">
        <v>209</v>
      </c>
      <c r="D45" s="1608"/>
      <c r="E45" s="2631"/>
      <c r="F45" s="2631"/>
      <c r="G45" s="2630">
        <v>1</v>
      </c>
      <c r="H45" s="1608"/>
      <c r="I45" s="1608"/>
      <c r="J45" s="1608"/>
      <c r="K45" s="1608"/>
      <c r="L45" s="1651"/>
      <c r="M45" s="1951"/>
      <c r="N45" s="1951"/>
      <c r="O45" s="1951"/>
      <c r="P45" s="695"/>
      <c r="Q45" s="693"/>
      <c r="R45" s="694"/>
      <c r="S45" s="2299" t="str">
        <f>INDEX(PT_DIFFERENTIATION_NUM_CS,MATCH(C45,PT_DIFFERENTIATION_CS_ID,0))</f>
        <v>..</v>
      </c>
      <c r="T45" s="650" t="s">
        <v>394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395</v>
      </c>
      <c r="AO45" s="1965"/>
      <c r="AP45" s="1965" t="str">
        <f>IF(T45="","",T45)</f>
        <v>Наименование системы теплоснабжения </v>
      </c>
      <c r="AQ45" s="1965"/>
      <c r="AR45" s="1965"/>
      <c r="AS45" s="1972">
        <v>23</v>
      </c>
    </row>
    <row customHeight="1" ht="22.049999999999997">
      <c r="A46" s="1608" t="s">
        <v>207</v>
      </c>
      <c r="B46" s="1608" t="s">
        <v>208</v>
      </c>
      <c r="C46" s="1608" t="s">
        <v>209</v>
      </c>
      <c r="D46" s="1608" t="s">
        <v>210</v>
      </c>
      <c r="E46" s="2631"/>
      <c r="F46" s="2631"/>
      <c r="G46" s="2631"/>
      <c r="H46" s="2630">
        <v>1</v>
      </c>
      <c r="I46" s="1608"/>
      <c r="J46" s="1608"/>
      <c r="K46" s="1608"/>
      <c r="L46" s="1651"/>
      <c r="M46" s="1951"/>
      <c r="N46" s="1951"/>
      <c r="O46" s="1951"/>
      <c r="P46" s="695"/>
      <c r="Q46" s="693"/>
      <c r="R46" s="694"/>
      <c r="S46" s="2299" t="str">
        <f>INDEX(PT_DIFFERENTIATION_NUM_IST_TE,MATCH(D46,PT_DIFFERENTIATION_IST_TE_ID,0))</f>
        <v>...</v>
      </c>
      <c r="T46" s="651" t="s">
        <v>396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397</v>
      </c>
      <c r="AO46" s="1965"/>
      <c r="AP46" s="1965" t="str">
        <f>IF(T46="","",T46)</f>
        <v>Источник тепловой энергии  </v>
      </c>
      <c r="AQ46" s="1965"/>
      <c r="AR46" s="1965"/>
      <c r="AS46" s="1972">
        <v>21</v>
      </c>
    </row>
    <row customHeight="1" ht="49.5">
      <c r="A47" s="1608" t="s">
        <v>207</v>
      </c>
      <c r="B47" s="1608" t="s">
        <v>208</v>
      </c>
      <c r="C47" s="1608" t="s">
        <v>209</v>
      </c>
      <c r="D47" s="1608" t="s">
        <v>210</v>
      </c>
      <c r="E47" s="2631"/>
      <c r="F47" s="2631"/>
      <c r="G47" s="2631"/>
      <c r="H47" s="2631"/>
      <c r="I47" s="2468" t="str">
        <f>S46&amp;".1"</f>
        <v>....1</v>
      </c>
      <c r="J47" s="1608"/>
      <c r="K47" s="1608"/>
      <c r="L47" s="1651" t="s">
        <v>398</v>
      </c>
      <c r="P47" s="2598">
        <v>1</v>
      </c>
      <c r="Q47" s="2295"/>
      <c r="R47" s="697"/>
      <c r="S47" s="2299" t="str">
        <f>$I47</f>
        <v>....1</v>
      </c>
      <c r="T47" s="626" t="s">
        <v>399</v>
      </c>
      <c r="U47" s="641"/>
      <c r="V47" s="2586"/>
      <c r="W47" s="2587"/>
      <c r="X47" s="2587"/>
      <c r="Y47" s="2587"/>
      <c r="Z47" s="2587"/>
      <c r="AA47" s="2587"/>
      <c r="AB47" s="2587"/>
      <c r="AC47" s="2588"/>
      <c r="AD47" s="2586"/>
      <c r="AE47" s="2587"/>
      <c r="AF47" s="2587"/>
      <c r="AG47" s="2587"/>
      <c r="AH47" s="2587"/>
      <c r="AI47" s="2587"/>
      <c r="AJ47" s="2587"/>
      <c r="AK47" s="2587"/>
      <c r="AL47" s="2588"/>
      <c r="AM47" s="1599" t="s">
        <v>400</v>
      </c>
      <c r="AO47" s="1965"/>
      <c r="AP47" s="1965" t="str">
        <f>IF(T47="","",T47)</f>
        <v>Схема подключения теплопотребляющей установки к коллектору источника тепловой энергии</v>
      </c>
      <c r="AQ47" s="1965"/>
      <c r="AR47" s="1965"/>
      <c r="AS47" s="1972">
        <v>47</v>
      </c>
    </row>
    <row customHeight="1" ht="22.049999999999997">
      <c r="A48" s="1608" t="s">
        <v>207</v>
      </c>
      <c r="B48" s="1608" t="s">
        <v>208</v>
      </c>
      <c r="C48" s="1608" t="s">
        <v>209</v>
      </c>
      <c r="D48" s="1608" t="s">
        <v>210</v>
      </c>
      <c r="E48" s="2631"/>
      <c r="F48" s="2631"/>
      <c r="G48" s="2631"/>
      <c r="H48" s="2631"/>
      <c r="I48" s="2442"/>
      <c r="J48" s="2468" t="str">
        <f>I47&amp;".1"</f>
        <v>....1.1</v>
      </c>
      <c r="K48" s="1608"/>
      <c r="L48" s="1651" t="s">
        <v>401</v>
      </c>
      <c r="P48" s="2598"/>
      <c r="Q48" s="2598">
        <v>1</v>
      </c>
      <c r="R48" s="698"/>
      <c r="S48" s="2299" t="str">
        <f>$J48</f>
        <v>....1.1</v>
      </c>
      <c r="T48" s="627" t="s">
        <v>402</v>
      </c>
      <c r="U48" s="641"/>
      <c r="V48" s="2586"/>
      <c r="W48" s="2587"/>
      <c r="X48" s="2587"/>
      <c r="Y48" s="2587"/>
      <c r="Z48" s="2587"/>
      <c r="AA48" s="2587"/>
      <c r="AB48" s="2587"/>
      <c r="AC48" s="2588"/>
      <c r="AD48" s="2586"/>
      <c r="AE48" s="2587"/>
      <c r="AF48" s="2587"/>
      <c r="AG48" s="2587"/>
      <c r="AH48" s="2587"/>
      <c r="AI48" s="2587"/>
      <c r="AJ48" s="2587"/>
      <c r="AK48" s="2587"/>
      <c r="AL48" s="2588"/>
      <c r="AM48" s="1599" t="s">
        <v>403</v>
      </c>
      <c r="AO48" s="1965"/>
      <c r="AP48" s="1965" t="str">
        <f>IF(T48="","",T48)</f>
        <v>Группа потребителей</v>
      </c>
      <c r="AQ48" s="1965"/>
      <c r="AR48" s="1965"/>
      <c r="AS48" s="1972">
        <v>21</v>
      </c>
    </row>
    <row customHeight="1" ht="22.049999999999997">
      <c r="A49" s="1608" t="s">
        <v>207</v>
      </c>
      <c r="B49" s="1608" t="s">
        <v>208</v>
      </c>
      <c r="C49" s="1608" t="s">
        <v>209</v>
      </c>
      <c r="D49" s="1608" t="s">
        <v>210</v>
      </c>
      <c r="E49" s="2631"/>
      <c r="F49" s="2631"/>
      <c r="G49" s="2631"/>
      <c r="H49" s="2631"/>
      <c r="I49" s="2442"/>
      <c r="J49" s="2442"/>
      <c r="K49" s="2468" t="str">
        <f>J48&amp;".1"</f>
        <v>....1.1.1</v>
      </c>
      <c r="L49" s="1651" t="s">
        <v>404</v>
      </c>
      <c r="P49" s="2598"/>
      <c r="Q49" s="2598"/>
      <c r="R49" s="698">
        <v>1</v>
      </c>
      <c r="S49" s="2299" t="str">
        <f>$K49</f>
        <v>....1.1.1</v>
      </c>
      <c r="T49" s="1688"/>
      <c r="U49" s="641"/>
      <c r="V49" s="1092"/>
      <c r="W49" s="666"/>
      <c r="X49" s="1092"/>
      <c r="Y49" s="1598"/>
      <c r="Z49" s="2606"/>
      <c r="AA49" s="2448" t="s">
        <v>65</v>
      </c>
      <c r="AB49" s="2606"/>
      <c r="AC49" s="2448" t="s">
        <v>65</v>
      </c>
      <c r="AD49" s="1092"/>
      <c r="AE49" s="666"/>
      <c r="AF49" s="1092"/>
      <c r="AG49" s="1598"/>
      <c r="AH49" s="2606"/>
      <c r="AI49" s="2448" t="s">
        <v>65</v>
      </c>
      <c r="AJ49" s="2628"/>
      <c r="AK49" s="2448" t="s">
        <v>65</v>
      </c>
      <c r="AL49" s="1689"/>
      <c r="AM49" s="2594" t="s">
        <v>405</v>
      </c>
      <c r="AN49" s="1977">
        <f>STRCHECKDATE(V50:AL50)</f>
      </c>
      <c r="AO49" s="1965"/>
      <c r="AP49" s="1965" t="str">
        <f>IF(T49="","",T49)</f>
        <v/>
      </c>
      <c r="AQ49" s="1965"/>
      <c r="AR49" s="1965"/>
      <c r="AS49" s="1972">
        <v>21</v>
      </c>
    </row>
    <row customHeight="1" ht="1.05">
      <c r="A50" s="1608" t="s">
        <v>207</v>
      </c>
      <c r="B50" s="1608" t="s">
        <v>208</v>
      </c>
      <c r="C50" s="1608" t="s">
        <v>209</v>
      </c>
      <c r="D50" s="1608" t="s">
        <v>210</v>
      </c>
      <c r="E50" s="2631"/>
      <c r="F50" s="2631"/>
      <c r="G50" s="2631"/>
      <c r="H50" s="2631"/>
      <c r="I50" s="2442"/>
      <c r="J50" s="2442"/>
      <c r="K50" s="2468"/>
      <c r="L50" s="1651"/>
      <c r="P50" s="2598"/>
      <c r="Q50" s="2598"/>
      <c r="R50" s="698"/>
      <c r="S50" s="2308"/>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1965"/>
      <c r="AP50" s="1965" t="str">
        <f>IF(T50="","",T50)</f>
        <v/>
      </c>
      <c r="AQ50" s="1965"/>
      <c r="AR50" s="1965"/>
      <c r="AS50" s="1972">
        <v>1</v>
      </c>
    </row>
    <row customHeight="1" ht="11.549999999999999">
      <c r="A51" s="1608" t="s">
        <v>207</v>
      </c>
      <c r="B51" s="1608" t="s">
        <v>208</v>
      </c>
      <c r="C51" s="1608" t="s">
        <v>209</v>
      </c>
      <c r="D51" s="1608" t="s">
        <v>210</v>
      </c>
      <c r="E51" s="2631"/>
      <c r="F51" s="2631"/>
      <c r="G51" s="2631"/>
      <c r="H51" s="2631"/>
      <c r="I51" s="2442"/>
      <c r="J51" s="2468"/>
      <c r="K51" s="1608"/>
      <c r="L51" s="1651"/>
      <c r="P51" s="2598"/>
      <c r="Q51" s="2598"/>
      <c r="R51" s="697"/>
      <c r="S51" s="1619"/>
      <c r="T51" s="629" t="s">
        <v>406</v>
      </c>
      <c r="U51" s="941"/>
      <c r="V51" s="941"/>
      <c r="W51" s="941"/>
      <c r="X51" s="941"/>
      <c r="Y51" s="941"/>
      <c r="Z51" s="941"/>
      <c r="AA51" s="941"/>
      <c r="AB51" s="941"/>
      <c r="AC51" s="941"/>
      <c r="AD51" s="941"/>
      <c r="AE51" s="941"/>
      <c r="AF51" s="941"/>
      <c r="AG51" s="941"/>
      <c r="AH51" s="941"/>
      <c r="AI51" s="941"/>
      <c r="AJ51" s="941"/>
      <c r="AK51" s="941"/>
      <c r="AL51" s="665"/>
      <c r="AM51" s="2596"/>
      <c r="AO51" s="1965"/>
      <c r="AP51" s="1965" t="str">
        <f>IF(T51="","",T51)</f>
        <v>Добавить вид теплоносителя (параметры теплоносителя)</v>
      </c>
      <c r="AQ51" s="1965"/>
      <c r="AR51" s="1965"/>
      <c r="AS51" s="1972">
        <v>11</v>
      </c>
    </row>
    <row customHeight="1" ht="11.549999999999999">
      <c r="A52" s="1608" t="s">
        <v>207</v>
      </c>
      <c r="B52" s="1608" t="s">
        <v>208</v>
      </c>
      <c r="C52" s="1608" t="s">
        <v>209</v>
      </c>
      <c r="D52" s="1608" t="s">
        <v>210</v>
      </c>
      <c r="E52" s="2631"/>
      <c r="F52" s="2631"/>
      <c r="G52" s="2631"/>
      <c r="H52" s="2631"/>
      <c r="I52" s="2468"/>
      <c r="J52" s="1608"/>
      <c r="K52" s="1608"/>
      <c r="L52" s="1651"/>
      <c r="P52" s="2598"/>
      <c r="Q52" s="2295"/>
      <c r="R52" s="697"/>
      <c r="S52" s="1619"/>
      <c r="T52" s="628" t="s">
        <v>407</v>
      </c>
      <c r="U52" s="941"/>
      <c r="V52" s="941"/>
      <c r="W52" s="941"/>
      <c r="X52" s="941"/>
      <c r="Y52" s="941"/>
      <c r="Z52" s="941"/>
      <c r="AA52" s="941"/>
      <c r="AB52" s="941"/>
      <c r="AC52" s="707"/>
      <c r="AD52" s="941"/>
      <c r="AE52" s="941"/>
      <c r="AF52" s="941"/>
      <c r="AG52" s="941"/>
      <c r="AH52" s="941"/>
      <c r="AI52" s="941"/>
      <c r="AJ52" s="941"/>
      <c r="AK52" s="707"/>
      <c r="AL52" s="941"/>
      <c r="AM52" s="644"/>
      <c r="AO52" s="1965"/>
      <c r="AP52" s="1965" t="str">
        <f>IF(T52="","",T52)</f>
        <v>Добавить группу потребителей</v>
      </c>
      <c r="AQ52" s="1965"/>
      <c r="AR52" s="1965"/>
      <c r="AS52" s="1972">
        <v>11</v>
      </c>
    </row>
    <row customHeight="1" ht="14.699999999999998">
      <c r="A53" s="1608" t="s">
        <v>207</v>
      </c>
      <c r="B53" s="1608" t="s">
        <v>208</v>
      </c>
      <c r="C53" s="1608" t="s">
        <v>209</v>
      </c>
      <c r="D53" s="1608" t="s">
        <v>210</v>
      </c>
      <c r="E53" s="2631"/>
      <c r="F53" s="2631"/>
      <c r="G53" s="2631"/>
      <c r="H53" s="2630"/>
      <c r="I53" s="1608"/>
      <c r="J53" s="1608"/>
      <c r="K53" s="1608"/>
      <c r="L53" s="1651"/>
      <c r="M53" s="1951"/>
      <c r="N53" s="1951"/>
      <c r="O53" s="1976"/>
      <c r="P53" s="701"/>
      <c r="Q53" s="716"/>
      <c r="R53" s="696"/>
      <c r="S53" s="1619"/>
      <c r="T53" s="706" t="s">
        <v>408</v>
      </c>
      <c r="U53" s="941"/>
      <c r="V53" s="941"/>
      <c r="W53" s="941"/>
      <c r="X53" s="941"/>
      <c r="Y53" s="941"/>
      <c r="Z53" s="941"/>
      <c r="AA53" s="941"/>
      <c r="AB53" s="941"/>
      <c r="AC53" s="707"/>
      <c r="AD53" s="941"/>
      <c r="AE53" s="941"/>
      <c r="AF53" s="941"/>
      <c r="AG53" s="941"/>
      <c r="AH53" s="941"/>
      <c r="AI53" s="941"/>
      <c r="AJ53" s="941"/>
      <c r="AK53" s="707"/>
      <c r="AL53" s="941"/>
      <c r="AM53" s="644"/>
      <c r="AO53" s="1965"/>
      <c r="AP53" s="1965" t="str">
        <f>IF(T53="","",T53)</f>
        <v>Добавить схему подключения</v>
      </c>
      <c r="AQ53" s="1965"/>
      <c r="AR53" s="1965"/>
      <c r="AS53" s="1972">
        <v>14</v>
      </c>
    </row>
    <row s="17316" customFormat="1" customHeight="1" ht="4.2">
      <c r="A54" s="1716" t="s">
        <v>207</v>
      </c>
      <c r="B54" s="1716" t="s">
        <v>208</v>
      </c>
      <c r="C54" s="1716" t="s">
        <v>209</v>
      </c>
      <c r="D54" s="1715"/>
      <c r="E54" s="2631"/>
      <c r="F54" s="2631"/>
      <c r="G54" s="2630"/>
      <c r="H54" s="1715"/>
      <c r="I54" s="1715"/>
      <c r="J54" s="1715"/>
      <c r="K54" s="1715"/>
      <c r="L54" s="1718"/>
      <c r="M54" s="1719"/>
      <c r="N54" s="1719"/>
      <c r="O54" s="692"/>
      <c r="P54" s="1657"/>
      <c r="Q54" s="1658"/>
      <c r="R54" s="1657"/>
      <c r="S54" s="1663"/>
      <c r="T54" s="1666" t="s">
        <v>409</v>
      </c>
      <c r="U54" s="1665"/>
      <c r="V54" s="1665"/>
      <c r="W54" s="1665"/>
      <c r="X54" s="1665"/>
      <c r="Y54" s="1665"/>
      <c r="Z54" s="1665"/>
      <c r="AA54" s="1665"/>
      <c r="AB54" s="1665"/>
      <c r="AC54" s="1665"/>
      <c r="AD54" s="1665"/>
      <c r="AE54" s="1665"/>
      <c r="AF54" s="1665"/>
      <c r="AG54" s="1665"/>
      <c r="AH54" s="1665"/>
      <c r="AI54" s="1665"/>
      <c r="AJ54" s="1665"/>
      <c r="AK54" s="1665"/>
      <c r="AL54" s="1665"/>
      <c r="AM54" s="1665"/>
      <c r="AO54" s="1592"/>
      <c r="AP54" s="1592" t="str">
        <f>IF(T54="","",T54)</f>
        <v>Добавить источник для дифференциации</v>
      </c>
      <c r="AQ54" s="1592"/>
      <c r="AR54" s="1592"/>
      <c r="AS54" s="1983">
        <v>4</v>
      </c>
    </row>
    <row s="17316" customFormat="1" customHeight="1" ht="4.2">
      <c r="A55" s="1716" t="s">
        <v>207</v>
      </c>
      <c r="B55" s="1716" t="s">
        <v>208</v>
      </c>
      <c r="C55" s="1715"/>
      <c r="D55" s="1715"/>
      <c r="E55" s="2631"/>
      <c r="F55" s="2630"/>
      <c r="G55" s="1715"/>
      <c r="H55" s="1715"/>
      <c r="I55" s="1715"/>
      <c r="J55" s="1715"/>
      <c r="K55" s="1715"/>
      <c r="L55" s="1718"/>
      <c r="M55" s="1720"/>
      <c r="N55" s="1720"/>
      <c r="O55" s="692"/>
      <c r="P55" s="1657"/>
      <c r="Q55" s="1658"/>
      <c r="R55" s="1657"/>
      <c r="S55" s="1663"/>
      <c r="T55" s="1666" t="s">
        <v>410</v>
      </c>
      <c r="U55" s="1665"/>
      <c r="V55" s="1665"/>
      <c r="W55" s="1665"/>
      <c r="X55" s="1665"/>
      <c r="Y55" s="1665"/>
      <c r="Z55" s="1665"/>
      <c r="AA55" s="1665"/>
      <c r="AB55" s="1665"/>
      <c r="AC55" s="1665"/>
      <c r="AD55" s="1665"/>
      <c r="AE55" s="1665"/>
      <c r="AF55" s="1665"/>
      <c r="AG55" s="1665"/>
      <c r="AH55" s="1665"/>
      <c r="AI55" s="1665"/>
      <c r="AJ55" s="1665"/>
      <c r="AK55" s="1665"/>
      <c r="AL55" s="1665"/>
      <c r="AM55" s="1665"/>
      <c r="AO55" s="1592"/>
      <c r="AP55" s="1592" t="str">
        <f>IF(T55="","",T55)</f>
        <v>Добавить централизованную систему для дифференциации</v>
      </c>
      <c r="AQ55" s="1592"/>
      <c r="AR55" s="1592"/>
      <c r="AS55" s="1983">
        <v>4</v>
      </c>
    </row>
    <row s="17316" customFormat="1" customHeight="1" ht="4.2">
      <c r="A56" s="1716" t="s">
        <v>207</v>
      </c>
      <c r="B56" s="1716"/>
      <c r="C56" s="1716"/>
      <c r="D56" s="1716"/>
      <c r="E56" s="2630"/>
      <c r="F56" s="1716"/>
      <c r="G56" s="1716"/>
      <c r="H56" s="1716"/>
      <c r="I56" s="1716"/>
      <c r="J56" s="1716"/>
      <c r="K56" s="1716"/>
      <c r="L56" s="1722"/>
      <c r="M56" s="1720"/>
      <c r="N56" s="1720"/>
      <c r="O56" s="692"/>
      <c r="P56" s="721"/>
      <c r="Q56" s="1685"/>
      <c r="R56" s="721"/>
      <c r="S56" s="1663"/>
      <c r="T56" s="1666" t="s">
        <v>411</v>
      </c>
      <c r="U56" s="1665"/>
      <c r="V56" s="1665"/>
      <c r="W56" s="1665"/>
      <c r="X56" s="1665"/>
      <c r="Y56" s="1665"/>
      <c r="Z56" s="1665"/>
      <c r="AA56" s="1665"/>
      <c r="AB56" s="1665"/>
      <c r="AC56" s="1665"/>
      <c r="AD56" s="1665"/>
      <c r="AE56" s="1665"/>
      <c r="AF56" s="1665"/>
      <c r="AG56" s="1665"/>
      <c r="AH56" s="1665"/>
      <c r="AI56" s="1665"/>
      <c r="AJ56" s="1665"/>
      <c r="AK56" s="1665"/>
      <c r="AL56" s="1665"/>
      <c r="AM56" s="1665"/>
      <c r="AO56" s="1965"/>
      <c r="AP56" s="1965" t="str">
        <f>IF(T56="","",T56)</f>
        <v>Добавить территорию для дифференциации</v>
      </c>
      <c r="AQ56" s="1965"/>
      <c r="AR56" s="1965"/>
      <c r="AS56" s="1977">
        <v>4</v>
      </c>
    </row>
    <row s="17316" customFormat="1" customHeight="1" ht="4.2">
      <c r="A57" s="1715"/>
      <c r="B57" s="1715"/>
      <c r="C57" s="1715"/>
      <c r="D57" s="1715"/>
      <c r="E57" s="1716"/>
      <c r="F57" s="1715"/>
      <c r="G57" s="1715"/>
      <c r="H57" s="1715"/>
      <c r="I57" s="1715"/>
      <c r="J57" s="1715"/>
      <c r="K57" s="1715"/>
      <c r="L57" s="1718"/>
      <c r="M57" s="1720"/>
      <c r="N57" s="1720"/>
      <c r="O57" s="692"/>
      <c r="P57" s="1657"/>
      <c r="Q57" s="1658"/>
      <c r="R57" s="1657"/>
      <c r="S57" s="1663"/>
      <c r="T57" s="1666" t="s">
        <v>443</v>
      </c>
      <c r="U57" s="1665"/>
      <c r="V57" s="1665"/>
      <c r="W57" s="1665"/>
      <c r="X57" s="1665"/>
      <c r="Y57" s="1665"/>
      <c r="Z57" s="1665"/>
      <c r="AA57" s="1665"/>
      <c r="AB57" s="1665"/>
      <c r="AC57" s="1665"/>
      <c r="AD57" s="1665"/>
      <c r="AE57" s="1665"/>
      <c r="AF57" s="1665"/>
      <c r="AG57" s="1665"/>
      <c r="AH57" s="1665"/>
      <c r="AI57" s="1665"/>
      <c r="AJ57" s="1665"/>
      <c r="AK57" s="1665"/>
      <c r="AL57" s="1665"/>
      <c r="AM57" s="1665"/>
      <c r="AO57" s="1592"/>
      <c r="AP57" s="1592" t="str">
        <f>IF(T57="","",T57)</f>
        <v>Добавить наименование тарифа</v>
      </c>
      <c r="AQ57" s="1592"/>
      <c r="AR57" s="1592"/>
      <c r="AS57" s="1983">
        <v>4</v>
      </c>
    </row>
    <row customHeight="1" ht="11.549999999999999">
      <c r="M58" s="1972"/>
      <c r="N58" s="1972"/>
      <c r="O58" s="1976"/>
      <c r="P58" s="1972"/>
      <c r="Q58" s="1972"/>
      <c r="R58" s="1972"/>
      <c r="S58" s="1972"/>
      <c r="AN58" s="1972"/>
      <c r="AO58" s="1972"/>
      <c r="AP58" s="1972"/>
      <c r="AQ58" s="1972"/>
      <c r="AR58" s="1972"/>
      <c r="AS58" s="1972">
        <v>11</v>
      </c>
    </row>
    <row customHeight="1" ht="28.5">
      <c r="O59" s="1976"/>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972">
        <v>27</v>
      </c>
    </row>
    <row customHeight="1" ht="65.25">
      <c r="O60" s="1976"/>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972">
        <v>62</v>
      </c>
    </row>
    <row customHeight="1" ht="14.699999999999998">
      <c r="O61" s="1976"/>
      <c r="AS61" s="1972">
        <v>14</v>
      </c>
    </row>
    <row customHeight="1" ht="18.75">
      <c r="O62" s="1976"/>
      <c r="S62" s="1594"/>
      <c r="T62" s="2626"/>
      <c r="U62" s="2626"/>
      <c r="V62" s="2626"/>
      <c r="W62" s="2626"/>
      <c r="X62" s="2626"/>
      <c r="Y62" s="2626"/>
      <c r="Z62" s="2626"/>
      <c r="AA62" s="2626"/>
      <c r="AB62" s="2626"/>
      <c r="AC62" s="2626"/>
      <c r="AD62" s="2626"/>
      <c r="AE62" s="2626"/>
      <c r="AF62" s="2626"/>
      <c r="AG62" s="2626"/>
      <c r="AH62" s="2626"/>
      <c r="AI62" s="2626"/>
      <c r="AJ62" s="2626"/>
      <c r="AK62" s="2626"/>
      <c r="AL62" s="2626"/>
      <c r="AM62" s="2626"/>
      <c r="AS62" s="1972">
        <v>18</v>
      </c>
    </row>
    <row customHeight="1" ht="18.75">
      <c r="O63" s="1976"/>
      <c r="T63" s="2626"/>
      <c r="U63" s="2626"/>
      <c r="V63" s="2626"/>
      <c r="W63" s="2626"/>
      <c r="X63" s="2626"/>
      <c r="Y63" s="2626"/>
      <c r="Z63" s="2626"/>
      <c r="AA63" s="2626"/>
      <c r="AB63" s="2626"/>
      <c r="AC63" s="2626"/>
      <c r="AD63" s="2626"/>
      <c r="AE63" s="2626"/>
      <c r="AF63" s="2626"/>
      <c r="AG63" s="2626"/>
      <c r="AH63" s="2626"/>
      <c r="AI63" s="2626"/>
      <c r="AJ63" s="2626"/>
      <c r="AK63" s="2626"/>
      <c r="AL63" s="2626"/>
      <c r="AM63" s="2626"/>
      <c r="AS63" s="1972">
        <v>18</v>
      </c>
    </row>
    <row customHeight="1" ht="29.25">
      <c r="O64" s="1976"/>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972">
        <v>28</v>
      </c>
    </row>
    <row customHeight="1" ht="22.5" hidden="1">
      <c r="A65" s="1972" t="s">
        <v>82</v>
      </c>
      <c r="B65" s="1972">
        <v>0</v>
      </c>
      <c r="C65" s="1972">
        <v>0</v>
      </c>
      <c r="D65" s="1972">
        <v>0</v>
      </c>
      <c r="E65" s="1972">
        <v>0</v>
      </c>
      <c r="F65" s="1972">
        <v>0</v>
      </c>
      <c r="G65" s="1972">
        <v>0</v>
      </c>
      <c r="H65" s="1972">
        <v>0</v>
      </c>
      <c r="I65" s="1972">
        <v>0</v>
      </c>
      <c r="J65" s="1972">
        <v>0</v>
      </c>
      <c r="K65" s="1972">
        <v>0</v>
      </c>
      <c r="L65" s="2280">
        <v>0</v>
      </c>
      <c r="M65" s="2306">
        <v>0</v>
      </c>
      <c r="N65" s="2306">
        <v>0</v>
      </c>
      <c r="O65" s="2306">
        <v>0</v>
      </c>
      <c r="P65" s="2306">
        <v>3</v>
      </c>
      <c r="Q65" s="685">
        <v>3</v>
      </c>
      <c r="R65" s="685">
        <v>3</v>
      </c>
      <c r="S65" s="922">
        <v>12</v>
      </c>
      <c r="T65" s="1972">
        <v>31</v>
      </c>
      <c r="U65" s="1972">
        <v>0</v>
      </c>
      <c r="V65" s="1972">
        <v>0</v>
      </c>
      <c r="W65" s="1972">
        <v>0</v>
      </c>
      <c r="X65" s="1972">
        <v>0</v>
      </c>
      <c r="Y65" s="1972">
        <v>0</v>
      </c>
      <c r="Z65" s="1972">
        <v>0</v>
      </c>
      <c r="AA65" s="1972">
        <v>0</v>
      </c>
      <c r="AB65" s="1972">
        <v>0</v>
      </c>
      <c r="AC65" s="1972">
        <v>0</v>
      </c>
      <c r="AD65" s="1972">
        <v>24</v>
      </c>
      <c r="AE65" s="1972">
        <v>0</v>
      </c>
      <c r="AF65" s="1972">
        <v>24</v>
      </c>
      <c r="AG65" s="1972">
        <v>24</v>
      </c>
      <c r="AH65" s="1972">
        <v>11</v>
      </c>
      <c r="AI65" s="1972">
        <v>3</v>
      </c>
      <c r="AJ65" s="1972">
        <v>11</v>
      </c>
      <c r="AK65" s="1972">
        <v>0</v>
      </c>
      <c r="AL65" s="1972">
        <v>4</v>
      </c>
      <c r="AM65" s="1972">
        <v>115</v>
      </c>
      <c r="AN65" s="1977">
        <v>10</v>
      </c>
      <c r="AO65" s="1977">
        <v>10</v>
      </c>
      <c r="AP65" s="1977">
        <v>10</v>
      </c>
      <c r="AQ65" s="1977">
        <v>10</v>
      </c>
      <c r="AR65" s="1977">
        <v>10</v>
      </c>
      <c r="AS65" s="1972">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C93064-5DB8-8A9F-886A-0E1E4CF3933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7239" width="10.57421875" hidden="1"/>
    <col min="2" max="2" style="17239" width="11.00390625" hidden="1" customWidth="1"/>
    <col min="3" max="3" style="17239" width="10.57421875" hidden="1"/>
    <col min="4" max="4" style="17239" width="11.8515625" hidden="1" customWidth="1"/>
    <col min="5" max="5" style="17239" width="10.00390625" hidden="1" customWidth="1"/>
    <col min="6" max="6" style="17239" width="8.7109375" hidden="1" customWidth="1"/>
    <col min="7" max="7" style="17239" width="7.57421875" hidden="1" customWidth="1"/>
    <col min="8" max="8" style="17239" width="11.421875" hidden="1" customWidth="1"/>
    <col min="9" max="9" style="17239" width="12.00390625" hidden="1" customWidth="1"/>
    <col min="10" max="10" style="17239" width="9.8515625" hidden="1" customWidth="1"/>
    <col min="11" max="11" style="17239" width="11.421875" hidden="1" customWidth="1"/>
    <col min="12" max="12" style="17313" width="19.140625" hidden="1" customWidth="1"/>
    <col min="13" max="14" style="18078" width="12.28125" hidden="1" customWidth="1"/>
    <col min="15" max="15" style="18078" width="23.421875" hidden="1" customWidth="1"/>
    <col min="16" max="16" style="18078" width="3.00390625" customWidth="1"/>
    <col min="17" max="18" style="18079" width="3.00390625" customWidth="1"/>
    <col min="19" max="19" style="18080" width="12.00390625" customWidth="1"/>
    <col min="20" max="20" style="17239" width="31.00390625" customWidth="1"/>
    <col min="21" max="21" style="17239" width="0.140625" customWidth="1"/>
    <col min="22" max="22" style="17239" width="24.7109375" hidden="1" customWidth="1"/>
    <col min="23" max="23" style="17239" width="0.140625" hidden="1" customWidth="1"/>
    <col min="24" max="25" style="17239" width="24.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24.7109375" customWidth="1"/>
    <col min="31" max="31" style="17239" width="0.140625" customWidth="1"/>
    <col min="32" max="33" style="17239" width="24.00390625" customWidth="1"/>
    <col min="34" max="34" style="17239" width="11.00390625" customWidth="1"/>
    <col min="35" max="35" style="17239" width="3.7109375" customWidth="1"/>
    <col min="36" max="36" style="17239" width="11.00390625" customWidth="1"/>
    <col min="37" max="37" style="17239" width="8.57421875" hidden="1" customWidth="1"/>
    <col min="38" max="38" style="17239" width="4.00390625" customWidth="1"/>
    <col min="39" max="39" style="17239" width="115.00390625" customWidth="1"/>
    <col min="40" max="44" style="17316" width="10.00390625" customWidth="1"/>
    <col min="45" max="45" style="17239" width="10.57421875" hidden="1"/>
  </cols>
  <sheetData>
    <row customHeight="1" ht="22.5" hidden="1">
      <c r="AS1" s="1972" t="s">
        <v>14</v>
      </c>
    </row>
    <row customHeight="1" ht="21" hidden="1">
      <c r="A2" s="1608"/>
      <c r="B2" s="1608"/>
      <c r="C2" s="1608"/>
      <c r="D2" s="1608"/>
      <c r="E2" s="2630">
        <v>1</v>
      </c>
      <c r="F2" s="1608"/>
      <c r="G2" s="1608"/>
      <c r="H2" s="1608"/>
      <c r="I2" s="1608"/>
      <c r="J2" s="1608"/>
      <c r="K2" s="1608"/>
      <c r="L2" s="1651"/>
      <c r="M2" s="1951"/>
      <c r="N2" s="1951"/>
      <c r="O2" s="1951"/>
      <c r="P2" s="1931"/>
      <c r="Q2" s="701"/>
      <c r="R2" s="696"/>
      <c r="S2" s="2299">
        <f>INDEX(PT_DIFFERENTIATION_NUM_NTAR,MATCH(A2,PT_DIFFERENTIATION_NTAR_ID,0))</f>
      </c>
      <c r="T2" s="1866" t="s">
        <v>120</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391</v>
      </c>
      <c r="AO2" s="1965"/>
      <c r="AP2" s="1965" t="str">
        <f>IF(T2="","",T2)</f>
        <v>Наименование тарифа</v>
      </c>
      <c r="AQ2" s="1965"/>
      <c r="AR2" s="1965"/>
      <c r="AS2" s="1972">
        <v>0</v>
      </c>
    </row>
    <row customHeight="1" ht="21" hidden="1">
      <c r="A3" s="1608"/>
      <c r="B3" s="1608"/>
      <c r="C3" s="1608"/>
      <c r="D3" s="1608"/>
      <c r="E3" s="2631"/>
      <c r="F3" s="2630">
        <v>1</v>
      </c>
      <c r="G3" s="1608"/>
      <c r="H3" s="1608"/>
      <c r="I3" s="1608"/>
      <c r="J3" s="1608"/>
      <c r="K3" s="1608"/>
      <c r="L3" s="1651"/>
      <c r="M3" s="1951"/>
      <c r="N3" s="1951"/>
      <c r="O3" s="1951"/>
      <c r="P3" s="2281"/>
      <c r="Q3" s="693"/>
      <c r="R3" s="694"/>
      <c r="S3" s="2299">
        <f>INDEX(PT_DIFFERENTIATION_NUM_TER,MATCH(B3,PT_DIFFERENTIATION_TER_ID,0))</f>
      </c>
      <c r="T3" s="1863" t="s">
        <v>392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393</v>
      </c>
      <c r="AO3" s="1965"/>
      <c r="AP3" s="1965" t="str">
        <f>IF(T3="","",T3)</f>
        <v>Территория действия тарифа</v>
      </c>
      <c r="AQ3" s="1965"/>
      <c r="AR3" s="1965"/>
      <c r="AS3" s="1972">
        <v>0</v>
      </c>
    </row>
    <row customHeight="1" ht="23.25" hidden="1">
      <c r="A4" s="1608"/>
      <c r="B4" s="1608"/>
      <c r="C4" s="1608"/>
      <c r="D4" s="1608"/>
      <c r="E4" s="2631"/>
      <c r="F4" s="2631"/>
      <c r="G4" s="2630">
        <v>1</v>
      </c>
      <c r="H4" s="1608"/>
      <c r="I4" s="1608"/>
      <c r="J4" s="1608"/>
      <c r="K4" s="1608"/>
      <c r="L4" s="1651"/>
      <c r="M4" s="1951"/>
      <c r="N4" s="1951"/>
      <c r="O4" s="1951"/>
      <c r="P4" s="695"/>
      <c r="Q4" s="693"/>
      <c r="R4" s="694"/>
      <c r="S4" s="2299">
        <f>INDEX(PT_DIFFERENTIATION_NUM_CS,MATCH(C4,PT_DIFFERENTIATION_CS_ID,0))</f>
      </c>
      <c r="T4" s="650" t="s">
        <v>394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395</v>
      </c>
      <c r="AO4" s="1965"/>
      <c r="AP4" s="1965" t="str">
        <f>IF(T4="","",T4)</f>
        <v>Наименование системы теплоснабжения </v>
      </c>
      <c r="AQ4" s="1965"/>
      <c r="AR4" s="1965"/>
      <c r="AS4" s="1972">
        <v>0</v>
      </c>
    </row>
    <row customHeight="1" ht="21" hidden="1">
      <c r="A5" s="1608"/>
      <c r="B5" s="1608"/>
      <c r="C5" s="1608"/>
      <c r="D5" s="1608"/>
      <c r="E5" s="2631"/>
      <c r="F5" s="2631"/>
      <c r="G5" s="2631"/>
      <c r="H5" s="2630">
        <v>1</v>
      </c>
      <c r="I5" s="1608"/>
      <c r="J5" s="1608"/>
      <c r="K5" s="1608"/>
      <c r="L5" s="1651"/>
      <c r="M5" s="1951"/>
      <c r="N5" s="1951"/>
      <c r="O5" s="1951"/>
      <c r="P5" s="695"/>
      <c r="Q5" s="693"/>
      <c r="R5" s="694"/>
      <c r="S5" s="2299">
        <f>INDEX(PT_DIFFERENTIATION_NUM_IST_TE,MATCH(D5,PT_DIFFERENTIATION_IST_TE_ID,0))</f>
      </c>
      <c r="T5" s="651" t="s">
        <v>396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397</v>
      </c>
      <c r="AO5" s="1965"/>
      <c r="AP5" s="1965" t="str">
        <f>IF(T5="","",T5)</f>
        <v>Источник тепловой энергии  </v>
      </c>
      <c r="AQ5" s="1965"/>
      <c r="AR5" s="1965"/>
      <c r="AS5" s="1972">
        <v>0</v>
      </c>
    </row>
    <row customHeight="1" ht="47.25" hidden="1">
      <c r="A6" s="1608"/>
      <c r="B6" s="1608"/>
      <c r="C6" s="1608"/>
      <c r="D6" s="1608"/>
      <c r="E6" s="2631"/>
      <c r="F6" s="2631"/>
      <c r="G6" s="2631"/>
      <c r="H6" s="2631"/>
      <c r="I6" s="2468">
        <f>S5&amp;".1"</f>
      </c>
      <c r="J6" s="1608"/>
      <c r="K6" s="1608"/>
      <c r="L6" s="1651" t="s">
        <v>398</v>
      </c>
      <c r="M6" s="1976"/>
      <c r="P6" s="2598">
        <v>1</v>
      </c>
      <c r="Q6" s="2295"/>
      <c r="R6" s="697"/>
      <c r="S6" s="2299">
        <f>$I6</f>
      </c>
      <c r="T6" s="626" t="s">
        <v>399</v>
      </c>
      <c r="U6" s="641"/>
      <c r="V6" s="2586"/>
      <c r="W6" s="2587"/>
      <c r="X6" s="2587"/>
      <c r="Y6" s="2587"/>
      <c r="Z6" s="2587"/>
      <c r="AA6" s="2587"/>
      <c r="AB6" s="2587"/>
      <c r="AC6" s="2588"/>
      <c r="AD6" s="2586"/>
      <c r="AE6" s="2587"/>
      <c r="AF6" s="2587"/>
      <c r="AG6" s="2587"/>
      <c r="AH6" s="2587"/>
      <c r="AI6" s="2587"/>
      <c r="AJ6" s="2587"/>
      <c r="AK6" s="2587"/>
      <c r="AL6" s="2588"/>
      <c r="AM6" s="1599" t="s">
        <v>400</v>
      </c>
      <c r="AO6" s="1965"/>
      <c r="AP6" s="1965" t="str">
        <f>IF(T6="","",T6)</f>
        <v>Схема подключения теплопотребляющей установки к коллектору источника тепловой энергии</v>
      </c>
      <c r="AQ6" s="1965"/>
      <c r="AR6" s="1965"/>
      <c r="AS6" s="1972">
        <v>0</v>
      </c>
    </row>
    <row customHeight="1" ht="21" hidden="1">
      <c r="A7" s="1608"/>
      <c r="B7" s="1608"/>
      <c r="C7" s="1608"/>
      <c r="D7" s="1608"/>
      <c r="E7" s="2631"/>
      <c r="F7" s="2631"/>
      <c r="G7" s="2631"/>
      <c r="H7" s="2631"/>
      <c r="I7" s="2442"/>
      <c r="J7" s="2468">
        <f>I6&amp;".1"</f>
      </c>
      <c r="K7" s="1608"/>
      <c r="L7" s="1651" t="s">
        <v>401</v>
      </c>
      <c r="M7" s="1976"/>
      <c r="N7" s="1972"/>
      <c r="P7" s="2598"/>
      <c r="Q7" s="2598">
        <v>1</v>
      </c>
      <c r="R7" s="698"/>
      <c r="S7" s="2299">
        <f>$J7</f>
      </c>
      <c r="T7" s="627" t="s">
        <v>402</v>
      </c>
      <c r="U7" s="641"/>
      <c r="V7" s="2586"/>
      <c r="W7" s="2587"/>
      <c r="X7" s="2587"/>
      <c r="Y7" s="2587"/>
      <c r="Z7" s="2587"/>
      <c r="AA7" s="2587"/>
      <c r="AB7" s="2587"/>
      <c r="AC7" s="2588"/>
      <c r="AD7" s="2586"/>
      <c r="AE7" s="2587"/>
      <c r="AF7" s="2587"/>
      <c r="AG7" s="2587"/>
      <c r="AH7" s="2587"/>
      <c r="AI7" s="2587"/>
      <c r="AJ7" s="2587"/>
      <c r="AK7" s="2587"/>
      <c r="AL7" s="2588"/>
      <c r="AM7" s="1599" t="s">
        <v>403</v>
      </c>
      <c r="AO7" s="1965"/>
      <c r="AP7" s="1965" t="str">
        <f>IF(T7="","",T7)</f>
        <v>Группа потребителей</v>
      </c>
      <c r="AQ7" s="1965"/>
      <c r="AR7" s="1965"/>
      <c r="AS7" s="1972">
        <v>0</v>
      </c>
    </row>
    <row customHeight="1" ht="21" hidden="1">
      <c r="A8" s="1608"/>
      <c r="B8" s="1608"/>
      <c r="C8" s="1608"/>
      <c r="D8" s="1608"/>
      <c r="E8" s="2631"/>
      <c r="F8" s="2631"/>
      <c r="G8" s="2631"/>
      <c r="H8" s="2631"/>
      <c r="I8" s="2442"/>
      <c r="J8" s="2442"/>
      <c r="K8" s="2468">
        <f>J7&amp;".1"</f>
      </c>
      <c r="L8" s="1651" t="s">
        <v>404</v>
      </c>
      <c r="M8" s="1976"/>
      <c r="N8" s="1972"/>
      <c r="O8" s="1972"/>
      <c r="P8" s="2598"/>
      <c r="Q8" s="2598"/>
      <c r="R8" s="698">
        <v>1</v>
      </c>
      <c r="S8" s="2299">
        <f>$K8</f>
      </c>
      <c r="T8" s="1688"/>
      <c r="U8" s="641"/>
      <c r="V8" s="1092"/>
      <c r="W8" s="666"/>
      <c r="X8" s="1092"/>
      <c r="Y8" s="1598"/>
      <c r="Z8" s="2606"/>
      <c r="AA8" s="2448" t="s">
        <v>65</v>
      </c>
      <c r="AB8" s="2606"/>
      <c r="AC8" s="2448" t="s">
        <v>65</v>
      </c>
      <c r="AD8" s="1092"/>
      <c r="AE8" s="666"/>
      <c r="AF8" s="1092"/>
      <c r="AG8" s="1598"/>
      <c r="AH8" s="2606"/>
      <c r="AI8" s="2448" t="s">
        <v>65</v>
      </c>
      <c r="AJ8" s="2606"/>
      <c r="AK8" s="2448" t="s">
        <v>65</v>
      </c>
      <c r="AL8" s="666"/>
      <c r="AM8" s="2594" t="s">
        <v>405</v>
      </c>
      <c r="AN8" s="1977">
        <f>STRCHECKDATE(V9:AL9)</f>
      </c>
      <c r="AO8" s="1965"/>
      <c r="AP8" s="1965" t="str">
        <f>IF(T8="","",T8)</f>
        <v/>
      </c>
      <c r="AQ8" s="1965"/>
      <c r="AR8" s="1965"/>
      <c r="AS8" s="1972">
        <v>0</v>
      </c>
    </row>
    <row customHeight="1" ht="0.75" hidden="1">
      <c r="A9" s="1608"/>
      <c r="B9" s="1608"/>
      <c r="C9" s="1608"/>
      <c r="D9" s="1608"/>
      <c r="E9" s="2631"/>
      <c r="F9" s="2631"/>
      <c r="G9" s="2631"/>
      <c r="H9" s="2631"/>
      <c r="I9" s="2442"/>
      <c r="J9" s="2442"/>
      <c r="K9" s="2468"/>
      <c r="L9" s="1651"/>
      <c r="M9" s="1976"/>
      <c r="N9" s="1972"/>
      <c r="O9" s="1972"/>
      <c r="P9" s="2598"/>
      <c r="Q9" s="2598"/>
      <c r="R9" s="698"/>
      <c r="S9" s="2308"/>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1965"/>
      <c r="AP9" s="1965" t="str">
        <f>IF(T9="","",T9)</f>
        <v/>
      </c>
      <c r="AQ9" s="1965"/>
      <c r="AR9" s="1965"/>
      <c r="AS9" s="1972">
        <v>0</v>
      </c>
    </row>
    <row customHeight="1" ht="15" hidden="1">
      <c r="A10" s="1608"/>
      <c r="B10" s="1608"/>
      <c r="C10" s="1608"/>
      <c r="D10" s="1608"/>
      <c r="E10" s="2631"/>
      <c r="F10" s="2631"/>
      <c r="G10" s="2631"/>
      <c r="H10" s="2631"/>
      <c r="I10" s="2442"/>
      <c r="J10" s="2468"/>
      <c r="K10" s="1608"/>
      <c r="L10" s="1651"/>
      <c r="M10" s="1976"/>
      <c r="N10" s="1972"/>
      <c r="P10" s="2598"/>
      <c r="Q10" s="2598"/>
      <c r="R10" s="697"/>
      <c r="S10" s="1619"/>
      <c r="T10" s="629" t="s">
        <v>406</v>
      </c>
      <c r="U10" s="941"/>
      <c r="V10" s="941"/>
      <c r="W10" s="941"/>
      <c r="X10" s="941"/>
      <c r="Y10" s="941"/>
      <c r="Z10" s="941"/>
      <c r="AA10" s="941"/>
      <c r="AB10" s="941"/>
      <c r="AC10" s="941"/>
      <c r="AD10" s="941"/>
      <c r="AE10" s="941"/>
      <c r="AF10" s="941"/>
      <c r="AG10" s="941"/>
      <c r="AH10" s="941"/>
      <c r="AI10" s="941"/>
      <c r="AJ10" s="941"/>
      <c r="AK10" s="941"/>
      <c r="AL10" s="665"/>
      <c r="AM10" s="2596"/>
      <c r="AO10" s="1965"/>
      <c r="AP10" s="1965" t="str">
        <f>IF(T10="","",T10)</f>
        <v>Добавить вид теплоносителя (параметры теплоносителя)</v>
      </c>
      <c r="AQ10" s="1965"/>
      <c r="AR10" s="1965"/>
      <c r="AS10" s="1972">
        <v>0</v>
      </c>
    </row>
    <row customHeight="1" ht="15" hidden="1">
      <c r="A11" s="1608"/>
      <c r="B11" s="1608"/>
      <c r="C11" s="1608"/>
      <c r="D11" s="1608"/>
      <c r="E11" s="2631"/>
      <c r="F11" s="2631"/>
      <c r="G11" s="2631"/>
      <c r="H11" s="2631"/>
      <c r="I11" s="2468"/>
      <c r="J11" s="1608"/>
      <c r="K11" s="1608"/>
      <c r="L11" s="1651"/>
      <c r="M11" s="1976"/>
      <c r="P11" s="2598"/>
      <c r="Q11" s="2295"/>
      <c r="R11" s="697"/>
      <c r="S11" s="1619"/>
      <c r="T11" s="628" t="s">
        <v>407</v>
      </c>
      <c r="U11" s="941"/>
      <c r="V11" s="941"/>
      <c r="W11" s="941"/>
      <c r="X11" s="941"/>
      <c r="Y11" s="941"/>
      <c r="Z11" s="941"/>
      <c r="AA11" s="941"/>
      <c r="AB11" s="941"/>
      <c r="AC11" s="707"/>
      <c r="AD11" s="941"/>
      <c r="AE11" s="941"/>
      <c r="AF11" s="941"/>
      <c r="AG11" s="941"/>
      <c r="AH11" s="941"/>
      <c r="AI11" s="941"/>
      <c r="AJ11" s="941"/>
      <c r="AK11" s="707"/>
      <c r="AL11" s="941"/>
      <c r="AM11" s="644"/>
      <c r="AO11" s="1965"/>
      <c r="AP11" s="1965" t="str">
        <f>IF(T11="","",T11)</f>
        <v>Добавить группу потребителей</v>
      </c>
      <c r="AQ11" s="1965"/>
      <c r="AR11" s="1965"/>
      <c r="AS11" s="1972">
        <v>0</v>
      </c>
    </row>
    <row customHeight="1" ht="14.25" hidden="1">
      <c r="A12" s="1608"/>
      <c r="B12" s="1608"/>
      <c r="C12" s="1608"/>
      <c r="D12" s="1608"/>
      <c r="E12" s="2631"/>
      <c r="F12" s="2631"/>
      <c r="G12" s="2631"/>
      <c r="H12" s="2630"/>
      <c r="I12" s="1608"/>
      <c r="J12" s="1608"/>
      <c r="K12" s="1608"/>
      <c r="L12" s="1651"/>
      <c r="M12" s="1951"/>
      <c r="N12" s="1951"/>
      <c r="O12" s="1976"/>
      <c r="P12" s="701"/>
      <c r="Q12" s="716"/>
      <c r="R12" s="696"/>
      <c r="S12" s="1619"/>
      <c r="T12" s="706" t="s">
        <v>408</v>
      </c>
      <c r="U12" s="941"/>
      <c r="V12" s="941"/>
      <c r="W12" s="941"/>
      <c r="X12" s="941"/>
      <c r="Y12" s="941"/>
      <c r="Z12" s="941"/>
      <c r="AA12" s="941"/>
      <c r="AB12" s="941"/>
      <c r="AC12" s="707"/>
      <c r="AD12" s="941"/>
      <c r="AE12" s="941"/>
      <c r="AF12" s="941"/>
      <c r="AG12" s="941"/>
      <c r="AH12" s="941"/>
      <c r="AI12" s="941"/>
      <c r="AJ12" s="941"/>
      <c r="AK12" s="707"/>
      <c r="AL12" s="941"/>
      <c r="AM12" s="644"/>
      <c r="AO12" s="1965"/>
      <c r="AP12" s="1965" t="str">
        <f>IF(T12="","",T12)</f>
        <v>Добавить схему подключения</v>
      </c>
      <c r="AQ12" s="1965"/>
      <c r="AR12" s="1965"/>
      <c r="AS12" s="1972">
        <v>0</v>
      </c>
    </row>
    <row s="17316" customFormat="1" customHeight="1" ht="0.75" hidden="1">
      <c r="A13" s="2315"/>
      <c r="B13" s="2315"/>
      <c r="C13" s="2315"/>
      <c r="D13" s="2315"/>
      <c r="E13" s="2631"/>
      <c r="F13" s="2631"/>
      <c r="G13" s="2630"/>
      <c r="H13" s="2315"/>
      <c r="I13" s="2315"/>
      <c r="J13" s="2315"/>
      <c r="K13" s="2315"/>
      <c r="L13" s="1721"/>
      <c r="M13" s="1951"/>
      <c r="N13" s="1951"/>
      <c r="O13" s="1976"/>
      <c r="P13" s="1657"/>
      <c r="Q13" s="1658"/>
      <c r="R13" s="1657"/>
      <c r="S13" s="1659"/>
      <c r="T13" s="1660" t="s">
        <v>409</v>
      </c>
      <c r="U13" s="1661"/>
      <c r="V13" s="1661"/>
      <c r="W13" s="1661"/>
      <c r="X13" s="1661"/>
      <c r="Y13" s="1661"/>
      <c r="Z13" s="1661"/>
      <c r="AA13" s="1661"/>
      <c r="AB13" s="1661"/>
      <c r="AC13" s="1661"/>
      <c r="AD13" s="1661"/>
      <c r="AE13" s="1661"/>
      <c r="AF13" s="1661"/>
      <c r="AG13" s="1661"/>
      <c r="AH13" s="1661"/>
      <c r="AI13" s="1661"/>
      <c r="AJ13" s="1661"/>
      <c r="AK13" s="1661"/>
      <c r="AL13" s="1661"/>
      <c r="AM13" s="1661"/>
      <c r="AO13" s="1592"/>
      <c r="AP13" s="1592" t="str">
        <f>IF(T13="","",T13)</f>
        <v>Добавить источник для дифференциации</v>
      </c>
      <c r="AQ13" s="1592"/>
      <c r="AR13" s="1592"/>
      <c r="AS13" s="1983">
        <v>0</v>
      </c>
    </row>
    <row s="17316" customFormat="1" customHeight="1" ht="0.75" hidden="1">
      <c r="A14" s="2315"/>
      <c r="B14" s="2315"/>
      <c r="C14" s="2315"/>
      <c r="D14" s="2315"/>
      <c r="E14" s="2631"/>
      <c r="F14" s="2630"/>
      <c r="G14" s="2315"/>
      <c r="H14" s="2315"/>
      <c r="I14" s="2315"/>
      <c r="J14" s="2315"/>
      <c r="K14" s="2315"/>
      <c r="L14" s="1721"/>
      <c r="M14" s="2316"/>
      <c r="N14" s="2316"/>
      <c r="O14" s="1976"/>
      <c r="P14" s="1657"/>
      <c r="Q14" s="1658"/>
      <c r="R14" s="1657"/>
      <c r="S14" s="1663"/>
      <c r="T14" s="1664" t="s">
        <v>410</v>
      </c>
      <c r="U14" s="1665"/>
      <c r="V14" s="1665"/>
      <c r="W14" s="1665"/>
      <c r="X14" s="1665"/>
      <c r="Y14" s="1665"/>
      <c r="Z14" s="1665"/>
      <c r="AA14" s="1665"/>
      <c r="AB14" s="1665"/>
      <c r="AC14" s="1665"/>
      <c r="AD14" s="1665"/>
      <c r="AE14" s="1665"/>
      <c r="AF14" s="1665"/>
      <c r="AG14" s="1665"/>
      <c r="AH14" s="1665"/>
      <c r="AI14" s="1665"/>
      <c r="AJ14" s="1665"/>
      <c r="AK14" s="1665"/>
      <c r="AL14" s="1665"/>
      <c r="AM14" s="1665"/>
      <c r="AO14" s="1592"/>
      <c r="AP14" s="1592" t="str">
        <f>IF(T14="","",T14)</f>
        <v>Добавить централизованную систему для дифференциации</v>
      </c>
      <c r="AQ14" s="1592"/>
      <c r="AR14" s="1592"/>
      <c r="AS14" s="1983">
        <v>0</v>
      </c>
    </row>
    <row s="17316" customFormat="1" customHeight="1" ht="0.75" hidden="1">
      <c r="A15" s="2315"/>
      <c r="B15" s="2315"/>
      <c r="C15" s="2315"/>
      <c r="D15" s="2315"/>
      <c r="E15" s="2630"/>
      <c r="F15" s="2315"/>
      <c r="G15" s="2315"/>
      <c r="H15" s="2315"/>
      <c r="I15" s="2315"/>
      <c r="J15" s="2315"/>
      <c r="K15" s="2315"/>
      <c r="L15" s="1721"/>
      <c r="M15" s="2316"/>
      <c r="N15" s="2316"/>
      <c r="O15" s="1976"/>
      <c r="P15" s="1657"/>
      <c r="Q15" s="1658"/>
      <c r="R15" s="1657"/>
      <c r="S15" s="1663"/>
      <c r="T15" s="1666" t="s">
        <v>411</v>
      </c>
      <c r="U15" s="1665"/>
      <c r="V15" s="1665"/>
      <c r="W15" s="1665"/>
      <c r="X15" s="1665"/>
      <c r="Y15" s="1665"/>
      <c r="Z15" s="1665"/>
      <c r="AA15" s="1665"/>
      <c r="AB15" s="1665"/>
      <c r="AC15" s="1665"/>
      <c r="AD15" s="1665"/>
      <c r="AE15" s="1665"/>
      <c r="AF15" s="1665"/>
      <c r="AG15" s="1665"/>
      <c r="AH15" s="1665"/>
      <c r="AI15" s="1665"/>
      <c r="AJ15" s="1665"/>
      <c r="AK15" s="1665"/>
      <c r="AL15" s="1665"/>
      <c r="AM15" s="1665"/>
      <c r="AO15" s="1592"/>
      <c r="AP15" s="1592" t="str">
        <f>IF(T15="","",T15)</f>
        <v>Добавить территорию для дифференциации</v>
      </c>
      <c r="AQ15" s="1592"/>
      <c r="AR15" s="1592"/>
      <c r="AS15" s="1983">
        <v>0</v>
      </c>
    </row>
    <row customHeight="1" ht="14.25" hidden="1">
      <c r="AS16" s="1972">
        <v>0</v>
      </c>
    </row>
    <row customHeight="1" ht="14.25" hidden="1">
      <c r="AD17" s="1701"/>
      <c r="AE17" s="1701"/>
      <c r="AF17" s="1701"/>
      <c r="AG17" s="1702"/>
      <c r="AH17" s="2608"/>
      <c r="AI17" s="2609" t="s">
        <v>65</v>
      </c>
      <c r="AJ17" s="2608"/>
      <c r="AK17" s="2609" t="s">
        <v>65</v>
      </c>
      <c r="AS17" s="1972">
        <v>0</v>
      </c>
    </row>
    <row customHeight="1" ht="14.25" hidden="1">
      <c r="AD18" s="1701"/>
      <c r="AE18" s="1701"/>
      <c r="AF18" s="1701"/>
      <c r="AG18" s="669" t="str">
        <f>AH17&amp;"-"&amp;AJ17</f>
        <v>-</v>
      </c>
      <c r="AH18" s="2609"/>
      <c r="AI18" s="2609"/>
      <c r="AJ18" s="2609"/>
      <c r="AK18" s="2609"/>
      <c r="AS18" s="1972">
        <v>0</v>
      </c>
    </row>
    <row customHeight="1" ht="14.25" hidden="1">
      <c r="AS19" s="1972">
        <v>0</v>
      </c>
    </row>
    <row s="17315" customFormat="1" customHeight="1" ht="14.25" hidden="1">
      <c r="A20" s="1972"/>
      <c r="B20" s="1972"/>
      <c r="C20" s="1972"/>
      <c r="D20" s="1972"/>
      <c r="E20" s="1972"/>
      <c r="F20" s="1972"/>
      <c r="G20" s="1972"/>
      <c r="H20" s="1972"/>
      <c r="I20" s="1972"/>
      <c r="J20" s="1972"/>
      <c r="K20" s="1972"/>
      <c r="L20" s="2280"/>
      <c r="M20" s="2306"/>
      <c r="N20" s="2306"/>
      <c r="O20" s="1686" t="s">
        <v>412</v>
      </c>
      <c r="P20" s="1703"/>
      <c r="Q20" s="1712"/>
      <c r="R20" s="1712"/>
      <c r="S20" s="1070"/>
      <c r="Z20" s="1708"/>
      <c r="AB20" s="1708"/>
      <c r="AH20" s="1708"/>
      <c r="AJ20" s="1708"/>
      <c r="AN20" s="1977"/>
      <c r="AO20" s="1977"/>
      <c r="AP20" s="1977"/>
      <c r="AQ20" s="1977"/>
      <c r="AR20" s="1977"/>
      <c r="AS20" s="1707">
        <v>0</v>
      </c>
    </row>
    <row s="17315" customFormat="1" customHeight="1" ht="14.25" hidden="1">
      <c r="A21" s="1972"/>
      <c r="B21" s="1972"/>
      <c r="C21" s="1972"/>
      <c r="D21" s="1972"/>
      <c r="E21" s="1972"/>
      <c r="F21" s="1972"/>
      <c r="G21" s="1972"/>
      <c r="H21" s="1972"/>
      <c r="I21" s="1972"/>
      <c r="J21" s="1972"/>
      <c r="K21" s="1972"/>
      <c r="L21" s="2280"/>
      <c r="M21" s="2306"/>
      <c r="N21" s="2306"/>
      <c r="O21" s="2306"/>
      <c r="P21" s="1703"/>
      <c r="Q21" s="1712"/>
      <c r="R21" s="1712"/>
      <c r="S21" s="1070"/>
      <c r="AN21" s="1977"/>
      <c r="AO21" s="1977"/>
      <c r="AP21" s="1977"/>
      <c r="AQ21" s="1977"/>
      <c r="AR21" s="1977"/>
      <c r="AS21" s="1707">
        <v>0</v>
      </c>
    </row>
    <row s="17315" customFormat="1" customHeight="1" ht="14.25" hidden="1">
      <c r="A22" s="1972"/>
      <c r="B22" s="1972"/>
      <c r="C22" s="1972"/>
      <c r="D22" s="1972"/>
      <c r="E22" s="1972"/>
      <c r="F22" s="1972"/>
      <c r="G22" s="1972"/>
      <c r="H22" s="1972"/>
      <c r="I22" s="1972"/>
      <c r="J22" s="1972"/>
      <c r="K22" s="1972"/>
      <c r="L22" s="2280"/>
      <c r="M22" s="2306"/>
      <c r="N22" s="2306"/>
      <c r="O22" s="1651" t="s">
        <v>413</v>
      </c>
      <c r="P22" s="1703"/>
      <c r="Q22" s="1712"/>
      <c r="R22" s="1712"/>
      <c r="S22" s="1070"/>
      <c r="T22" s="1707" t="s">
        <v>414</v>
      </c>
      <c r="AA22" s="936" t="s">
        <v>415</v>
      </c>
      <c r="AC22" s="936" t="s">
        <v>416</v>
      </c>
      <c r="AD22" s="1707" t="s">
        <v>414</v>
      </c>
      <c r="AI22" s="936" t="s">
        <v>417</v>
      </c>
      <c r="AK22" s="936" t="s">
        <v>416</v>
      </c>
      <c r="AN22" s="1977"/>
      <c r="AO22" s="1977"/>
      <c r="AP22" s="1977"/>
      <c r="AQ22" s="1977"/>
      <c r="AR22" s="1977"/>
      <c r="AS22" s="1707">
        <v>0</v>
      </c>
    </row>
    <row customHeight="1" ht="14.25" hidden="1">
      <c r="O23" s="1651"/>
      <c r="AS23" s="1972">
        <v>0</v>
      </c>
    </row>
    <row customHeight="1" ht="14.25" hidden="1">
      <c r="O24" s="1651"/>
      <c r="AS24" s="1972">
        <v>0</v>
      </c>
    </row>
    <row customHeight="1" ht="14.699999999999998">
      <c r="Q25" s="717"/>
      <c r="R25" s="717"/>
      <c r="S25" s="1616"/>
      <c r="T25" s="798"/>
      <c r="U25" s="798"/>
      <c r="V25" s="1976"/>
      <c r="W25" s="1976"/>
      <c r="X25" s="1976"/>
      <c r="Y25" s="1976"/>
      <c r="Z25" s="1976"/>
      <c r="AA25" s="1976"/>
      <c r="AB25" s="1976"/>
      <c r="AC25" s="1976"/>
      <c r="AD25" s="1976"/>
      <c r="AE25" s="1976"/>
      <c r="AF25" s="1976"/>
      <c r="AG25" s="1976"/>
      <c r="AH25" s="1976"/>
      <c r="AI25" s="1976"/>
      <c r="AJ25" s="1976"/>
      <c r="AK25" s="1976"/>
      <c r="AS25" s="1972">
        <v>14</v>
      </c>
    </row>
    <row customHeight="1" ht="14.699999999999998">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S26" s="1972">
        <v>14</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972">
        <v>14</v>
      </c>
    </row>
    <row customHeight="1" ht="14.25" hidden="1">
      <c r="Q28" s="717"/>
      <c r="R28" s="717"/>
      <c r="S28" s="1616"/>
      <c r="T28" s="798"/>
      <c r="U28" s="798"/>
      <c r="V28" s="663"/>
      <c r="W28" s="663"/>
      <c r="X28" s="663"/>
      <c r="Y28" s="663"/>
      <c r="Z28" s="663"/>
      <c r="AA28" s="663"/>
      <c r="AB28" s="663"/>
      <c r="AC28" s="663"/>
      <c r="AD28" s="663"/>
      <c r="AE28" s="663"/>
      <c r="AF28" s="663"/>
      <c r="AG28" s="663"/>
      <c r="AH28" s="663"/>
      <c r="AI28" s="663"/>
      <c r="AJ28" s="663"/>
      <c r="AK28" s="663"/>
      <c r="AL28" s="1976"/>
      <c r="AS28" s="1972">
        <v>0</v>
      </c>
    </row>
    <row s="17442" customFormat="1" customHeight="1" ht="25.5" hidden="1">
      <c r="A29" s="1589"/>
      <c r="B29" s="1589"/>
      <c r="C29" s="1589"/>
      <c r="D29" s="1589"/>
      <c r="E29" s="1589"/>
      <c r="F29" s="1589"/>
      <c r="G29" s="1589"/>
      <c r="H29" s="1589"/>
      <c r="I29" s="1589"/>
      <c r="J29" s="1589"/>
      <c r="K29" s="1589"/>
      <c r="L29" s="1721"/>
      <c r="M29" s="1589"/>
      <c r="N29" s="1589"/>
      <c r="O29" s="1589"/>
      <c r="S29" s="2591" t="s">
        <v>41</v>
      </c>
      <c r="T29" s="2591"/>
      <c r="U29" s="1713"/>
      <c r="V29" s="2592" t="str">
        <f>IF(TITLE_NAME_OR_PR_CHANGE="",IF(TITLE_NAME_OR_PR="","",TITLE_NAME_OR_PR),TITLE_NAME_OR_PR_CHANGE)</f>
        <v/>
      </c>
      <c r="W29" s="2592"/>
      <c r="X29" s="2592"/>
      <c r="Y29" s="2592"/>
      <c r="Z29" s="2592"/>
      <c r="AA29" s="2592"/>
      <c r="AB29" s="2592"/>
      <c r="AC29" s="1976"/>
      <c r="AD29" s="2592" t="str">
        <f>IF(TITLE_NAME_OR_PR_CHANGE="",IF(TITLE_NAME_OR_PR="","",TITLE_NAME_OR_PR),TITLE_NAME_OR_PR_CHANGE)</f>
        <v/>
      </c>
      <c r="AE29" s="2592"/>
      <c r="AF29" s="2592"/>
      <c r="AG29" s="2592"/>
      <c r="AH29" s="2592"/>
      <c r="AI29" s="2592"/>
      <c r="AJ29" s="2592"/>
      <c r="AK29" s="1976"/>
      <c r="AL29" s="1976"/>
      <c r="AM29" s="621"/>
      <c r="AN29" s="709"/>
      <c r="AO29" s="709"/>
      <c r="AP29" s="709"/>
      <c r="AQ29" s="709"/>
      <c r="AR29" s="709"/>
      <c r="AS29" s="759">
        <v>0</v>
      </c>
    </row>
    <row s="17442" customFormat="1" customHeight="1" ht="18.75" hidden="1">
      <c r="A30" s="1589"/>
      <c r="B30" s="1589"/>
      <c r="C30" s="1589"/>
      <c r="D30" s="1589"/>
      <c r="E30" s="1589"/>
      <c r="F30" s="1589"/>
      <c r="G30" s="1589"/>
      <c r="H30" s="1589"/>
      <c r="I30" s="1589"/>
      <c r="J30" s="1589"/>
      <c r="K30" s="1589"/>
      <c r="L30" s="1721"/>
      <c r="M30" s="1589"/>
      <c r="N30" s="1589"/>
      <c r="O30" s="1589"/>
      <c r="S30" s="2591" t="s">
        <v>418</v>
      </c>
      <c r="T30" s="2591"/>
      <c r="U30" s="1713"/>
      <c r="V30" s="2605" t="str">
        <f>IF(TITLE_DATE_PR_CHANGE="",IF(TITLE_DATE_PR="","",TITLE_DATE_PR),TITLE_DATE_PR_CHANGE)</f>
        <v/>
      </c>
      <c r="W30" s="2605"/>
      <c r="X30" s="2605"/>
      <c r="Y30" s="2605"/>
      <c r="Z30" s="2605"/>
      <c r="AA30" s="2605"/>
      <c r="AB30" s="2605"/>
      <c r="AC30" s="1976"/>
      <c r="AD30" s="2605" t="str">
        <f>IF(TITLE_DATE_PR_CHANGE="",IF(TITLE_DATE_PR="","",TITLE_DATE_PR),TITLE_DATE_PR_CHANGE)</f>
        <v/>
      </c>
      <c r="AE30" s="2605"/>
      <c r="AF30" s="2605"/>
      <c r="AG30" s="2605"/>
      <c r="AH30" s="2605"/>
      <c r="AI30" s="2605"/>
      <c r="AJ30" s="2605"/>
      <c r="AK30" s="1976"/>
      <c r="AL30" s="1976"/>
      <c r="AM30" s="621"/>
      <c r="AN30" s="709"/>
      <c r="AO30" s="709"/>
      <c r="AP30" s="709"/>
      <c r="AQ30" s="709"/>
      <c r="AR30" s="709"/>
      <c r="AS30" s="759">
        <v>0</v>
      </c>
    </row>
    <row s="17442" customFormat="1" customHeight="1" ht="18.75" hidden="1">
      <c r="A31" s="1589"/>
      <c r="B31" s="1589"/>
      <c r="C31" s="1589"/>
      <c r="D31" s="1589"/>
      <c r="E31" s="1589"/>
      <c r="F31" s="1589"/>
      <c r="G31" s="1589"/>
      <c r="H31" s="1589"/>
      <c r="I31" s="1589"/>
      <c r="J31" s="1589"/>
      <c r="K31" s="1589"/>
      <c r="L31" s="1721"/>
      <c r="M31" s="1589"/>
      <c r="N31" s="1589"/>
      <c r="O31" s="1589"/>
      <c r="S31" s="2591" t="s">
        <v>419</v>
      </c>
      <c r="T31" s="2591"/>
      <c r="U31" s="1713"/>
      <c r="V31" s="2592" t="str">
        <f>IF(TITLE_NUMBER_PR_CHANGE="",IF(TITLE_NUMBER_PR="","",TITLE_NUMBER_PR),TITLE_NUMBER_PR_CHANGE)</f>
        <v/>
      </c>
      <c r="W31" s="2592"/>
      <c r="X31" s="2592"/>
      <c r="Y31" s="2592"/>
      <c r="Z31" s="2592"/>
      <c r="AA31" s="2592"/>
      <c r="AB31" s="2592"/>
      <c r="AC31" s="1976"/>
      <c r="AD31" s="2592" t="str">
        <f>IF(TITLE_NUMBER_PR_CHANGE="",IF(TITLE_NUMBER_PR="","",TITLE_NUMBER_PR),TITLE_NUMBER_PR_CHANGE)</f>
        <v/>
      </c>
      <c r="AE31" s="2592"/>
      <c r="AF31" s="2592"/>
      <c r="AG31" s="2592"/>
      <c r="AH31" s="2592"/>
      <c r="AI31" s="2592"/>
      <c r="AJ31" s="2592"/>
      <c r="AK31" s="1976"/>
      <c r="AL31" s="1976"/>
      <c r="AM31" s="621"/>
      <c r="AN31" s="709"/>
      <c r="AO31" s="709"/>
      <c r="AP31" s="709"/>
      <c r="AQ31" s="709"/>
      <c r="AR31" s="709"/>
      <c r="AS31" s="759">
        <v>0</v>
      </c>
    </row>
    <row s="17442" customFormat="1" customHeight="1" ht="18.75" hidden="1">
      <c r="A32" s="1589"/>
      <c r="B32" s="1589"/>
      <c r="C32" s="1589"/>
      <c r="D32" s="1589"/>
      <c r="E32" s="1589"/>
      <c r="F32" s="1589"/>
      <c r="G32" s="1589"/>
      <c r="H32" s="1589"/>
      <c r="I32" s="1589"/>
      <c r="J32" s="1589"/>
      <c r="K32" s="1589"/>
      <c r="L32" s="1721"/>
      <c r="M32" s="1589"/>
      <c r="N32" s="1589"/>
      <c r="O32" s="1589"/>
      <c r="S32" s="2591" t="s">
        <v>42</v>
      </c>
      <c r="T32" s="2591"/>
      <c r="U32" s="1713"/>
      <c r="V32" s="2592" t="str">
        <f>IF(TITLE_IST_PUB_CHANGE="",IF(TITLE_IST_PUB="","",TITLE_IST_PUB),TITLE_IST_PUB_CHANGE)</f>
        <v/>
      </c>
      <c r="W32" s="2592"/>
      <c r="X32" s="2592"/>
      <c r="Y32" s="2592"/>
      <c r="Z32" s="2592"/>
      <c r="AA32" s="2592"/>
      <c r="AB32" s="2592"/>
      <c r="AC32" s="1976"/>
      <c r="AD32" s="2592" t="str">
        <f>IF(TITLE_IST_PUB_CHANGE="",IF(TITLE_IST_PUB="","",TITLE_IST_PUB),TITLE_IST_PUB_CHANGE)</f>
        <v/>
      </c>
      <c r="AE32" s="2592"/>
      <c r="AF32" s="2592"/>
      <c r="AG32" s="2592"/>
      <c r="AH32" s="2592"/>
      <c r="AI32" s="2592"/>
      <c r="AJ32" s="2592"/>
      <c r="AK32" s="1976"/>
      <c r="AL32" s="1976"/>
      <c r="AM32" s="621"/>
      <c r="AN32" s="709"/>
      <c r="AO32" s="709"/>
      <c r="AP32" s="709"/>
      <c r="AQ32" s="709"/>
      <c r="AR32" s="709"/>
      <c r="AS32" s="759">
        <v>0</v>
      </c>
    </row>
    <row customHeight="1" ht="14.25" hidden="1">
      <c r="Q33" s="717"/>
      <c r="R33" s="717"/>
      <c r="S33" s="1616"/>
      <c r="T33" s="798"/>
      <c r="U33" s="798"/>
      <c r="V33" s="663"/>
      <c r="W33" s="663"/>
      <c r="X33" s="663"/>
      <c r="Y33" s="663"/>
      <c r="Z33" s="663"/>
      <c r="AA33" s="663"/>
      <c r="AB33" s="663"/>
      <c r="AC33" s="663"/>
      <c r="AD33" s="663"/>
      <c r="AE33" s="663"/>
      <c r="AF33" s="663"/>
      <c r="AG33" s="663"/>
      <c r="AH33" s="663"/>
      <c r="AI33" s="663"/>
      <c r="AJ33" s="663"/>
      <c r="AK33" s="663"/>
      <c r="AL33" s="1976"/>
      <c r="AS33" s="1972">
        <v>0</v>
      </c>
    </row>
    <row s="17442" customFormat="1" customHeight="1" ht="18.75" hidden="1">
      <c r="A34" s="1589"/>
      <c r="B34" s="1589"/>
      <c r="C34" s="1589"/>
      <c r="D34" s="1589"/>
      <c r="E34" s="1589"/>
      <c r="F34" s="1589"/>
      <c r="G34" s="1589"/>
      <c r="H34" s="1589"/>
      <c r="I34" s="1589"/>
      <c r="J34" s="1589"/>
      <c r="K34" s="1589"/>
      <c r="L34" s="1721"/>
      <c r="M34" s="1589"/>
      <c r="N34" s="1589"/>
      <c r="O34" s="1589"/>
      <c r="S34" s="2591" t="s">
        <v>420</v>
      </c>
      <c r="T34" s="2591"/>
      <c r="U34" s="1713"/>
      <c r="V34" s="2605" t="str">
        <f>IF(TITLE_DATE_PR_CHANGE="",IF(TITLE_DATE_PR="","",TITLE_DATE_PR),TITLE_DATE_PR_CHANGE)</f>
        <v/>
      </c>
      <c r="W34" s="2605"/>
      <c r="X34" s="2605"/>
      <c r="Y34" s="2605"/>
      <c r="Z34" s="2605"/>
      <c r="AA34" s="2605"/>
      <c r="AB34" s="2605"/>
      <c r="AC34" s="1976"/>
      <c r="AD34" s="2605" t="str">
        <f>IF(TITLE_DATE_PR_CHANGE="",IF(TITLE_DATE_PR="","",TITLE_DATE_PR),TITLE_DATE_PR_CHANGE)</f>
        <v/>
      </c>
      <c r="AE34" s="2605"/>
      <c r="AF34" s="2605"/>
      <c r="AG34" s="2605"/>
      <c r="AH34" s="2605"/>
      <c r="AI34" s="2605"/>
      <c r="AJ34" s="2605"/>
      <c r="AK34" s="1976"/>
      <c r="AL34" s="1976"/>
      <c r="AM34" s="621"/>
      <c r="AN34" s="709"/>
      <c r="AO34" s="709"/>
      <c r="AP34" s="709"/>
      <c r="AQ34" s="709"/>
      <c r="AR34" s="709"/>
      <c r="AS34" s="759">
        <v>0</v>
      </c>
    </row>
    <row s="17442" customFormat="1" customHeight="1" ht="18.75" hidden="1">
      <c r="A35" s="1589"/>
      <c r="B35" s="1589"/>
      <c r="C35" s="1589"/>
      <c r="D35" s="1589"/>
      <c r="E35" s="1589"/>
      <c r="F35" s="1589"/>
      <c r="G35" s="1589"/>
      <c r="H35" s="1589"/>
      <c r="I35" s="1589"/>
      <c r="J35" s="1589"/>
      <c r="K35" s="1589"/>
      <c r="L35" s="1721"/>
      <c r="M35" s="1589"/>
      <c r="N35" s="1589"/>
      <c r="O35" s="1589"/>
      <c r="S35" s="2591" t="s">
        <v>421</v>
      </c>
      <c r="T35" s="2591"/>
      <c r="U35" s="1713"/>
      <c r="V35" s="2592" t="str">
        <f>IF(TITLE_NUMBER_PR_CHANGE="",IF(TITLE_NUMBER_PR="","",TITLE_NUMBER_PR),TITLE_NUMBER_PR_CHANGE)</f>
        <v/>
      </c>
      <c r="W35" s="2592"/>
      <c r="X35" s="2592"/>
      <c r="Y35" s="2592"/>
      <c r="Z35" s="2592"/>
      <c r="AA35" s="2592"/>
      <c r="AB35" s="2592"/>
      <c r="AC35" s="1976"/>
      <c r="AD35" s="2592" t="str">
        <f>IF(TITLE_NUMBER_PR_CHANGE="",IF(TITLE_NUMBER_PR="","",TITLE_NUMBER_PR),TITLE_NUMBER_PR_CHANGE)</f>
        <v/>
      </c>
      <c r="AE35" s="2592"/>
      <c r="AF35" s="2592"/>
      <c r="AG35" s="2592"/>
      <c r="AH35" s="2592"/>
      <c r="AI35" s="2592"/>
      <c r="AJ35" s="2592"/>
      <c r="AK35" s="1976"/>
      <c r="AL35" s="1976"/>
      <c r="AM35" s="621"/>
      <c r="AN35" s="709"/>
      <c r="AO35" s="709"/>
      <c r="AP35" s="709"/>
      <c r="AQ35" s="709"/>
      <c r="AR35" s="709"/>
      <c r="AS35" s="759">
        <v>0</v>
      </c>
    </row>
    <row s="17442" customFormat="1" customHeight="1" ht="0">
      <c r="A36" s="1589"/>
      <c r="B36" s="1589"/>
      <c r="C36" s="1589"/>
      <c r="D36" s="1589"/>
      <c r="E36" s="1589"/>
      <c r="F36" s="1589"/>
      <c r="G36" s="1589"/>
      <c r="H36" s="1589"/>
      <c r="I36" s="1589"/>
      <c r="J36" s="1589"/>
      <c r="K36" s="1589"/>
      <c r="L36" s="1721"/>
      <c r="M36" s="1589"/>
      <c r="N36" s="1589"/>
      <c r="O36" s="1589"/>
      <c r="S36" s="1976"/>
      <c r="T36" s="1976"/>
      <c r="U36" s="2311"/>
      <c r="V36" s="1976"/>
      <c r="W36" s="1976"/>
      <c r="X36" s="1976"/>
      <c r="Y36" s="1976"/>
      <c r="Z36" s="1976"/>
      <c r="AA36" s="1976"/>
      <c r="AB36" s="1976"/>
      <c r="AC36" s="1983" t="s">
        <v>422</v>
      </c>
      <c r="AD36" s="1976"/>
      <c r="AE36" s="1976"/>
      <c r="AF36" s="1976"/>
      <c r="AG36" s="1976"/>
      <c r="AH36" s="1976"/>
      <c r="AI36" s="1976"/>
      <c r="AJ36" s="1976"/>
      <c r="AK36" s="1983" t="s">
        <v>422</v>
      </c>
      <c r="AN36" s="709"/>
      <c r="AO36" s="709"/>
      <c r="AP36" s="709"/>
      <c r="AQ36" s="709"/>
      <c r="AR36" s="709"/>
      <c r="AS36" s="759">
        <v>0</v>
      </c>
    </row>
    <row customHeight="1" ht="14.699999999999998">
      <c r="Q37" s="717"/>
      <c r="R37" s="717"/>
      <c r="S37" s="1616"/>
      <c r="T37" s="798"/>
      <c r="U37" s="1585"/>
      <c r="V37" s="2593"/>
      <c r="W37" s="2593"/>
      <c r="X37" s="2593"/>
      <c r="Y37" s="2593"/>
      <c r="Z37" s="2593"/>
      <c r="AA37" s="2593"/>
      <c r="AB37" s="2593"/>
      <c r="AC37" s="2593"/>
      <c r="AD37" s="2593"/>
      <c r="AE37" s="2593"/>
      <c r="AF37" s="2593"/>
      <c r="AG37" s="2593"/>
      <c r="AH37" s="2593"/>
      <c r="AI37" s="2593"/>
      <c r="AJ37" s="2593"/>
      <c r="AK37" s="2593"/>
      <c r="AS37" s="1972">
        <v>14</v>
      </c>
    </row>
    <row customHeight="1" ht="14.699999999999998">
      <c r="Q38" s="717"/>
      <c r="R38" s="717"/>
      <c r="S38" s="2468" t="s">
        <v>295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296</v>
      </c>
      <c r="AS38" s="1972">
        <v>14</v>
      </c>
    </row>
    <row customHeight="1" ht="14.699999999999998">
      <c r="Q39" s="717"/>
      <c r="R39" s="717"/>
      <c r="S39" s="2614" t="s">
        <v>88</v>
      </c>
      <c r="T39" s="2550" t="s">
        <v>423</v>
      </c>
      <c r="U39" s="678"/>
      <c r="V39" s="2615" t="s">
        <v>424</v>
      </c>
      <c r="W39" s="2616"/>
      <c r="X39" s="2616"/>
      <c r="Y39" s="2616"/>
      <c r="Z39" s="2616"/>
      <c r="AA39" s="2616"/>
      <c r="AB39" s="2617"/>
      <c r="AC39" s="2618" t="s">
        <v>425</v>
      </c>
      <c r="AD39" s="2615" t="s">
        <v>424</v>
      </c>
      <c r="AE39" s="2616"/>
      <c r="AF39" s="2616"/>
      <c r="AG39" s="2616"/>
      <c r="AH39" s="2616"/>
      <c r="AI39" s="2616"/>
      <c r="AJ39" s="2617"/>
      <c r="AK39" s="2618" t="s">
        <v>426</v>
      </c>
      <c r="AL39" s="2621" t="s">
        <v>427</v>
      </c>
      <c r="AM39" s="2468"/>
      <c r="AS39" s="1972">
        <v>14</v>
      </c>
    </row>
    <row customHeight="1" ht="35.699999999999996">
      <c r="Q40" s="717"/>
      <c r="R40" s="717"/>
      <c r="S40" s="2614"/>
      <c r="T40" s="2550"/>
      <c r="U40" s="1372"/>
      <c r="V40" s="2601" t="s">
        <v>428</v>
      </c>
      <c r="W40" s="2624" t="s">
        <v>429</v>
      </c>
      <c r="X40" s="2603" t="s">
        <v>430</v>
      </c>
      <c r="Y40" s="2604"/>
      <c r="Z40" s="2603" t="s">
        <v>444</v>
      </c>
      <c r="AA40" s="2610"/>
      <c r="AB40" s="2604"/>
      <c r="AC40" s="2619"/>
      <c r="AD40" s="2601" t="s">
        <v>428</v>
      </c>
      <c r="AE40" s="2624" t="s">
        <v>429</v>
      </c>
      <c r="AF40" s="2603" t="s">
        <v>430</v>
      </c>
      <c r="AG40" s="2604"/>
      <c r="AH40" s="2603" t="s">
        <v>431</v>
      </c>
      <c r="AI40" s="2610"/>
      <c r="AJ40" s="2604"/>
      <c r="AK40" s="2619"/>
      <c r="AL40" s="2622"/>
      <c r="AM40" s="2468"/>
      <c r="AS40" s="1972">
        <v>34</v>
      </c>
    </row>
    <row customHeight="1" ht="35.699999999999996">
      <c r="A41" s="1607"/>
      <c r="B41" s="1607" t="s">
        <v>132</v>
      </c>
      <c r="C41" s="1607" t="s">
        <v>133</v>
      </c>
      <c r="D41" s="1607" t="s">
        <v>134</v>
      </c>
      <c r="E41" s="1651" t="s">
        <v>432</v>
      </c>
      <c r="F41" s="1651" t="s">
        <v>433</v>
      </c>
      <c r="G41" s="1651" t="s">
        <v>434</v>
      </c>
      <c r="H41" s="1651" t="s">
        <v>435</v>
      </c>
      <c r="I41" s="1651" t="s">
        <v>436</v>
      </c>
      <c r="J41" s="1651" t="s">
        <v>437</v>
      </c>
      <c r="K41" s="1651" t="s">
        <v>438</v>
      </c>
      <c r="L41" s="1651" t="s">
        <v>413</v>
      </c>
      <c r="Q41" s="717"/>
      <c r="R41" s="717"/>
      <c r="S41" s="2614"/>
      <c r="T41" s="2550"/>
      <c r="U41" s="643"/>
      <c r="V41" s="2602"/>
      <c r="W41" s="2625"/>
      <c r="X41" s="2279" t="s">
        <v>439</v>
      </c>
      <c r="Y41" s="2279" t="s">
        <v>440</v>
      </c>
      <c r="Z41" s="2279" t="s">
        <v>441</v>
      </c>
      <c r="AA41" s="2611" t="s">
        <v>442</v>
      </c>
      <c r="AB41" s="2612"/>
      <c r="AC41" s="2620"/>
      <c r="AD41" s="2602"/>
      <c r="AE41" s="2625"/>
      <c r="AF41" s="2279" t="s">
        <v>439</v>
      </c>
      <c r="AG41" s="2279" t="s">
        <v>440</v>
      </c>
      <c r="AH41" s="2279" t="s">
        <v>441</v>
      </c>
      <c r="AI41" s="2611" t="s">
        <v>442</v>
      </c>
      <c r="AJ41" s="2612"/>
      <c r="AK41" s="2620"/>
      <c r="AL41" s="2623"/>
      <c r="AM41" s="2468"/>
      <c r="AS41" s="1972">
        <v>34</v>
      </c>
    </row>
    <row s="17832" customFormat="1" customHeight="1" ht="11.25" hidden="1">
      <c r="A42" s="1607"/>
      <c r="B42" s="1607"/>
      <c r="C42" s="1607"/>
      <c r="D42" s="1607"/>
      <c r="E42" s="1607"/>
      <c r="F42" s="1607"/>
      <c r="G42" s="1607"/>
      <c r="H42" s="1607"/>
      <c r="I42" s="1607"/>
      <c r="J42" s="1607"/>
      <c r="K42" s="1607"/>
      <c r="L42" s="1651"/>
      <c r="M42" s="2306"/>
      <c r="N42" s="2306"/>
      <c r="O42" s="2306"/>
      <c r="P42" s="1587"/>
      <c r="Q42" s="1588"/>
      <c r="R42" s="1595">
        <v>1</v>
      </c>
      <c r="S42" s="1618" t="s">
        <v>106</v>
      </c>
      <c r="T42" s="1596" t="s">
        <v>107</v>
      </c>
      <c r="U42" s="1586" t="str">
        <f>OFFSET(U42,0,-1)</f>
        <v>2</v>
      </c>
      <c r="V42" s="2297">
        <f>OFFSET(V42,0,-1)+1</f>
        <v>3</v>
      </c>
      <c r="W42" s="2297"/>
      <c r="X42" s="2297">
        <f>OFFSET(X42,0,-1)+1</f>
        <v>1</v>
      </c>
      <c r="Y42" s="2297">
        <f>OFFSET(Y42,0,-1)+1</f>
        <v>2</v>
      </c>
      <c r="Z42" s="2297">
        <f>OFFSET(Z42,0,-1)+1</f>
        <v>3</v>
      </c>
      <c r="AA42" s="2613">
        <f>OFFSET(AA42,0,-1)+1</f>
        <v>4</v>
      </c>
      <c r="AB42" s="2613"/>
      <c r="AC42" s="2297">
        <f>OFFSET(AC42,0,-2)+1</f>
        <v>5</v>
      </c>
      <c r="AD42" s="2297">
        <f>OFFSET(AD42,0,-1)+1</f>
        <v>6</v>
      </c>
      <c r="AE42" s="2297"/>
      <c r="AF42" s="2297">
        <f>OFFSET(AF42,0,-1)+1</f>
        <v>1</v>
      </c>
      <c r="AG42" s="2297">
        <f>OFFSET(AG42,0,-1)+1</f>
        <v>2</v>
      </c>
      <c r="AH42" s="2297">
        <f>OFFSET(AH42,0,-1)+1</f>
        <v>3</v>
      </c>
      <c r="AI42" s="2613">
        <f>OFFSET(AI42,0,-1)+1</f>
        <v>4</v>
      </c>
      <c r="AJ42" s="2613"/>
      <c r="AK42" s="2297">
        <f>OFFSET(AK42,0,-2)+1</f>
        <v>5</v>
      </c>
      <c r="AL42" s="1586">
        <f>OFFSET(AL42,0,-1)</f>
        <v>5</v>
      </c>
      <c r="AM42" s="2297">
        <f>OFFSET(AM42,0,-1)+1</f>
        <v>6</v>
      </c>
      <c r="AN42" s="1977"/>
      <c r="AO42" s="1977"/>
      <c r="AP42" s="1977"/>
      <c r="AQ42" s="1977"/>
      <c r="AR42" s="1977"/>
      <c r="AS42" s="1982">
        <v>0</v>
      </c>
    </row>
    <row customHeight="1" ht="22.049999999999997">
      <c r="A43" s="1608" t="s">
        <v>207</v>
      </c>
      <c r="B43" s="1608"/>
      <c r="C43" s="1608"/>
      <c r="D43" s="1608"/>
      <c r="E43" s="2630">
        <v>1</v>
      </c>
      <c r="F43" s="1608"/>
      <c r="G43" s="1608"/>
      <c r="H43" s="1608"/>
      <c r="I43" s="1608"/>
      <c r="J43" s="1608"/>
      <c r="K43" s="1608"/>
      <c r="L43" s="1651"/>
      <c r="M43" s="1951"/>
      <c r="N43" s="1951"/>
      <c r="O43" s="1951"/>
      <c r="P43" s="1931"/>
      <c r="Q43" s="701"/>
      <c r="R43" s="696"/>
      <c r="S43" s="2299">
        <f>INDEX(PT_DIFFERENTIATION_NUM_NTAR,MATCH(A43,PT_DIFFERENTIATION_NTAR_ID,0))</f>
        <v>0</v>
      </c>
      <c r="T43" s="1866" t="s">
        <v>120</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65"/>
      <c r="AP43" s="1965" t="str">
        <f>IF(T43="","",T43)</f>
        <v>Наименование тарифа</v>
      </c>
      <c r="AQ43" s="1965"/>
      <c r="AR43" s="1965"/>
      <c r="AS43" s="1972">
        <v>21</v>
      </c>
    </row>
    <row customHeight="1" ht="22.049999999999997">
      <c r="A44" s="1608" t="s">
        <v>207</v>
      </c>
      <c r="B44" s="1608" t="s">
        <v>208</v>
      </c>
      <c r="C44" s="1608"/>
      <c r="D44" s="1608"/>
      <c r="E44" s="2631"/>
      <c r="F44" s="2630">
        <v>1</v>
      </c>
      <c r="G44" s="1608"/>
      <c r="H44" s="1608"/>
      <c r="I44" s="1608"/>
      <c r="J44" s="1608"/>
      <c r="K44" s="1608"/>
      <c r="L44" s="1651"/>
      <c r="M44" s="1951"/>
      <c r="N44" s="1951"/>
      <c r="O44" s="1951"/>
      <c r="P44" s="2281"/>
      <c r="Q44" s="693"/>
      <c r="R44" s="694"/>
      <c r="S44" s="2299" t="str">
        <f>INDEX(PT_DIFFERENTIATION_NUM_TER,MATCH(B44,PT_DIFFERENTIATION_TER_ID,0))</f>
        <v>.</v>
      </c>
      <c r="T44" s="1863" t="s">
        <v>392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393</v>
      </c>
      <c r="AO44" s="1965"/>
      <c r="AP44" s="1965" t="str">
        <f>IF(T44="","",T44)</f>
        <v>Территория действия тарифа</v>
      </c>
      <c r="AQ44" s="1965"/>
      <c r="AR44" s="1965"/>
      <c r="AS44" s="1972">
        <v>21</v>
      </c>
    </row>
    <row customHeight="1" ht="24">
      <c r="A45" s="1608" t="s">
        <v>207</v>
      </c>
      <c r="B45" s="1608" t="s">
        <v>208</v>
      </c>
      <c r="C45" s="1608" t="s">
        <v>209</v>
      </c>
      <c r="D45" s="1608"/>
      <c r="E45" s="2631"/>
      <c r="F45" s="2631"/>
      <c r="G45" s="2630">
        <v>1</v>
      </c>
      <c r="H45" s="1608"/>
      <c r="I45" s="1608"/>
      <c r="J45" s="1608"/>
      <c r="K45" s="1608"/>
      <c r="L45" s="1651"/>
      <c r="M45" s="1951"/>
      <c r="N45" s="1951"/>
      <c r="O45" s="1951"/>
      <c r="P45" s="695"/>
      <c r="Q45" s="693"/>
      <c r="R45" s="694"/>
      <c r="S45" s="2299" t="str">
        <f>INDEX(PT_DIFFERENTIATION_NUM_CS,MATCH(C45,PT_DIFFERENTIATION_CS_ID,0))</f>
        <v>..</v>
      </c>
      <c r="T45" s="650" t="s">
        <v>394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395</v>
      </c>
      <c r="AO45" s="1965"/>
      <c r="AP45" s="1965" t="str">
        <f>IF(T45="","",T45)</f>
        <v>Наименование системы теплоснабжения </v>
      </c>
      <c r="AQ45" s="1965"/>
      <c r="AR45" s="1965"/>
      <c r="AS45" s="1972">
        <v>23</v>
      </c>
    </row>
    <row customHeight="1" ht="22.049999999999997">
      <c r="A46" s="1608" t="s">
        <v>207</v>
      </c>
      <c r="B46" s="1608" t="s">
        <v>208</v>
      </c>
      <c r="C46" s="1608" t="s">
        <v>209</v>
      </c>
      <c r="D46" s="1608" t="s">
        <v>210</v>
      </c>
      <c r="E46" s="2631"/>
      <c r="F46" s="2631"/>
      <c r="G46" s="2631"/>
      <c r="H46" s="2630">
        <v>1</v>
      </c>
      <c r="I46" s="1608"/>
      <c r="J46" s="1608"/>
      <c r="K46" s="1608"/>
      <c r="L46" s="1651"/>
      <c r="M46" s="1951"/>
      <c r="N46" s="1951"/>
      <c r="O46" s="1951"/>
      <c r="P46" s="695"/>
      <c r="Q46" s="693"/>
      <c r="R46" s="694"/>
      <c r="S46" s="2299" t="str">
        <f>INDEX(PT_DIFFERENTIATION_NUM_IST_TE,MATCH(D46,PT_DIFFERENTIATION_IST_TE_ID,0))</f>
        <v>...</v>
      </c>
      <c r="T46" s="651" t="s">
        <v>396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397</v>
      </c>
      <c r="AO46" s="1965"/>
      <c r="AP46" s="1965" t="str">
        <f>IF(T46="","",T46)</f>
        <v>Источник тепловой энергии  </v>
      </c>
      <c r="AQ46" s="1965"/>
      <c r="AR46" s="1965"/>
      <c r="AS46" s="1972">
        <v>21</v>
      </c>
    </row>
    <row customHeight="1" ht="49.5">
      <c r="A47" s="1608" t="s">
        <v>207</v>
      </c>
      <c r="B47" s="1608" t="s">
        <v>208</v>
      </c>
      <c r="C47" s="1608" t="s">
        <v>209</v>
      </c>
      <c r="D47" s="1608" t="s">
        <v>210</v>
      </c>
      <c r="E47" s="2631"/>
      <c r="F47" s="2631"/>
      <c r="G47" s="2631"/>
      <c r="H47" s="2631"/>
      <c r="I47" s="2468" t="str">
        <f>S46&amp;".1"</f>
        <v>....1</v>
      </c>
      <c r="J47" s="1608"/>
      <c r="K47" s="1608"/>
      <c r="L47" s="1651" t="s">
        <v>398</v>
      </c>
      <c r="P47" s="2598">
        <v>1</v>
      </c>
      <c r="Q47" s="2295"/>
      <c r="R47" s="697"/>
      <c r="S47" s="2299" t="str">
        <f>$I47</f>
        <v>....1</v>
      </c>
      <c r="T47" s="626" t="s">
        <v>399</v>
      </c>
      <c r="U47" s="641"/>
      <c r="V47" s="2586"/>
      <c r="W47" s="2587"/>
      <c r="X47" s="2587"/>
      <c r="Y47" s="2587"/>
      <c r="Z47" s="2587"/>
      <c r="AA47" s="2587"/>
      <c r="AB47" s="2587"/>
      <c r="AC47" s="2588"/>
      <c r="AD47" s="2586"/>
      <c r="AE47" s="2587"/>
      <c r="AF47" s="2587"/>
      <c r="AG47" s="2587"/>
      <c r="AH47" s="2587"/>
      <c r="AI47" s="2587"/>
      <c r="AJ47" s="2587"/>
      <c r="AK47" s="2587"/>
      <c r="AL47" s="2588"/>
      <c r="AM47" s="1599" t="s">
        <v>400</v>
      </c>
      <c r="AO47" s="1965"/>
      <c r="AP47" s="1965" t="str">
        <f>IF(T47="","",T47)</f>
        <v>Схема подключения теплопотребляющей установки к коллектору источника тепловой энергии</v>
      </c>
      <c r="AQ47" s="1965"/>
      <c r="AR47" s="1965"/>
      <c r="AS47" s="1972">
        <v>47</v>
      </c>
    </row>
    <row customHeight="1" ht="22.049999999999997">
      <c r="A48" s="1608" t="s">
        <v>207</v>
      </c>
      <c r="B48" s="1608" t="s">
        <v>208</v>
      </c>
      <c r="C48" s="1608" t="s">
        <v>209</v>
      </c>
      <c r="D48" s="1608" t="s">
        <v>210</v>
      </c>
      <c r="E48" s="2631"/>
      <c r="F48" s="2631"/>
      <c r="G48" s="2631"/>
      <c r="H48" s="2631"/>
      <c r="I48" s="2442"/>
      <c r="J48" s="2468" t="str">
        <f>I47&amp;".1"</f>
        <v>....1.1</v>
      </c>
      <c r="K48" s="1608"/>
      <c r="L48" s="1651" t="s">
        <v>401</v>
      </c>
      <c r="P48" s="2598"/>
      <c r="Q48" s="2598">
        <v>1</v>
      </c>
      <c r="R48" s="698"/>
      <c r="S48" s="2299" t="str">
        <f>$J48</f>
        <v>....1.1</v>
      </c>
      <c r="T48" s="627" t="s">
        <v>402</v>
      </c>
      <c r="U48" s="641"/>
      <c r="V48" s="2586"/>
      <c r="W48" s="2587"/>
      <c r="X48" s="2587"/>
      <c r="Y48" s="2587"/>
      <c r="Z48" s="2587"/>
      <c r="AA48" s="2587"/>
      <c r="AB48" s="2587"/>
      <c r="AC48" s="2588"/>
      <c r="AD48" s="2586"/>
      <c r="AE48" s="2587"/>
      <c r="AF48" s="2587"/>
      <c r="AG48" s="2587"/>
      <c r="AH48" s="2587"/>
      <c r="AI48" s="2587"/>
      <c r="AJ48" s="2587"/>
      <c r="AK48" s="2587"/>
      <c r="AL48" s="2588"/>
      <c r="AM48" s="1599" t="s">
        <v>403</v>
      </c>
      <c r="AO48" s="1965"/>
      <c r="AP48" s="1965" t="str">
        <f>IF(T48="","",T48)</f>
        <v>Группа потребителей</v>
      </c>
      <c r="AQ48" s="1965"/>
      <c r="AR48" s="1965"/>
      <c r="AS48" s="1972">
        <v>21</v>
      </c>
    </row>
    <row customHeight="1" ht="22.049999999999997">
      <c r="A49" s="1608" t="s">
        <v>207</v>
      </c>
      <c r="B49" s="1608" t="s">
        <v>208</v>
      </c>
      <c r="C49" s="1608" t="s">
        <v>209</v>
      </c>
      <c r="D49" s="1608" t="s">
        <v>210</v>
      </c>
      <c r="E49" s="2631"/>
      <c r="F49" s="2631"/>
      <c r="G49" s="2631"/>
      <c r="H49" s="2631"/>
      <c r="I49" s="2442"/>
      <c r="J49" s="2442"/>
      <c r="K49" s="2468" t="str">
        <f>J48&amp;".1"</f>
        <v>....1.1.1</v>
      </c>
      <c r="L49" s="1651" t="s">
        <v>404</v>
      </c>
      <c r="P49" s="2598"/>
      <c r="Q49" s="2598"/>
      <c r="R49" s="698">
        <v>1</v>
      </c>
      <c r="S49" s="2299" t="str">
        <f>$K49</f>
        <v>....1.1.1</v>
      </c>
      <c r="T49" s="1688"/>
      <c r="U49" s="641"/>
      <c r="V49" s="1092"/>
      <c r="W49" s="666"/>
      <c r="X49" s="1092"/>
      <c r="Y49" s="1598"/>
      <c r="Z49" s="2606"/>
      <c r="AA49" s="2448" t="s">
        <v>65</v>
      </c>
      <c r="AB49" s="2606"/>
      <c r="AC49" s="2448" t="s">
        <v>65</v>
      </c>
      <c r="AD49" s="1092"/>
      <c r="AE49" s="666"/>
      <c r="AF49" s="1092"/>
      <c r="AG49" s="1598"/>
      <c r="AH49" s="2606"/>
      <c r="AI49" s="2448" t="s">
        <v>65</v>
      </c>
      <c r="AJ49" s="2628"/>
      <c r="AK49" s="2448" t="s">
        <v>65</v>
      </c>
      <c r="AL49" s="1689"/>
      <c r="AM49" s="2594" t="s">
        <v>405</v>
      </c>
      <c r="AN49" s="1977">
        <f>STRCHECKDATE(V50:AL50)</f>
      </c>
      <c r="AO49" s="1965"/>
      <c r="AP49" s="1965" t="str">
        <f>IF(T49="","",T49)</f>
        <v/>
      </c>
      <c r="AQ49" s="1965"/>
      <c r="AR49" s="1965"/>
      <c r="AS49" s="1972">
        <v>21</v>
      </c>
    </row>
    <row customHeight="1" ht="1.05">
      <c r="A50" s="1608" t="s">
        <v>207</v>
      </c>
      <c r="B50" s="1608" t="s">
        <v>208</v>
      </c>
      <c r="C50" s="1608" t="s">
        <v>209</v>
      </c>
      <c r="D50" s="1608" t="s">
        <v>210</v>
      </c>
      <c r="E50" s="2631"/>
      <c r="F50" s="2631"/>
      <c r="G50" s="2631"/>
      <c r="H50" s="2631"/>
      <c r="I50" s="2442"/>
      <c r="J50" s="2442"/>
      <c r="K50" s="2468"/>
      <c r="L50" s="1651"/>
      <c r="P50" s="2598"/>
      <c r="Q50" s="2598"/>
      <c r="R50" s="698"/>
      <c r="S50" s="2308"/>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1965"/>
      <c r="AP50" s="1965" t="str">
        <f>IF(T50="","",T50)</f>
        <v/>
      </c>
      <c r="AQ50" s="1965"/>
      <c r="AR50" s="1965"/>
      <c r="AS50" s="1972">
        <v>1</v>
      </c>
    </row>
    <row customHeight="1" ht="11.549999999999999">
      <c r="A51" s="1608" t="s">
        <v>207</v>
      </c>
      <c r="B51" s="1608" t="s">
        <v>208</v>
      </c>
      <c r="C51" s="1608" t="s">
        <v>209</v>
      </c>
      <c r="D51" s="1608" t="s">
        <v>210</v>
      </c>
      <c r="E51" s="2631"/>
      <c r="F51" s="2631"/>
      <c r="G51" s="2631"/>
      <c r="H51" s="2631"/>
      <c r="I51" s="2442"/>
      <c r="J51" s="2468"/>
      <c r="K51" s="1608"/>
      <c r="L51" s="1651"/>
      <c r="P51" s="2598"/>
      <c r="Q51" s="2598"/>
      <c r="R51" s="697"/>
      <c r="S51" s="1619"/>
      <c r="T51" s="629" t="s">
        <v>406</v>
      </c>
      <c r="U51" s="941"/>
      <c r="V51" s="941"/>
      <c r="W51" s="941"/>
      <c r="X51" s="941"/>
      <c r="Y51" s="941"/>
      <c r="Z51" s="941"/>
      <c r="AA51" s="941"/>
      <c r="AB51" s="941"/>
      <c r="AC51" s="941"/>
      <c r="AD51" s="941"/>
      <c r="AE51" s="941"/>
      <c r="AF51" s="941"/>
      <c r="AG51" s="941"/>
      <c r="AH51" s="941"/>
      <c r="AI51" s="941"/>
      <c r="AJ51" s="941"/>
      <c r="AK51" s="941"/>
      <c r="AL51" s="665"/>
      <c r="AM51" s="2596"/>
      <c r="AO51" s="1965"/>
      <c r="AP51" s="1965" t="str">
        <f>IF(T51="","",T51)</f>
        <v>Добавить вид теплоносителя (параметры теплоносителя)</v>
      </c>
      <c r="AQ51" s="1965"/>
      <c r="AR51" s="1965"/>
      <c r="AS51" s="1972">
        <v>11</v>
      </c>
    </row>
    <row customHeight="1" ht="11.549999999999999">
      <c r="A52" s="1608" t="s">
        <v>207</v>
      </c>
      <c r="B52" s="1608" t="s">
        <v>208</v>
      </c>
      <c r="C52" s="1608" t="s">
        <v>209</v>
      </c>
      <c r="D52" s="1608" t="s">
        <v>210</v>
      </c>
      <c r="E52" s="2631"/>
      <c r="F52" s="2631"/>
      <c r="G52" s="2631"/>
      <c r="H52" s="2631"/>
      <c r="I52" s="2468"/>
      <c r="J52" s="1608"/>
      <c r="K52" s="1608"/>
      <c r="L52" s="1651"/>
      <c r="P52" s="2598"/>
      <c r="Q52" s="2295"/>
      <c r="R52" s="697"/>
      <c r="S52" s="1619"/>
      <c r="T52" s="628" t="s">
        <v>407</v>
      </c>
      <c r="U52" s="941"/>
      <c r="V52" s="941"/>
      <c r="W52" s="941"/>
      <c r="X52" s="941"/>
      <c r="Y52" s="941"/>
      <c r="Z52" s="941"/>
      <c r="AA52" s="941"/>
      <c r="AB52" s="941"/>
      <c r="AC52" s="707"/>
      <c r="AD52" s="941"/>
      <c r="AE52" s="941"/>
      <c r="AF52" s="941"/>
      <c r="AG52" s="941"/>
      <c r="AH52" s="941"/>
      <c r="AI52" s="941"/>
      <c r="AJ52" s="941"/>
      <c r="AK52" s="707"/>
      <c r="AL52" s="941"/>
      <c r="AM52" s="644"/>
      <c r="AO52" s="1965"/>
      <c r="AP52" s="1965" t="str">
        <f>IF(T52="","",T52)</f>
        <v>Добавить группу потребителей</v>
      </c>
      <c r="AQ52" s="1965"/>
      <c r="AR52" s="1965"/>
      <c r="AS52" s="1972">
        <v>11</v>
      </c>
    </row>
    <row customHeight="1" ht="14.699999999999998">
      <c r="A53" s="1608" t="s">
        <v>207</v>
      </c>
      <c r="B53" s="1608" t="s">
        <v>208</v>
      </c>
      <c r="C53" s="1608" t="s">
        <v>209</v>
      </c>
      <c r="D53" s="1608" t="s">
        <v>210</v>
      </c>
      <c r="E53" s="2631"/>
      <c r="F53" s="2631"/>
      <c r="G53" s="2631"/>
      <c r="H53" s="2630"/>
      <c r="I53" s="1608"/>
      <c r="J53" s="1608"/>
      <c r="K53" s="1608"/>
      <c r="L53" s="1651"/>
      <c r="M53" s="1951"/>
      <c r="N53" s="1951"/>
      <c r="O53" s="1976"/>
      <c r="P53" s="701"/>
      <c r="Q53" s="716"/>
      <c r="R53" s="696"/>
      <c r="S53" s="1619"/>
      <c r="T53" s="706" t="s">
        <v>408</v>
      </c>
      <c r="U53" s="941"/>
      <c r="V53" s="941"/>
      <c r="W53" s="941"/>
      <c r="X53" s="941"/>
      <c r="Y53" s="941"/>
      <c r="Z53" s="941"/>
      <c r="AA53" s="941"/>
      <c r="AB53" s="941"/>
      <c r="AC53" s="707"/>
      <c r="AD53" s="941"/>
      <c r="AE53" s="941"/>
      <c r="AF53" s="941"/>
      <c r="AG53" s="941"/>
      <c r="AH53" s="941"/>
      <c r="AI53" s="941"/>
      <c r="AJ53" s="941"/>
      <c r="AK53" s="707"/>
      <c r="AL53" s="941"/>
      <c r="AM53" s="644"/>
      <c r="AO53" s="1965"/>
      <c r="AP53" s="1965" t="str">
        <f>IF(T53="","",T53)</f>
        <v>Добавить схему подключения</v>
      </c>
      <c r="AQ53" s="1965"/>
      <c r="AR53" s="1965"/>
      <c r="AS53" s="1972">
        <v>14</v>
      </c>
    </row>
    <row s="17316" customFormat="1" customHeight="1" ht="1.05">
      <c r="A54" s="1608" t="s">
        <v>207</v>
      </c>
      <c r="B54" s="1608" t="s">
        <v>208</v>
      </c>
      <c r="C54" s="1608" t="s">
        <v>209</v>
      </c>
      <c r="D54" s="2315"/>
      <c r="E54" s="2631"/>
      <c r="F54" s="2631"/>
      <c r="G54" s="2630"/>
      <c r="H54" s="2315"/>
      <c r="I54" s="2315"/>
      <c r="J54" s="2315"/>
      <c r="K54" s="2315"/>
      <c r="L54" s="1721"/>
      <c r="M54" s="1951"/>
      <c r="N54" s="1951"/>
      <c r="O54" s="1976"/>
      <c r="P54" s="1657"/>
      <c r="Q54" s="1658"/>
      <c r="R54" s="1657"/>
      <c r="S54" s="1663"/>
      <c r="T54" s="1666" t="s">
        <v>409</v>
      </c>
      <c r="U54" s="1665"/>
      <c r="V54" s="1665"/>
      <c r="W54" s="1665"/>
      <c r="X54" s="1665"/>
      <c r="Y54" s="1665"/>
      <c r="Z54" s="1665"/>
      <c r="AA54" s="1665"/>
      <c r="AB54" s="1665"/>
      <c r="AC54" s="1665"/>
      <c r="AD54" s="1665"/>
      <c r="AE54" s="1665"/>
      <c r="AF54" s="1665"/>
      <c r="AG54" s="1665"/>
      <c r="AH54" s="1665"/>
      <c r="AI54" s="1665"/>
      <c r="AJ54" s="1665"/>
      <c r="AK54" s="1665"/>
      <c r="AL54" s="1665"/>
      <c r="AM54" s="1665"/>
      <c r="AO54" s="1592"/>
      <c r="AP54" s="1592" t="str">
        <f>IF(T54="","",T54)</f>
        <v>Добавить источник для дифференциации</v>
      </c>
      <c r="AQ54" s="1592"/>
      <c r="AR54" s="1592"/>
      <c r="AS54" s="1983">
        <v>1</v>
      </c>
    </row>
    <row s="17316" customFormat="1" customHeight="1" ht="1.05">
      <c r="A55" s="1608" t="s">
        <v>207</v>
      </c>
      <c r="B55" s="1608" t="s">
        <v>208</v>
      </c>
      <c r="C55" s="2315"/>
      <c r="D55" s="2315"/>
      <c r="E55" s="2631"/>
      <c r="F55" s="2630"/>
      <c r="G55" s="2315"/>
      <c r="H55" s="2315"/>
      <c r="I55" s="2315"/>
      <c r="J55" s="2315"/>
      <c r="K55" s="2315"/>
      <c r="L55" s="1721"/>
      <c r="M55" s="2316"/>
      <c r="N55" s="2316"/>
      <c r="O55" s="1976"/>
      <c r="P55" s="1657"/>
      <c r="Q55" s="1658"/>
      <c r="R55" s="1657"/>
      <c r="S55" s="1663"/>
      <c r="T55" s="1666" t="s">
        <v>410</v>
      </c>
      <c r="U55" s="1665"/>
      <c r="V55" s="1665"/>
      <c r="W55" s="1665"/>
      <c r="X55" s="1665"/>
      <c r="Y55" s="1665"/>
      <c r="Z55" s="1665"/>
      <c r="AA55" s="1665"/>
      <c r="AB55" s="1665"/>
      <c r="AC55" s="1665"/>
      <c r="AD55" s="1665"/>
      <c r="AE55" s="1665"/>
      <c r="AF55" s="1665"/>
      <c r="AG55" s="1665"/>
      <c r="AH55" s="1665"/>
      <c r="AI55" s="1665"/>
      <c r="AJ55" s="1665"/>
      <c r="AK55" s="1665"/>
      <c r="AL55" s="1665"/>
      <c r="AM55" s="1665"/>
      <c r="AO55" s="1592"/>
      <c r="AP55" s="1592" t="str">
        <f>IF(T55="","",T55)</f>
        <v>Добавить централизованную систему для дифференциации</v>
      </c>
      <c r="AQ55" s="1592"/>
      <c r="AR55" s="1592"/>
      <c r="AS55" s="1983">
        <v>1</v>
      </c>
    </row>
    <row s="17316" customFormat="1" customHeight="1" ht="1.05">
      <c r="A56" s="1608" t="s">
        <v>207</v>
      </c>
      <c r="B56" s="1608"/>
      <c r="C56" s="1608"/>
      <c r="D56" s="1608"/>
      <c r="E56" s="2630"/>
      <c r="F56" s="1608"/>
      <c r="G56" s="1608"/>
      <c r="H56" s="1608"/>
      <c r="I56" s="1608"/>
      <c r="J56" s="1608"/>
      <c r="K56" s="1608"/>
      <c r="L56" s="1651"/>
      <c r="M56" s="2316"/>
      <c r="N56" s="2316"/>
      <c r="O56" s="1976"/>
      <c r="P56" s="721"/>
      <c r="Q56" s="1685"/>
      <c r="R56" s="721"/>
      <c r="S56" s="1663"/>
      <c r="T56" s="1666" t="s">
        <v>411</v>
      </c>
      <c r="U56" s="1665"/>
      <c r="V56" s="1665"/>
      <c r="W56" s="1665"/>
      <c r="X56" s="1665"/>
      <c r="Y56" s="1665"/>
      <c r="Z56" s="1665"/>
      <c r="AA56" s="1665"/>
      <c r="AB56" s="1665"/>
      <c r="AC56" s="1665"/>
      <c r="AD56" s="1665"/>
      <c r="AE56" s="1665"/>
      <c r="AF56" s="1665"/>
      <c r="AG56" s="1665"/>
      <c r="AH56" s="1665"/>
      <c r="AI56" s="1665"/>
      <c r="AJ56" s="1665"/>
      <c r="AK56" s="1665"/>
      <c r="AL56" s="1665"/>
      <c r="AM56" s="1665"/>
      <c r="AO56" s="1965"/>
      <c r="AP56" s="1965" t="str">
        <f>IF(T56="","",T56)</f>
        <v>Добавить территорию для дифференциации</v>
      </c>
      <c r="AQ56" s="1965"/>
      <c r="AR56" s="1965"/>
      <c r="AS56" s="1977">
        <v>1</v>
      </c>
    </row>
    <row s="17316" customFormat="1" customHeight="1" ht="1.05">
      <c r="A57" s="2315"/>
      <c r="B57" s="2315"/>
      <c r="C57" s="2315"/>
      <c r="D57" s="2315"/>
      <c r="E57" s="1608"/>
      <c r="F57" s="2315"/>
      <c r="G57" s="2315"/>
      <c r="H57" s="2315"/>
      <c r="I57" s="2315"/>
      <c r="J57" s="2315"/>
      <c r="K57" s="2315"/>
      <c r="L57" s="1721"/>
      <c r="M57" s="2316"/>
      <c r="N57" s="2316"/>
      <c r="O57" s="1976"/>
      <c r="P57" s="1657"/>
      <c r="Q57" s="1658"/>
      <c r="R57" s="1657"/>
      <c r="S57" s="1663"/>
      <c r="T57" s="1666" t="s">
        <v>443</v>
      </c>
      <c r="U57" s="1665"/>
      <c r="V57" s="1665"/>
      <c r="W57" s="1665"/>
      <c r="X57" s="1665"/>
      <c r="Y57" s="1665"/>
      <c r="Z57" s="1665"/>
      <c r="AA57" s="1665"/>
      <c r="AB57" s="1665"/>
      <c r="AC57" s="1665"/>
      <c r="AD57" s="1665"/>
      <c r="AE57" s="1665"/>
      <c r="AF57" s="1665"/>
      <c r="AG57" s="1665"/>
      <c r="AH57" s="1665"/>
      <c r="AI57" s="1665"/>
      <c r="AJ57" s="1665"/>
      <c r="AK57" s="1665"/>
      <c r="AL57" s="1665"/>
      <c r="AM57" s="1665"/>
      <c r="AO57" s="1592"/>
      <c r="AP57" s="1592" t="str">
        <f>IF(T57="","",T57)</f>
        <v>Добавить наименование тарифа</v>
      </c>
      <c r="AQ57" s="1592"/>
      <c r="AR57" s="1592"/>
      <c r="AS57" s="1983">
        <v>1</v>
      </c>
    </row>
    <row customHeight="1" ht="11.549999999999999">
      <c r="M58" s="1972"/>
      <c r="N58" s="1972"/>
      <c r="O58" s="1976"/>
      <c r="P58" s="1972"/>
      <c r="Q58" s="1972"/>
      <c r="R58" s="1972"/>
      <c r="S58" s="1972"/>
      <c r="AN58" s="1972"/>
      <c r="AO58" s="1972"/>
      <c r="AP58" s="1972"/>
      <c r="AQ58" s="1972"/>
      <c r="AR58" s="1972"/>
      <c r="AS58" s="1972">
        <v>11</v>
      </c>
    </row>
    <row customHeight="1" ht="28.5">
      <c r="O59" s="1976"/>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972">
        <v>27</v>
      </c>
    </row>
    <row customHeight="1" ht="65.25">
      <c r="O60" s="1976"/>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972">
        <v>62</v>
      </c>
    </row>
    <row customHeight="1" ht="14.699999999999998">
      <c r="O61" s="1976"/>
      <c r="AS61" s="1972">
        <v>14</v>
      </c>
    </row>
    <row customHeight="1" ht="18.75">
      <c r="O62" s="1976"/>
      <c r="S62" s="1594"/>
      <c r="T62" s="2626"/>
      <c r="U62" s="2626"/>
      <c r="V62" s="2626"/>
      <c r="W62" s="2626"/>
      <c r="X62" s="2626"/>
      <c r="Y62" s="2626"/>
      <c r="Z62" s="2626"/>
      <c r="AA62" s="2626"/>
      <c r="AB62" s="2626"/>
      <c r="AC62" s="2626"/>
      <c r="AD62" s="2626"/>
      <c r="AE62" s="2626"/>
      <c r="AF62" s="2626"/>
      <c r="AG62" s="2626"/>
      <c r="AH62" s="2626"/>
      <c r="AI62" s="2626"/>
      <c r="AJ62" s="2626"/>
      <c r="AK62" s="2626"/>
      <c r="AL62" s="2626"/>
      <c r="AM62" s="2626"/>
      <c r="AS62" s="1972">
        <v>18</v>
      </c>
    </row>
    <row customHeight="1" ht="18.75">
      <c r="O63" s="1976"/>
      <c r="T63" s="2626"/>
      <c r="U63" s="2626"/>
      <c r="V63" s="2626"/>
      <c r="W63" s="2626"/>
      <c r="X63" s="2626"/>
      <c r="Y63" s="2626"/>
      <c r="Z63" s="2626"/>
      <c r="AA63" s="2626"/>
      <c r="AB63" s="2626"/>
      <c r="AC63" s="2626"/>
      <c r="AD63" s="2626"/>
      <c r="AE63" s="2626"/>
      <c r="AF63" s="2626"/>
      <c r="AG63" s="2626"/>
      <c r="AH63" s="2626"/>
      <c r="AI63" s="2626"/>
      <c r="AJ63" s="2626"/>
      <c r="AK63" s="2626"/>
      <c r="AL63" s="2626"/>
      <c r="AM63" s="2626"/>
      <c r="AS63" s="1972">
        <v>18</v>
      </c>
    </row>
    <row customHeight="1" ht="29.25">
      <c r="O64" s="1976"/>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972">
        <v>28</v>
      </c>
    </row>
    <row customHeight="1" ht="22.5" hidden="1">
      <c r="A65" s="1972" t="s">
        <v>82</v>
      </c>
      <c r="B65" s="1972">
        <v>0</v>
      </c>
      <c r="C65" s="1972">
        <v>0</v>
      </c>
      <c r="D65" s="1972">
        <v>0</v>
      </c>
      <c r="E65" s="1972">
        <v>0</v>
      </c>
      <c r="F65" s="1972">
        <v>0</v>
      </c>
      <c r="G65" s="1972">
        <v>0</v>
      </c>
      <c r="H65" s="1972">
        <v>0</v>
      </c>
      <c r="I65" s="1972">
        <v>0</v>
      </c>
      <c r="J65" s="1972">
        <v>0</v>
      </c>
      <c r="K65" s="1972">
        <v>0</v>
      </c>
      <c r="L65" s="2280">
        <v>0</v>
      </c>
      <c r="M65" s="2306">
        <v>0</v>
      </c>
      <c r="N65" s="2306">
        <v>0</v>
      </c>
      <c r="O65" s="2306">
        <v>0</v>
      </c>
      <c r="P65" s="2306">
        <v>3</v>
      </c>
      <c r="Q65" s="685">
        <v>3</v>
      </c>
      <c r="R65" s="685">
        <v>3</v>
      </c>
      <c r="S65" s="922">
        <v>12</v>
      </c>
      <c r="T65" s="1972">
        <v>31</v>
      </c>
      <c r="U65" s="1972">
        <v>0</v>
      </c>
      <c r="V65" s="1972">
        <v>0</v>
      </c>
      <c r="W65" s="1972">
        <v>0</v>
      </c>
      <c r="X65" s="1972">
        <v>0</v>
      </c>
      <c r="Y65" s="1972">
        <v>0</v>
      </c>
      <c r="Z65" s="1972">
        <v>0</v>
      </c>
      <c r="AA65" s="1972">
        <v>0</v>
      </c>
      <c r="AB65" s="1972">
        <v>0</v>
      </c>
      <c r="AC65" s="1972">
        <v>0</v>
      </c>
      <c r="AD65" s="1972">
        <v>24</v>
      </c>
      <c r="AE65" s="1972">
        <v>0</v>
      </c>
      <c r="AF65" s="1972">
        <v>24</v>
      </c>
      <c r="AG65" s="1972">
        <v>24</v>
      </c>
      <c r="AH65" s="1972">
        <v>11</v>
      </c>
      <c r="AI65" s="1972">
        <v>3</v>
      </c>
      <c r="AJ65" s="1972">
        <v>11</v>
      </c>
      <c r="AK65" s="1972">
        <v>0</v>
      </c>
      <c r="AL65" s="1972">
        <v>4</v>
      </c>
      <c r="AM65" s="1972">
        <v>115</v>
      </c>
      <c r="AN65" s="1977">
        <v>10</v>
      </c>
      <c r="AO65" s="1977">
        <v>10</v>
      </c>
      <c r="AP65" s="1977">
        <v>10</v>
      </c>
      <c r="AQ65" s="1977">
        <v>10</v>
      </c>
      <c r="AR65" s="1977">
        <v>10</v>
      </c>
      <c r="AS65" s="1972">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77FF58-0E35-0BC4-7896-1CBC186F253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1.00390625" customWidth="1"/>
    <col min="21" max="21" style="17239" width="0.7109375" hidden="1" customWidth="1"/>
    <col min="22" max="22" style="17239" width="1.7109375" hidden="1" customWidth="1"/>
    <col min="23" max="23" style="17239" width="24.7109375" hidden="1" customWidth="1"/>
    <col min="24" max="25" style="17239" width="0.14062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0.140625" customWidth="1"/>
    <col min="31" max="31" style="17239" width="24.00390625" customWidth="1"/>
    <col min="32" max="33" style="17239" width="0.140625" customWidth="1"/>
    <col min="34" max="34" style="17239" width="11.00390625" customWidth="1"/>
    <col min="35" max="35" style="17239" width="3.7109375" customWidth="1"/>
    <col min="36" max="36" style="17239" width="11.00390625" customWidth="1"/>
    <col min="37" max="37" style="17239" width="8.57421875" hidden="1" customWidth="1"/>
    <col min="38" max="38" style="17239" width="4.00390625" customWidth="1"/>
    <col min="39" max="39" style="17239" width="115.00390625" customWidth="1"/>
    <col min="40" max="44" style="17316" width="10.00390625" customWidth="1"/>
    <col min="45" max="45" style="17239" width="10.57421875" hidden="1"/>
  </cols>
  <sheetData>
    <row customHeight="1" ht="22.5" hidden="1">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120</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391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392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393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1677">
        <f>INDEX(PT_DIFFERENTIATION_NUM_CS,MATCH(C4,PT_DIFFERENTIATION_CS_ID,0))</f>
      </c>
      <c r="T4" s="650" t="s">
        <v>394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395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694"/>
      <c r="S5" s="1677">
        <f>INDEX(PT_DIFFERENTIATION_NUM_IST_TE,MATCH(D5,PT_DIFFERENTIATION_IST_TE_ID,0))</f>
      </c>
      <c r="T5" s="651" t="s">
        <v>396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397</v>
      </c>
      <c r="AO5" s="841"/>
      <c r="AP5" s="841" t="str">
        <f>IF(T5="","",T5)</f>
        <v>Источник тепловой энергии  </v>
      </c>
      <c r="AQ5" s="841"/>
      <c r="AR5" s="841"/>
      <c r="AS5" s="1496">
        <v>0</v>
      </c>
    </row>
    <row customHeight="1" ht="47.25" hidden="1">
      <c r="A6" s="1704"/>
      <c r="B6" s="1704"/>
      <c r="C6" s="1704"/>
      <c r="D6" s="1704"/>
      <c r="E6" s="2600"/>
      <c r="F6" s="2600"/>
      <c r="G6" s="2600"/>
      <c r="H6" s="2600"/>
      <c r="I6" s="2597">
        <f>S5&amp;".1"</f>
      </c>
      <c r="J6" s="1704"/>
      <c r="K6" s="1704"/>
      <c r="L6" s="1705" t="s">
        <v>398</v>
      </c>
      <c r="M6" s="878"/>
      <c r="P6" s="2598">
        <v>1</v>
      </c>
      <c r="Q6" s="1672"/>
      <c r="R6" s="697"/>
      <c r="S6" s="1677">
        <f>$I6</f>
      </c>
      <c r="T6" s="626" t="s">
        <v>399</v>
      </c>
      <c r="U6" s="641"/>
      <c r="V6" s="2586"/>
      <c r="W6" s="2587"/>
      <c r="X6" s="2587"/>
      <c r="Y6" s="2587"/>
      <c r="Z6" s="2587"/>
      <c r="AA6" s="2587"/>
      <c r="AB6" s="2587"/>
      <c r="AC6" s="2588"/>
      <c r="AD6" s="2586"/>
      <c r="AE6" s="2587"/>
      <c r="AF6" s="2587"/>
      <c r="AG6" s="2587"/>
      <c r="AH6" s="2587"/>
      <c r="AI6" s="2587"/>
      <c r="AJ6" s="2587"/>
      <c r="AK6" s="2587"/>
      <c r="AL6" s="2588"/>
      <c r="AM6" s="1599" t="s">
        <v>400</v>
      </c>
      <c r="AO6" s="841"/>
      <c r="AP6" s="841" t="str">
        <f>IF(T6="","",T6)</f>
        <v>Схема подключения теплопотребляющей установки к коллектору источника тепловой энергии</v>
      </c>
      <c r="AQ6" s="841"/>
      <c r="AR6" s="841"/>
      <c r="AS6" s="1496">
        <v>0</v>
      </c>
    </row>
    <row customHeight="1" ht="21" hidden="1">
      <c r="A7" s="1704"/>
      <c r="B7" s="1704"/>
      <c r="C7" s="1704"/>
      <c r="D7" s="1704"/>
      <c r="E7" s="2600"/>
      <c r="F7" s="2600"/>
      <c r="G7" s="2600"/>
      <c r="H7" s="2600"/>
      <c r="I7" s="2627"/>
      <c r="J7" s="2597">
        <f>I6&amp;".1"</f>
      </c>
      <c r="K7" s="1704"/>
      <c r="L7" s="1705" t="s">
        <v>401</v>
      </c>
      <c r="M7" s="878"/>
      <c r="N7" s="1707"/>
      <c r="P7" s="2598"/>
      <c r="Q7" s="2598">
        <v>1</v>
      </c>
      <c r="R7" s="698"/>
      <c r="S7" s="1677">
        <f>$J7</f>
      </c>
      <c r="T7" s="627" t="s">
        <v>402</v>
      </c>
      <c r="U7" s="641"/>
      <c r="V7" s="2586"/>
      <c r="W7" s="2587"/>
      <c r="X7" s="2587"/>
      <c r="Y7" s="2587"/>
      <c r="Z7" s="2587"/>
      <c r="AA7" s="2587"/>
      <c r="AB7" s="2587"/>
      <c r="AC7" s="2588"/>
      <c r="AD7" s="2586"/>
      <c r="AE7" s="2587"/>
      <c r="AF7" s="2587"/>
      <c r="AG7" s="2587"/>
      <c r="AH7" s="2587"/>
      <c r="AI7" s="2587"/>
      <c r="AJ7" s="2587"/>
      <c r="AK7" s="2587"/>
      <c r="AL7" s="2588"/>
      <c r="AM7" s="1599" t="s">
        <v>403</v>
      </c>
      <c r="AO7" s="841"/>
      <c r="AP7" s="841" t="str">
        <f>IF(T7="","",T7)</f>
        <v>Группа потребителей</v>
      </c>
      <c r="AQ7" s="841"/>
      <c r="AR7" s="841"/>
      <c r="AS7" s="1496">
        <v>0</v>
      </c>
    </row>
    <row customHeight="1" ht="21" hidden="1">
      <c r="A8" s="1704"/>
      <c r="B8" s="1704"/>
      <c r="C8" s="1704"/>
      <c r="D8" s="1704"/>
      <c r="E8" s="2600"/>
      <c r="F8" s="2600"/>
      <c r="G8" s="2600"/>
      <c r="H8" s="2600"/>
      <c r="I8" s="2627"/>
      <c r="J8" s="2627"/>
      <c r="K8" s="2597">
        <f>J7&amp;".1"</f>
      </c>
      <c r="L8" s="1705" t="s">
        <v>404</v>
      </c>
      <c r="M8" s="878"/>
      <c r="N8" s="1707"/>
      <c r="O8" s="1707"/>
      <c r="P8" s="2598"/>
      <c r="Q8" s="2598"/>
      <c r="R8" s="698">
        <v>1</v>
      </c>
      <c r="S8" s="1677">
        <f>$K8</f>
      </c>
      <c r="T8" s="1688"/>
      <c r="U8" s="641"/>
      <c r="V8" s="666"/>
      <c r="W8" s="1092"/>
      <c r="X8" s="666"/>
      <c r="Y8" s="725"/>
      <c r="Z8" s="2606"/>
      <c r="AA8" s="2448" t="s">
        <v>65</v>
      </c>
      <c r="AB8" s="2606"/>
      <c r="AC8" s="2448" t="s">
        <v>65</v>
      </c>
      <c r="AD8" s="666"/>
      <c r="AE8" s="1092"/>
      <c r="AF8" s="666"/>
      <c r="AG8" s="725"/>
      <c r="AH8" s="2606"/>
      <c r="AI8" s="2448" t="s">
        <v>65</v>
      </c>
      <c r="AJ8" s="2606"/>
      <c r="AK8" s="2448" t="s">
        <v>65</v>
      </c>
      <c r="AL8" s="666"/>
      <c r="AM8" s="2594" t="s">
        <v>405</v>
      </c>
      <c r="AN8" s="852">
        <f>STRCHECKDATE(V9:AL9)</f>
      </c>
      <c r="AO8" s="841"/>
      <c r="AP8" s="841" t="str">
        <f>IF(T8="","",T8)</f>
        <v/>
      </c>
      <c r="AQ8" s="841"/>
      <c r="AR8" s="841"/>
      <c r="AS8" s="1496">
        <v>0</v>
      </c>
    </row>
    <row customHeight="1" ht="0.7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9" t="s">
        <v>406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5" hidden="1">
      <c r="A11" s="1704"/>
      <c r="B11" s="1704"/>
      <c r="C11" s="1704"/>
      <c r="D11" s="1704"/>
      <c r="E11" s="2600"/>
      <c r="F11" s="2600"/>
      <c r="G11" s="2600"/>
      <c r="H11" s="2600"/>
      <c r="I11" s="2597"/>
      <c r="J11" s="1704"/>
      <c r="K11" s="1704"/>
      <c r="L11" s="1705"/>
      <c r="M11" s="878"/>
      <c r="P11" s="2598"/>
      <c r="Q11" s="1672"/>
      <c r="R11" s="697"/>
      <c r="S11" s="1619"/>
      <c r="T11" s="628" t="s">
        <v>407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619"/>
      <c r="T12" s="706" t="s">
        <v>408</v>
      </c>
      <c r="U12" s="708"/>
      <c r="V12" s="708"/>
      <c r="W12" s="708"/>
      <c r="X12" s="708"/>
      <c r="Y12" s="708"/>
      <c r="Z12" s="708"/>
      <c r="AA12" s="708"/>
      <c r="AB12" s="708"/>
      <c r="AC12" s="707"/>
      <c r="AD12" s="708"/>
      <c r="AE12" s="708"/>
      <c r="AF12" s="708"/>
      <c r="AG12" s="708"/>
      <c r="AH12" s="708"/>
      <c r="AI12" s="708"/>
      <c r="AJ12" s="708"/>
      <c r="AK12" s="707"/>
      <c r="AL12" s="708"/>
      <c r="AM12" s="644"/>
      <c r="AO12" s="841"/>
      <c r="AP12" s="841" t="str">
        <f>IF(T12="","",T12)</f>
        <v>Добавить схему подключения</v>
      </c>
      <c r="AQ12" s="841"/>
      <c r="AR12" s="841"/>
      <c r="AS12" s="1496">
        <v>0</v>
      </c>
    </row>
    <row s="1731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409</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1731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410</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1731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411</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AD17" s="1701"/>
      <c r="AE17" s="1701"/>
      <c r="AF17" s="1701"/>
      <c r="AG17" s="1702"/>
      <c r="AH17" s="2608"/>
      <c r="AI17" s="2609" t="s">
        <v>65</v>
      </c>
      <c r="AJ17" s="2608"/>
      <c r="AK17" s="2609" t="s">
        <v>65</v>
      </c>
      <c r="AS17" s="1496">
        <v>0</v>
      </c>
    </row>
    <row customHeight="1" ht="14.25" hidden="1">
      <c r="AD18" s="1701"/>
      <c r="AE18" s="1701"/>
      <c r="AF18" s="1701"/>
      <c r="AG18" s="669" t="str">
        <f>AH17&amp;"-"&amp;AJ17</f>
        <v>-</v>
      </c>
      <c r="AH18" s="2609"/>
      <c r="AI18" s="2609"/>
      <c r="AJ18" s="2609"/>
      <c r="AK18" s="2609"/>
      <c r="AS18" s="1496">
        <v>0</v>
      </c>
    </row>
    <row customHeight="1" ht="14.25" hidden="1">
      <c r="AK19" s="668"/>
      <c r="AS19" s="1496">
        <v>0</v>
      </c>
    </row>
    <row s="17315" customFormat="1" customHeight="1" ht="22.5" hidden="1">
      <c r="L20" s="1670"/>
      <c r="M20" s="1703"/>
      <c r="N20" s="1703"/>
      <c r="O20" s="1708" t="s">
        <v>412</v>
      </c>
      <c r="P20" s="1703"/>
      <c r="Q20" s="1712"/>
      <c r="R20" s="1712"/>
      <c r="S20" s="1070"/>
      <c r="Z20" s="1708"/>
      <c r="AB20" s="1708"/>
      <c r="AC20" s="1707"/>
      <c r="AH20" s="1708"/>
      <c r="AJ20" s="1708"/>
      <c r="AK20" s="1707"/>
      <c r="AN20" s="852"/>
      <c r="AO20" s="852"/>
      <c r="AP20" s="852"/>
      <c r="AQ20" s="852"/>
      <c r="AR20" s="852"/>
      <c r="AS20" s="1501">
        <v>0</v>
      </c>
    </row>
    <row s="17315" customFormat="1" customHeight="1" ht="14.25" hidden="1">
      <c r="L21" s="1670"/>
      <c r="M21" s="1703"/>
      <c r="N21" s="1703"/>
      <c r="O21" s="1703"/>
      <c r="P21" s="1703"/>
      <c r="Q21" s="1712"/>
      <c r="R21" s="1712"/>
      <c r="S21" s="1070"/>
      <c r="AC21" s="1707"/>
      <c r="AK21" s="1707"/>
      <c r="AN21" s="852"/>
      <c r="AO21" s="852"/>
      <c r="AP21" s="852"/>
      <c r="AQ21" s="852"/>
      <c r="AR21" s="852"/>
      <c r="AS21" s="1501">
        <v>0</v>
      </c>
    </row>
    <row s="17315" customFormat="1" customHeight="1" ht="33.75" hidden="1">
      <c r="L22" s="1670"/>
      <c r="M22" s="1703"/>
      <c r="N22" s="1703"/>
      <c r="O22" s="1705" t="s">
        <v>413</v>
      </c>
      <c r="P22" s="1703"/>
      <c r="Q22" s="1712"/>
      <c r="R22" s="1712"/>
      <c r="S22" s="1070"/>
      <c r="T22" s="1501" t="s">
        <v>414</v>
      </c>
      <c r="AA22" s="527" t="s">
        <v>415</v>
      </c>
      <c r="AC22" s="527" t="s">
        <v>416</v>
      </c>
      <c r="AD22" s="1501" t="s">
        <v>414</v>
      </c>
      <c r="AI22" s="527" t="s">
        <v>417</v>
      </c>
      <c r="AK22" s="527" t="s">
        <v>416</v>
      </c>
      <c r="AN22" s="852"/>
      <c r="AO22" s="852"/>
      <c r="AP22" s="852"/>
      <c r="AQ22" s="852"/>
      <c r="AR22" s="852"/>
      <c r="AS22" s="1501">
        <v>0</v>
      </c>
    </row>
    <row customHeight="1" ht="14.25" hidden="1">
      <c r="O23" s="1705"/>
      <c r="AS23" s="1496">
        <v>0</v>
      </c>
    </row>
    <row customHeight="1" ht="14.25" hidden="1">
      <c r="O24" s="1705"/>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29.25">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S26" s="1496">
        <v>28</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17442" customFormat="1" customHeight="1" ht="25.5" hidden="1">
      <c r="A29" s="1709"/>
      <c r="B29" s="1709"/>
      <c r="C29" s="1709"/>
      <c r="D29" s="1709"/>
      <c r="E29" s="1709"/>
      <c r="F29" s="1709"/>
      <c r="G29" s="1709"/>
      <c r="H29" s="1709"/>
      <c r="I29" s="1709"/>
      <c r="J29" s="1709"/>
      <c r="K29" s="1709"/>
      <c r="L29" s="1710"/>
      <c r="M29" s="1709"/>
      <c r="N29" s="1709"/>
      <c r="O29" s="1709"/>
      <c r="S29" s="2591" t="s">
        <v>41</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418</v>
      </c>
      <c r="T30" s="2591"/>
      <c r="U30" s="1713"/>
      <c r="V30" s="2605" t="str">
        <f>IF(TITLE_DATE_PR_CHANGE="",IF(TITLE_DATE_PR="","",TITLE_DATE_PR),TITLE_DATE_PR_CHANGE)</f>
        <v/>
      </c>
      <c r="W30" s="2605"/>
      <c r="X30" s="2605"/>
      <c r="Y30" s="2605"/>
      <c r="Z30" s="2605"/>
      <c r="AA30" s="2605"/>
      <c r="AB30" s="2605"/>
      <c r="AC30" s="667"/>
      <c r="AD30" s="2605" t="str">
        <f>IF(TITLE_DATE_PR_CHANGE="",IF(TITLE_DATE_PR="","",TITLE_DATE_PR),TITLE_DATE_PR_CHANGE)</f>
        <v/>
      </c>
      <c r="AE30" s="2605"/>
      <c r="AF30" s="2605"/>
      <c r="AG30" s="2605"/>
      <c r="AH30" s="2605"/>
      <c r="AI30" s="2605"/>
      <c r="AJ30" s="2605"/>
      <c r="AK30" s="667"/>
      <c r="AL30" s="667"/>
      <c r="AM30" s="621"/>
      <c r="AN30" s="709"/>
      <c r="AO30" s="709"/>
      <c r="AP30" s="709"/>
      <c r="AQ30" s="709"/>
      <c r="AR30" s="709"/>
      <c r="AS30" s="759">
        <v>0</v>
      </c>
    </row>
    <row s="17442" customFormat="1" customHeight="1" ht="18.75" hidden="1">
      <c r="A31" s="1709"/>
      <c r="B31" s="1709"/>
      <c r="C31" s="1709"/>
      <c r="D31" s="1709"/>
      <c r="E31" s="1709"/>
      <c r="F31" s="1709"/>
      <c r="G31" s="1709"/>
      <c r="H31" s="1709"/>
      <c r="I31" s="1709"/>
      <c r="J31" s="1709"/>
      <c r="K31" s="1709"/>
      <c r="L31" s="1710"/>
      <c r="M31" s="1709"/>
      <c r="N31" s="1709"/>
      <c r="O31" s="1709"/>
      <c r="S31" s="2591" t="s">
        <v>419</v>
      </c>
      <c r="T31" s="2591"/>
      <c r="U31" s="1713"/>
      <c r="V31" s="2592" t="str">
        <f>IF(TITLE_NUMBER_PR_CHANGE="",IF(TITLE_NUMBER_PR="","",TITLE_NUMBER_PR),TITLE_NUMBER_PR_CHANGE)</f>
        <v/>
      </c>
      <c r="W31" s="2592"/>
      <c r="X31" s="2592"/>
      <c r="Y31" s="2592"/>
      <c r="Z31" s="2592"/>
      <c r="AA31" s="2592"/>
      <c r="AB31" s="2592"/>
      <c r="AC31" s="667"/>
      <c r="AD31" s="2592" t="str">
        <f>IF(TITLE_NUMBER_PR_CHANGE="",IF(TITLE_NUMBER_PR="","",TITLE_NUMBER_PR),TITLE_NUMBER_PR_CHANGE)</f>
        <v/>
      </c>
      <c r="AE31" s="2592"/>
      <c r="AF31" s="2592"/>
      <c r="AG31" s="2592"/>
      <c r="AH31" s="2592"/>
      <c r="AI31" s="2592"/>
      <c r="AJ31" s="2592"/>
      <c r="AK31" s="667"/>
      <c r="AL31" s="667"/>
      <c r="AM31" s="621"/>
      <c r="AN31" s="709"/>
      <c r="AO31" s="709"/>
      <c r="AP31" s="709"/>
      <c r="AQ31" s="709"/>
      <c r="AR31" s="709"/>
      <c r="AS31" s="759">
        <v>0</v>
      </c>
    </row>
    <row s="17442" customFormat="1" customHeight="1" ht="18.75" hidden="1">
      <c r="A32" s="1709"/>
      <c r="B32" s="1709"/>
      <c r="C32" s="1709"/>
      <c r="D32" s="1709"/>
      <c r="E32" s="1709"/>
      <c r="F32" s="1709"/>
      <c r="G32" s="1709"/>
      <c r="H32" s="1709"/>
      <c r="I32" s="1709"/>
      <c r="J32" s="1709"/>
      <c r="K32" s="1709"/>
      <c r="L32" s="1710"/>
      <c r="M32" s="1709"/>
      <c r="N32" s="1709"/>
      <c r="O32" s="1709"/>
      <c r="S32" s="2591" t="s">
        <v>42</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hidden="1">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17442" customFormat="1" customHeight="1" ht="18.75" hidden="1">
      <c r="A34" s="1709"/>
      <c r="B34" s="1709"/>
      <c r="C34" s="1709"/>
      <c r="D34" s="1709"/>
      <c r="E34" s="1709"/>
      <c r="F34" s="1709"/>
      <c r="G34" s="1709"/>
      <c r="H34" s="1709"/>
      <c r="I34" s="1709"/>
      <c r="J34" s="1709"/>
      <c r="K34" s="1709"/>
      <c r="L34" s="1710"/>
      <c r="M34" s="1709"/>
      <c r="N34" s="1709"/>
      <c r="O34" s="1709"/>
      <c r="S34" s="2591" t="s">
        <v>420</v>
      </c>
      <c r="T34" s="2591"/>
      <c r="U34" s="1713"/>
      <c r="V34" s="2605" t="str">
        <f>IF(TITLE_DATE_PR_CHANGE="",IF(TITLE_DATE_PR="","",TITLE_DATE_PR),TITLE_DATE_PR_CHANGE)</f>
        <v/>
      </c>
      <c r="W34" s="2605"/>
      <c r="X34" s="2605"/>
      <c r="Y34" s="2605"/>
      <c r="Z34" s="2605"/>
      <c r="AA34" s="2605"/>
      <c r="AB34" s="2605"/>
      <c r="AC34" s="667"/>
      <c r="AD34" s="2605" t="str">
        <f>IF(TITLE_DATE_PR_CHANGE="",IF(TITLE_DATE_PR="","",TITLE_DATE_PR),TITLE_DATE_PR_CHANGE)</f>
        <v/>
      </c>
      <c r="AE34" s="2605"/>
      <c r="AF34" s="2605"/>
      <c r="AG34" s="2605"/>
      <c r="AH34" s="2605"/>
      <c r="AI34" s="2605"/>
      <c r="AJ34" s="2605"/>
      <c r="AK34" s="667"/>
      <c r="AL34" s="667"/>
      <c r="AM34" s="621"/>
      <c r="AN34" s="709"/>
      <c r="AO34" s="709"/>
      <c r="AP34" s="709"/>
      <c r="AQ34" s="709"/>
      <c r="AR34" s="709"/>
      <c r="AS34" s="759">
        <v>0</v>
      </c>
    </row>
    <row s="17442" customFormat="1" customHeight="1" ht="18.75" hidden="1">
      <c r="A35" s="1709"/>
      <c r="B35" s="1709"/>
      <c r="C35" s="1709"/>
      <c r="D35" s="1709"/>
      <c r="E35" s="1709"/>
      <c r="F35" s="1709"/>
      <c r="G35" s="1709"/>
      <c r="H35" s="1709"/>
      <c r="I35" s="1709"/>
      <c r="J35" s="1709"/>
      <c r="K35" s="1709"/>
      <c r="L35" s="1710"/>
      <c r="M35" s="1709"/>
      <c r="N35" s="1709"/>
      <c r="O35" s="1709"/>
      <c r="S35" s="2591" t="s">
        <v>421</v>
      </c>
      <c r="T35" s="2591"/>
      <c r="U35" s="1713"/>
      <c r="V35" s="2592" t="str">
        <f>IF(TITLE_NUMBER_PR_CHANGE="",IF(TITLE_NUMBER_PR="","",TITLE_NUMBER_PR),TITLE_NUMBER_PR_CHANGE)</f>
        <v/>
      </c>
      <c r="W35" s="2592"/>
      <c r="X35" s="2592"/>
      <c r="Y35" s="2592"/>
      <c r="Z35" s="2592"/>
      <c r="AA35" s="2592"/>
      <c r="AB35" s="2592"/>
      <c r="AC35" s="667"/>
      <c r="AD35" s="2592" t="str">
        <f>IF(TITLE_NUMBER_PR_CHANGE="",IF(TITLE_NUMBER_PR="","",TITLE_NUMBER_PR),TITLE_NUMBER_PR_CHANGE)</f>
        <v/>
      </c>
      <c r="AE35" s="2592"/>
      <c r="AF35" s="2592"/>
      <c r="AG35" s="2592"/>
      <c r="AH35" s="2592"/>
      <c r="AI35" s="2592"/>
      <c r="AJ35" s="2592"/>
      <c r="AK35" s="667"/>
      <c r="AL35" s="667"/>
      <c r="AM35" s="621"/>
      <c r="AN35" s="709"/>
      <c r="AO35" s="709"/>
      <c r="AP35" s="709"/>
      <c r="AQ35" s="709"/>
      <c r="AR35" s="709"/>
      <c r="AS35" s="759">
        <v>0</v>
      </c>
    </row>
    <row s="1744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422</v>
      </c>
      <c r="AD36" s="667"/>
      <c r="AE36" s="667"/>
      <c r="AF36" s="667"/>
      <c r="AG36" s="667"/>
      <c r="AH36" s="667"/>
      <c r="AI36" s="667"/>
      <c r="AJ36" s="667"/>
      <c r="AK36" s="619" t="s">
        <v>422</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295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296</v>
      </c>
      <c r="AS38" s="1496">
        <v>14</v>
      </c>
    </row>
    <row customHeight="1" ht="14.699999999999998">
      <c r="Q39" s="717"/>
      <c r="R39" s="717"/>
      <c r="S39" s="2614" t="s">
        <v>88</v>
      </c>
      <c r="T39" s="2550" t="s">
        <v>423</v>
      </c>
      <c r="U39" s="642"/>
      <c r="V39" s="2615" t="s">
        <v>424</v>
      </c>
      <c r="W39" s="2616"/>
      <c r="X39" s="2632"/>
      <c r="Y39" s="2632"/>
      <c r="Z39" s="2616"/>
      <c r="AA39" s="2616"/>
      <c r="AB39" s="2617"/>
      <c r="AC39" s="2618" t="s">
        <v>425</v>
      </c>
      <c r="AD39" s="2615" t="s">
        <v>424</v>
      </c>
      <c r="AE39" s="2616"/>
      <c r="AF39" s="2632"/>
      <c r="AG39" s="2632"/>
      <c r="AH39" s="2616"/>
      <c r="AI39" s="2616"/>
      <c r="AJ39" s="2617"/>
      <c r="AK39" s="2618" t="s">
        <v>426</v>
      </c>
      <c r="AL39" s="2621" t="s">
        <v>427</v>
      </c>
      <c r="AM39" s="2468"/>
      <c r="AS39" s="1496">
        <v>14</v>
      </c>
    </row>
    <row customHeight="1" ht="24">
      <c r="Q40" s="717"/>
      <c r="R40" s="717"/>
      <c r="S40" s="2614"/>
      <c r="T40" s="2550"/>
      <c r="U40" s="1372"/>
      <c r="V40" s="2633" t="s">
        <v>428</v>
      </c>
      <c r="W40" s="2635" t="s">
        <v>429</v>
      </c>
      <c r="X40" s="1717" t="s">
        <v>430</v>
      </c>
      <c r="Y40" s="1717"/>
      <c r="Z40" s="2610" t="s">
        <v>431</v>
      </c>
      <c r="AA40" s="2610"/>
      <c r="AB40" s="2604"/>
      <c r="AC40" s="2619"/>
      <c r="AD40" s="2633" t="s">
        <v>428</v>
      </c>
      <c r="AE40" s="2635" t="s">
        <v>429</v>
      </c>
      <c r="AF40" s="1717" t="s">
        <v>430</v>
      </c>
      <c r="AG40" s="1717"/>
      <c r="AH40" s="2610" t="s">
        <v>431</v>
      </c>
      <c r="AI40" s="2610"/>
      <c r="AJ40" s="2604"/>
      <c r="AK40" s="2619"/>
      <c r="AL40" s="2622"/>
      <c r="AM40" s="2468"/>
      <c r="AS40" s="1496">
        <v>23</v>
      </c>
    </row>
    <row s="17494" customFormat="1" customHeight="1" ht="24">
      <c r="A41" s="1711"/>
      <c r="B41" s="1711" t="s">
        <v>132</v>
      </c>
      <c r="C41" s="1711" t="s">
        <v>133</v>
      </c>
      <c r="D41" s="1711" t="s">
        <v>134</v>
      </c>
      <c r="E41" s="1705" t="s">
        <v>432</v>
      </c>
      <c r="F41" s="1705" t="s">
        <v>433</v>
      </c>
      <c r="G41" s="1705" t="s">
        <v>434</v>
      </c>
      <c r="H41" s="1705" t="s">
        <v>435</v>
      </c>
      <c r="I41" s="1705" t="s">
        <v>436</v>
      </c>
      <c r="J41" s="1705" t="s">
        <v>437</v>
      </c>
      <c r="K41" s="1705" t="s">
        <v>438</v>
      </c>
      <c r="L41" s="1705" t="s">
        <v>413</v>
      </c>
      <c r="M41" s="1703"/>
      <c r="N41" s="1703"/>
      <c r="O41" s="1703"/>
      <c r="P41" s="1669"/>
      <c r="Q41" s="717"/>
      <c r="R41" s="717"/>
      <c r="S41" s="2614"/>
      <c r="T41" s="2550"/>
      <c r="U41" s="643"/>
      <c r="V41" s="2634"/>
      <c r="W41" s="2636"/>
      <c r="X41" s="1714" t="s">
        <v>439</v>
      </c>
      <c r="Y41" s="1714" t="s">
        <v>440</v>
      </c>
      <c r="Z41" s="1675" t="s">
        <v>441</v>
      </c>
      <c r="AA41" s="2611" t="s">
        <v>442</v>
      </c>
      <c r="AB41" s="2612"/>
      <c r="AC41" s="2620"/>
      <c r="AD41" s="2634"/>
      <c r="AE41" s="2636"/>
      <c r="AF41" s="1714" t="s">
        <v>439</v>
      </c>
      <c r="AG41" s="1714" t="s">
        <v>440</v>
      </c>
      <c r="AH41" s="1675" t="s">
        <v>441</v>
      </c>
      <c r="AI41" s="2611" t="s">
        <v>442</v>
      </c>
      <c r="AJ41" s="2612"/>
      <c r="AK41" s="2620"/>
      <c r="AL41" s="2623"/>
      <c r="AM41" s="2468"/>
      <c r="AN41" s="852"/>
      <c r="AO41" s="841"/>
      <c r="AP41" s="841"/>
      <c r="AQ41" s="841"/>
      <c r="AR41" s="841"/>
      <c r="AS41" s="923">
        <v>23</v>
      </c>
    </row>
    <row s="17832"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106</v>
      </c>
      <c r="T42" s="1596" t="s">
        <v>107</v>
      </c>
      <c r="U42" s="1586" t="str">
        <f>OFFSET(U42,0,-1)</f>
        <v>2</v>
      </c>
      <c r="V42" s="1676">
        <f>OFFSET(V42,0,-1)+1</f>
        <v>3</v>
      </c>
      <c r="W42" s="1676"/>
      <c r="X42" s="1682">
        <f>OFFSET(X42,0,-1)+1</f>
        <v>1</v>
      </c>
      <c r="Y42" s="1682">
        <f>OFFSET(Y42,0,-1)+1</f>
        <v>2</v>
      </c>
      <c r="Z42" s="1676">
        <f>OFFSET(Z42,0,-1)+1</f>
        <v>3</v>
      </c>
      <c r="AA42" s="2613">
        <f>OFFSET(AA42,0,-1)+1</f>
        <v>4</v>
      </c>
      <c r="AB42" s="2613"/>
      <c r="AC42" s="1676">
        <f>OFFSET(AC42,0,-2)+1</f>
        <v>5</v>
      </c>
      <c r="AD42" s="1676">
        <f>OFFSET(AD42,0,-1)+1</f>
        <v>6</v>
      </c>
      <c r="AE42" s="1676"/>
      <c r="AF42" s="1682">
        <f>OFFSET(AF42,0,-1)+1</f>
        <v>1</v>
      </c>
      <c r="AG42" s="1682">
        <f>OFFSET(AG42,0,-1)+1</f>
        <v>2</v>
      </c>
      <c r="AH42" s="1676">
        <f>OFFSET(AH42,0,-1)+1</f>
        <v>3</v>
      </c>
      <c r="AI42" s="2613">
        <f>OFFSET(AI42,0,-1)+1</f>
        <v>4</v>
      </c>
      <c r="AJ42" s="2613"/>
      <c r="AK42" s="1676">
        <f>OFFSET(AK42,0,-2)+1</f>
        <v>5</v>
      </c>
      <c r="AL42" s="1586">
        <f>OFFSET(AL42,0,-1)</f>
        <v>5</v>
      </c>
      <c r="AM42" s="1676">
        <f>OFFSET(AM42,0,-1)+1</f>
        <v>6</v>
      </c>
      <c r="AN42" s="852"/>
      <c r="AO42" s="852"/>
      <c r="AP42" s="852"/>
      <c r="AQ42" s="852"/>
      <c r="AR42" s="852"/>
      <c r="AS42" s="837">
        <v>0</v>
      </c>
    </row>
    <row customHeight="1" ht="22.049999999999997">
      <c r="A43" s="1704" t="s">
        <v>189</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0</v>
      </c>
      <c r="T43" s="639" t="s">
        <v>120</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21</v>
      </c>
    </row>
    <row customHeight="1" ht="22.049999999999997">
      <c r="A44" s="1704" t="s">
        <v>189</v>
      </c>
      <c r="B44" s="1704" t="s">
        <v>190</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v>
      </c>
      <c r="T44" s="649" t="s">
        <v>392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393</v>
      </c>
      <c r="AO44" s="841"/>
      <c r="AP44" s="841" t="str">
        <f>IF(T44="","",T44)</f>
        <v>Территория действия тарифа</v>
      </c>
      <c r="AQ44" s="841"/>
      <c r="AR44" s="841"/>
      <c r="AS44" s="1496">
        <v>21</v>
      </c>
    </row>
    <row customHeight="1" ht="24">
      <c r="A45" s="1704" t="s">
        <v>189</v>
      </c>
      <c r="B45" s="1704" t="s">
        <v>190</v>
      </c>
      <c r="C45" s="1704" t="s">
        <v>191</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v>
      </c>
      <c r="T45" s="650" t="s">
        <v>394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395</v>
      </c>
      <c r="AO45" s="841"/>
      <c r="AP45" s="841" t="str">
        <f>IF(T45="","",T45)</f>
        <v>Наименование системы теплоснабжения </v>
      </c>
      <c r="AQ45" s="841"/>
      <c r="AR45" s="841"/>
      <c r="AS45" s="1496">
        <v>23</v>
      </c>
    </row>
    <row customHeight="1" ht="22.049999999999997">
      <c r="A46" s="1704" t="s">
        <v>189</v>
      </c>
      <c r="B46" s="1704" t="s">
        <v>190</v>
      </c>
      <c r="C46" s="1704" t="s">
        <v>191</v>
      </c>
      <c r="D46" s="1704" t="s">
        <v>192</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v>
      </c>
      <c r="T46" s="651" t="s">
        <v>396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397</v>
      </c>
      <c r="AO46" s="841"/>
      <c r="AP46" s="841" t="str">
        <f>IF(T46="","",T46)</f>
        <v>Источник тепловой энергии  </v>
      </c>
      <c r="AQ46" s="841"/>
      <c r="AR46" s="841"/>
      <c r="AS46" s="1496">
        <v>21</v>
      </c>
    </row>
    <row customHeight="1" ht="49.5">
      <c r="A47" s="1704" t="s">
        <v>189</v>
      </c>
      <c r="B47" s="1704" t="s">
        <v>190</v>
      </c>
      <c r="C47" s="1704" t="s">
        <v>191</v>
      </c>
      <c r="D47" s="1704" t="s">
        <v>192</v>
      </c>
      <c r="E47" s="2600"/>
      <c r="F47" s="2600"/>
      <c r="G47" s="2600"/>
      <c r="H47" s="2600"/>
      <c r="I47" s="2597" t="str">
        <f>S46&amp;".1"</f>
        <v>....1</v>
      </c>
      <c r="J47" s="1704"/>
      <c r="K47" s="1704"/>
      <c r="L47" s="1705" t="s">
        <v>398</v>
      </c>
      <c r="P47" s="2598">
        <v>1</v>
      </c>
      <c r="Q47" s="1672"/>
      <c r="R47" s="697"/>
      <c r="S47" s="1677" t="str">
        <f>$I47</f>
        <v>....1</v>
      </c>
      <c r="T47" s="626" t="s">
        <v>399</v>
      </c>
      <c r="U47" s="641"/>
      <c r="V47" s="2586"/>
      <c r="W47" s="2587"/>
      <c r="X47" s="2587"/>
      <c r="Y47" s="2587"/>
      <c r="Z47" s="2587"/>
      <c r="AA47" s="2587"/>
      <c r="AB47" s="2587"/>
      <c r="AC47" s="2588"/>
      <c r="AD47" s="2586"/>
      <c r="AE47" s="2587"/>
      <c r="AF47" s="2587"/>
      <c r="AG47" s="2587"/>
      <c r="AH47" s="2587"/>
      <c r="AI47" s="2587"/>
      <c r="AJ47" s="2587"/>
      <c r="AK47" s="2587"/>
      <c r="AL47" s="2588"/>
      <c r="AM47" s="1599" t="s">
        <v>400</v>
      </c>
      <c r="AO47" s="841"/>
      <c r="AP47" s="841" t="str">
        <f>IF(T47="","",T47)</f>
        <v>Схема подключения теплопотребляющей установки к коллектору источника тепловой энергии</v>
      </c>
      <c r="AQ47" s="841"/>
      <c r="AR47" s="841"/>
      <c r="AS47" s="1496">
        <v>47</v>
      </c>
    </row>
    <row customHeight="1" ht="22.049999999999997">
      <c r="A48" s="1704" t="s">
        <v>189</v>
      </c>
      <c r="B48" s="1704" t="s">
        <v>190</v>
      </c>
      <c r="C48" s="1704" t="s">
        <v>191</v>
      </c>
      <c r="D48" s="1704" t="s">
        <v>192</v>
      </c>
      <c r="E48" s="2600"/>
      <c r="F48" s="2600"/>
      <c r="G48" s="2600"/>
      <c r="H48" s="2600"/>
      <c r="I48" s="2627"/>
      <c r="J48" s="2597" t="str">
        <f>I47&amp;".1"</f>
        <v>....1.1</v>
      </c>
      <c r="K48" s="1704"/>
      <c r="L48" s="1705" t="s">
        <v>401</v>
      </c>
      <c r="P48" s="2598"/>
      <c r="Q48" s="2598">
        <v>1</v>
      </c>
      <c r="R48" s="698"/>
      <c r="S48" s="1677" t="str">
        <f>$J48</f>
        <v>....1.1</v>
      </c>
      <c r="T48" s="627" t="s">
        <v>402</v>
      </c>
      <c r="U48" s="641"/>
      <c r="V48" s="2586"/>
      <c r="W48" s="2587"/>
      <c r="X48" s="2587"/>
      <c r="Y48" s="2587"/>
      <c r="Z48" s="2587"/>
      <c r="AA48" s="2587"/>
      <c r="AB48" s="2587"/>
      <c r="AC48" s="2588"/>
      <c r="AD48" s="2586"/>
      <c r="AE48" s="2587"/>
      <c r="AF48" s="2587"/>
      <c r="AG48" s="2587"/>
      <c r="AH48" s="2587"/>
      <c r="AI48" s="2587"/>
      <c r="AJ48" s="2587"/>
      <c r="AK48" s="2587"/>
      <c r="AL48" s="2588"/>
      <c r="AM48" s="1599" t="s">
        <v>403</v>
      </c>
      <c r="AO48" s="841"/>
      <c r="AP48" s="841" t="str">
        <f>IF(T48="","",T48)</f>
        <v>Группа потребителей</v>
      </c>
      <c r="AQ48" s="841"/>
      <c r="AR48" s="841"/>
      <c r="AS48" s="1496">
        <v>21</v>
      </c>
    </row>
    <row customHeight="1" ht="22.049999999999997">
      <c r="A49" s="1704" t="s">
        <v>189</v>
      </c>
      <c r="B49" s="1704" t="s">
        <v>190</v>
      </c>
      <c r="C49" s="1704" t="s">
        <v>191</v>
      </c>
      <c r="D49" s="1704" t="s">
        <v>192</v>
      </c>
      <c r="E49" s="2600"/>
      <c r="F49" s="2600"/>
      <c r="G49" s="2600"/>
      <c r="H49" s="2600"/>
      <c r="I49" s="2627"/>
      <c r="J49" s="2627"/>
      <c r="K49" s="2597" t="str">
        <f>J48&amp;".1"</f>
        <v>....1.1.1</v>
      </c>
      <c r="L49" s="1705" t="s">
        <v>404</v>
      </c>
      <c r="P49" s="2598"/>
      <c r="Q49" s="2598"/>
      <c r="R49" s="698">
        <v>1</v>
      </c>
      <c r="S49" s="1677" t="str">
        <f>$K49</f>
        <v>....1.1.1</v>
      </c>
      <c r="T49" s="1688"/>
      <c r="U49" s="641"/>
      <c r="V49" s="666"/>
      <c r="W49" s="1092"/>
      <c r="X49" s="666"/>
      <c r="Y49" s="725"/>
      <c r="Z49" s="2606"/>
      <c r="AA49" s="2448" t="s">
        <v>65</v>
      </c>
      <c r="AB49" s="2606"/>
      <c r="AC49" s="2448" t="s">
        <v>65</v>
      </c>
      <c r="AD49" s="666"/>
      <c r="AE49" s="1092"/>
      <c r="AF49" s="666"/>
      <c r="AG49" s="725"/>
      <c r="AH49" s="2606"/>
      <c r="AI49" s="2448" t="s">
        <v>65</v>
      </c>
      <c r="AJ49" s="2628"/>
      <c r="AK49" s="2448" t="s">
        <v>65</v>
      </c>
      <c r="AL49" s="1689"/>
      <c r="AM49" s="2594" t="s">
        <v>405</v>
      </c>
      <c r="AN49" s="852">
        <f>STRCHECKDATE(V50:AL50)</f>
      </c>
      <c r="AO49" s="841"/>
      <c r="AP49" s="841" t="str">
        <f>IF(T49="","",T49)</f>
        <v/>
      </c>
      <c r="AQ49" s="841"/>
      <c r="AR49" s="841"/>
      <c r="AS49" s="1496">
        <v>21</v>
      </c>
    </row>
    <row customHeight="1" ht="1.05">
      <c r="A50" s="1704" t="s">
        <v>189</v>
      </c>
      <c r="B50" s="1704" t="s">
        <v>190</v>
      </c>
      <c r="C50" s="1704" t="s">
        <v>191</v>
      </c>
      <c r="D50" s="1704" t="s">
        <v>192</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1</v>
      </c>
    </row>
    <row customHeight="1" ht="11.549999999999999">
      <c r="A51" s="1704" t="s">
        <v>189</v>
      </c>
      <c r="B51" s="1704" t="s">
        <v>190</v>
      </c>
      <c r="C51" s="1704" t="s">
        <v>191</v>
      </c>
      <c r="D51" s="1704" t="s">
        <v>192</v>
      </c>
      <c r="E51" s="2600"/>
      <c r="F51" s="2600"/>
      <c r="G51" s="2600"/>
      <c r="H51" s="2600"/>
      <c r="I51" s="2627"/>
      <c r="J51" s="2597"/>
      <c r="K51" s="1704"/>
      <c r="L51" s="1705"/>
      <c r="P51" s="2598"/>
      <c r="Q51" s="2598"/>
      <c r="R51" s="697"/>
      <c r="S51" s="1619"/>
      <c r="T51" s="629" t="s">
        <v>406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189</v>
      </c>
      <c r="B52" s="1704" t="s">
        <v>190</v>
      </c>
      <c r="C52" s="1704" t="s">
        <v>191</v>
      </c>
      <c r="D52" s="1704" t="s">
        <v>192</v>
      </c>
      <c r="E52" s="2600"/>
      <c r="F52" s="2600"/>
      <c r="G52" s="2600"/>
      <c r="H52" s="2600"/>
      <c r="I52" s="2597"/>
      <c r="J52" s="1704"/>
      <c r="K52" s="1704"/>
      <c r="L52" s="1705"/>
      <c r="P52" s="2598"/>
      <c r="Q52" s="1672"/>
      <c r="R52" s="697"/>
      <c r="S52" s="1619"/>
      <c r="T52" s="628" t="s">
        <v>407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14.699999999999998">
      <c r="A53" s="1704" t="s">
        <v>189</v>
      </c>
      <c r="B53" s="1704" t="s">
        <v>190</v>
      </c>
      <c r="C53" s="1704" t="s">
        <v>191</v>
      </c>
      <c r="D53" s="1704" t="s">
        <v>192</v>
      </c>
      <c r="E53" s="2600"/>
      <c r="F53" s="2600"/>
      <c r="G53" s="2600"/>
      <c r="H53" s="2599"/>
      <c r="I53" s="1704"/>
      <c r="J53" s="1704"/>
      <c r="K53" s="1704"/>
      <c r="L53" s="1705"/>
      <c r="M53" s="1706"/>
      <c r="N53" s="1706"/>
      <c r="O53" s="878"/>
      <c r="P53" s="701"/>
      <c r="Q53" s="716"/>
      <c r="R53" s="696"/>
      <c r="S53" s="1619"/>
      <c r="T53" s="706" t="s">
        <v>408</v>
      </c>
      <c r="U53" s="708"/>
      <c r="V53" s="708"/>
      <c r="W53" s="708"/>
      <c r="X53" s="708"/>
      <c r="Y53" s="708"/>
      <c r="Z53" s="708"/>
      <c r="AA53" s="708"/>
      <c r="AB53" s="708"/>
      <c r="AC53" s="707"/>
      <c r="AD53" s="708"/>
      <c r="AE53" s="708"/>
      <c r="AF53" s="708"/>
      <c r="AG53" s="708"/>
      <c r="AH53" s="708"/>
      <c r="AI53" s="708"/>
      <c r="AJ53" s="708"/>
      <c r="AK53" s="707"/>
      <c r="AL53" s="708"/>
      <c r="AM53" s="644"/>
      <c r="AO53" s="841"/>
      <c r="AP53" s="841" t="str">
        <f>IF(T53="","",T53)</f>
        <v>Добавить схему подключения</v>
      </c>
      <c r="AQ53" s="841"/>
      <c r="AR53" s="841"/>
      <c r="AS53" s="1496">
        <v>14</v>
      </c>
    </row>
    <row s="17316" customFormat="1" customHeight="1" ht="1.05">
      <c r="A54" s="1684" t="s">
        <v>189</v>
      </c>
      <c r="B54" s="1684" t="s">
        <v>190</v>
      </c>
      <c r="C54" s="1684" t="s">
        <v>191</v>
      </c>
      <c r="D54" s="1655"/>
      <c r="E54" s="2600"/>
      <c r="F54" s="2600"/>
      <c r="G54" s="2599"/>
      <c r="H54" s="1655"/>
      <c r="I54" s="1655"/>
      <c r="J54" s="1655"/>
      <c r="K54" s="1655"/>
      <c r="L54" s="1680"/>
      <c r="M54" s="1656"/>
      <c r="N54" s="1656"/>
      <c r="P54" s="1657"/>
      <c r="Q54" s="1658"/>
      <c r="R54" s="1657"/>
      <c r="S54" s="1663"/>
      <c r="T54" s="1666" t="s">
        <v>409</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1</v>
      </c>
    </row>
    <row s="17316" customFormat="1" customHeight="1" ht="1.05">
      <c r="A55" s="1684" t="s">
        <v>189</v>
      </c>
      <c r="B55" s="1684" t="s">
        <v>190</v>
      </c>
      <c r="C55" s="1655"/>
      <c r="D55" s="1655"/>
      <c r="E55" s="2600"/>
      <c r="F55" s="2599"/>
      <c r="G55" s="1655"/>
      <c r="H55" s="1655"/>
      <c r="I55" s="1655"/>
      <c r="J55" s="1655"/>
      <c r="K55" s="1655"/>
      <c r="L55" s="1680"/>
      <c r="M55" s="1662"/>
      <c r="N55" s="1662"/>
      <c r="P55" s="1657"/>
      <c r="Q55" s="1658"/>
      <c r="R55" s="1657"/>
      <c r="S55" s="1663"/>
      <c r="T55" s="1666" t="s">
        <v>410</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1</v>
      </c>
    </row>
    <row s="17316" customFormat="1" customHeight="1" ht="1.05">
      <c r="A56" s="1684" t="s">
        <v>189</v>
      </c>
      <c r="B56" s="1684"/>
      <c r="C56" s="1684"/>
      <c r="D56" s="1684"/>
      <c r="E56" s="2599"/>
      <c r="F56" s="1684"/>
      <c r="G56" s="1684"/>
      <c r="H56" s="1684"/>
      <c r="I56" s="1684"/>
      <c r="J56" s="1684"/>
      <c r="K56" s="1684"/>
      <c r="L56" s="1687"/>
      <c r="M56" s="1662"/>
      <c r="N56" s="1662"/>
      <c r="O56" s="859"/>
      <c r="P56" s="721"/>
      <c r="Q56" s="1685"/>
      <c r="R56" s="721"/>
      <c r="S56" s="1663"/>
      <c r="T56" s="1666" t="s">
        <v>411</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1</v>
      </c>
    </row>
    <row s="17316" customFormat="1" customHeight="1" ht="1.05">
      <c r="A57" s="1655"/>
      <c r="B57" s="1655"/>
      <c r="C57" s="1655"/>
      <c r="D57" s="1655"/>
      <c r="E57" s="1684"/>
      <c r="F57" s="1655"/>
      <c r="G57" s="1655"/>
      <c r="H57" s="1655"/>
      <c r="I57" s="1655"/>
      <c r="J57" s="1655"/>
      <c r="K57" s="1655"/>
      <c r="L57" s="1680"/>
      <c r="M57" s="1662"/>
      <c r="N57" s="1662"/>
      <c r="P57" s="1657"/>
      <c r="Q57" s="1658"/>
      <c r="R57" s="1657"/>
      <c r="S57" s="1663"/>
      <c r="T57" s="1666" t="s">
        <v>443</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1</v>
      </c>
    </row>
    <row customHeight="1" ht="11.549999999999999">
      <c r="M58" s="1501"/>
      <c r="N58" s="1501"/>
      <c r="O58" s="878"/>
      <c r="P58" s="1496"/>
      <c r="Q58" s="1496"/>
      <c r="R58" s="1496"/>
      <c r="S58" s="1496"/>
      <c r="AN58" s="1496"/>
      <c r="AO58" s="1496"/>
      <c r="AP58" s="1496"/>
      <c r="AQ58" s="1496"/>
      <c r="AR58" s="1496"/>
      <c r="AS58" s="1496">
        <v>11</v>
      </c>
    </row>
    <row customHeight="1" ht="28.5">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27</v>
      </c>
    </row>
    <row customHeight="1" ht="78.75">
      <c r="O60" s="878"/>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75</v>
      </c>
    </row>
    <row customHeight="1" ht="14.699999999999998">
      <c r="O61" s="878"/>
      <c r="AS61" s="1496">
        <v>14</v>
      </c>
    </row>
    <row customHeight="1" ht="18.75">
      <c r="O62" s="878"/>
      <c r="S62" s="1594"/>
      <c r="T62" s="2626"/>
      <c r="U62" s="2626"/>
      <c r="V62" s="2626"/>
      <c r="W62" s="2626"/>
      <c r="X62" s="2626"/>
      <c r="Y62" s="2626"/>
      <c r="Z62" s="2626"/>
      <c r="AA62" s="2626"/>
      <c r="AB62" s="2626"/>
      <c r="AC62" s="2626"/>
      <c r="AD62" s="2626"/>
      <c r="AE62" s="2626"/>
      <c r="AF62" s="2626"/>
      <c r="AG62" s="2626"/>
      <c r="AH62" s="2626"/>
      <c r="AI62" s="2626"/>
      <c r="AJ62" s="2626"/>
      <c r="AK62" s="2626"/>
      <c r="AL62" s="2626"/>
      <c r="AM62" s="2626"/>
      <c r="AS62" s="1496">
        <v>18</v>
      </c>
    </row>
    <row customHeight="1" ht="18.75">
      <c r="O63" s="878"/>
      <c r="T63" s="2626"/>
      <c r="U63" s="2626"/>
      <c r="V63" s="2626"/>
      <c r="W63" s="2626"/>
      <c r="X63" s="2626"/>
      <c r="Y63" s="2626"/>
      <c r="Z63" s="2626"/>
      <c r="AA63" s="2626"/>
      <c r="AB63" s="2626"/>
      <c r="AC63" s="2626"/>
      <c r="AD63" s="2626"/>
      <c r="AE63" s="2626"/>
      <c r="AF63" s="2626"/>
      <c r="AG63" s="2626"/>
      <c r="AH63" s="2626"/>
      <c r="AI63" s="2626"/>
      <c r="AJ63" s="2626"/>
      <c r="AK63" s="2626"/>
      <c r="AL63" s="2626"/>
      <c r="AM63" s="2626"/>
      <c r="AS63" s="1496">
        <v>18</v>
      </c>
    </row>
    <row customHeight="1" ht="39.75">
      <c r="O64" s="878"/>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38</v>
      </c>
    </row>
    <row customHeight="1" ht="22.5" hidden="1">
      <c r="A65" s="1501" t="s">
        <v>82</v>
      </c>
      <c r="B65" s="1501">
        <v>0</v>
      </c>
      <c r="C65" s="1501">
        <v>0</v>
      </c>
      <c r="D65" s="1501">
        <v>0</v>
      </c>
      <c r="E65" s="1501">
        <v>0</v>
      </c>
      <c r="F65" s="1501">
        <v>0</v>
      </c>
      <c r="G65" s="1501">
        <v>0</v>
      </c>
      <c r="H65" s="1501">
        <v>0</v>
      </c>
      <c r="I65" s="1501">
        <v>0</v>
      </c>
      <c r="J65" s="1501">
        <v>0</v>
      </c>
      <c r="K65" s="1501">
        <v>0</v>
      </c>
      <c r="L65" s="1670">
        <v>0</v>
      </c>
      <c r="M65" s="1703">
        <v>0</v>
      </c>
      <c r="N65" s="1703">
        <v>0</v>
      </c>
      <c r="O65" s="1703">
        <v>0</v>
      </c>
      <c r="P65" s="1669">
        <v>3</v>
      </c>
      <c r="Q65" s="685">
        <v>3</v>
      </c>
      <c r="R65" s="685">
        <v>3</v>
      </c>
      <c r="S65" s="922">
        <v>12</v>
      </c>
      <c r="T65" s="1496">
        <v>31</v>
      </c>
      <c r="U65" s="1496">
        <v>0</v>
      </c>
      <c r="V65" s="1496">
        <v>0</v>
      </c>
      <c r="W65" s="1496">
        <v>0</v>
      </c>
      <c r="X65" s="1496">
        <v>0</v>
      </c>
      <c r="Y65" s="1496">
        <v>0</v>
      </c>
      <c r="Z65" s="1496">
        <v>0</v>
      </c>
      <c r="AA65" s="1496">
        <v>0</v>
      </c>
      <c r="AB65" s="1496">
        <v>0</v>
      </c>
      <c r="AC65" s="1496">
        <v>0</v>
      </c>
      <c r="AD65" s="1496">
        <v>0</v>
      </c>
      <c r="AE65" s="1496">
        <v>24</v>
      </c>
      <c r="AF65" s="1496">
        <v>0</v>
      </c>
      <c r="AG65" s="1496">
        <v>0</v>
      </c>
      <c r="AH65" s="1496">
        <v>11</v>
      </c>
      <c r="AI65" s="1496">
        <v>3</v>
      </c>
      <c r="AJ65" s="1496">
        <v>11</v>
      </c>
      <c r="AK65" s="1496">
        <v>0</v>
      </c>
      <c r="AL65" s="1496">
        <v>4</v>
      </c>
      <c r="AM65" s="1496">
        <v>115</v>
      </c>
      <c r="AN65" s="852">
        <v>10</v>
      </c>
      <c r="AO65" s="852">
        <v>10</v>
      </c>
      <c r="AP65" s="852">
        <v>10</v>
      </c>
      <c r="AQ65" s="852">
        <v>10</v>
      </c>
      <c r="AR65" s="852">
        <v>10</v>
      </c>
      <c r="AS65" s="1496">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43AA4F-DA15-EF76-7C97-0F27A5902A9E}"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8" width="3.7109375" hidden="1" customWidth="1"/>
    <col min="17" max="18" style="18079" width="3.00390625" customWidth="1"/>
    <col min="19" max="19" style="18080" width="12.00390625" customWidth="1"/>
    <col min="20" max="20" style="17239" width="31.00390625" customWidth="1"/>
    <col min="21" max="21" style="17239" width="0.140625" customWidth="1"/>
    <col min="22" max="22" style="17239" width="24.7109375" hidden="1" customWidth="1"/>
    <col min="23" max="23" style="17239" width="0.140625" hidden="1" customWidth="1"/>
    <col min="24" max="25" style="17239" width="24.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24.7109375" customWidth="1"/>
    <col min="31" max="31" style="17239" width="0.140625" customWidth="1"/>
    <col min="32" max="33" style="17239" width="24.00390625" customWidth="1"/>
    <col min="34" max="34" style="17239" width="11.00390625" customWidth="1"/>
    <col min="35" max="35" style="17239" width="3.7109375" customWidth="1"/>
    <col min="36" max="36" style="17239" width="11.00390625" customWidth="1"/>
    <col min="37" max="37" style="17239" width="8.57421875" hidden="1" customWidth="1"/>
    <col min="38" max="38" style="17239" width="4.00390625" customWidth="1"/>
    <col min="39" max="39" style="17239" width="115.00390625" customWidth="1"/>
    <col min="40" max="44" style="17316" width="10.00390625" customWidth="1"/>
    <col min="45" max="45" style="17239" width="8.421875" hidden="1" customWidth="1"/>
  </cols>
  <sheetData>
    <row customHeight="1" ht="22.5" hidden="1">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120</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391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392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393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1677">
        <f>INDEX(PT_DIFFERENTIATION_NUM_CS,MATCH(C4,PT_DIFFERENTIATION_CS_ID,0))</f>
      </c>
      <c r="T4" s="650" t="s">
        <v>394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395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694"/>
      <c r="S5" s="1677">
        <f>INDEX(PT_DIFFERENTIATION_NUM_IST_TE,MATCH(D5,PT_DIFFERENTIATION_IST_TE_ID,0))</f>
      </c>
      <c r="T5" s="651" t="s">
        <v>396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397</v>
      </c>
      <c r="AO5" s="841"/>
      <c r="AP5" s="841" t="str">
        <f>IF(T5="","",T5)</f>
        <v>Источник тепловой энергии  </v>
      </c>
      <c r="AQ5" s="841"/>
      <c r="AR5" s="841"/>
      <c r="AS5" s="1496">
        <v>0</v>
      </c>
    </row>
    <row customHeight="1" ht="14.25" hidden="1">
      <c r="A6" s="1704"/>
      <c r="B6" s="1704"/>
      <c r="C6" s="1704"/>
      <c r="D6" s="1704"/>
      <c r="E6" s="2600"/>
      <c r="F6" s="2600"/>
      <c r="G6" s="2600"/>
      <c r="H6" s="2600"/>
      <c r="I6" s="2597">
        <f>S5&amp;".1"</f>
      </c>
      <c r="J6" s="1704"/>
      <c r="K6" s="1704"/>
      <c r="L6" s="1705" t="s">
        <v>398</v>
      </c>
      <c r="M6" s="878"/>
      <c r="P6" s="2598">
        <v>1</v>
      </c>
      <c r="Q6" s="1672"/>
      <c r="R6" s="697"/>
      <c r="S6" s="1383"/>
      <c r="T6" s="1724"/>
      <c r="U6" s="1725"/>
      <c r="V6" s="2637"/>
      <c r="W6" s="2638"/>
      <c r="X6" s="2638"/>
      <c r="Y6" s="2638"/>
      <c r="Z6" s="2638"/>
      <c r="AA6" s="2638"/>
      <c r="AB6" s="2638"/>
      <c r="AC6" s="2639"/>
      <c r="AD6" s="2637"/>
      <c r="AE6" s="2638"/>
      <c r="AF6" s="2638"/>
      <c r="AG6" s="2638"/>
      <c r="AH6" s="2638"/>
      <c r="AI6" s="2638"/>
      <c r="AJ6" s="2638"/>
      <c r="AK6" s="2638"/>
      <c r="AL6" s="2639"/>
      <c r="AM6" s="1726"/>
      <c r="AO6" s="841"/>
      <c r="AP6" s="841" t="str">
        <f>IF(T6="","",T6)</f>
        <v/>
      </c>
      <c r="AQ6" s="841"/>
      <c r="AR6" s="841"/>
      <c r="AS6" s="1496">
        <v>0</v>
      </c>
    </row>
    <row customHeight="1" ht="21" hidden="1">
      <c r="A7" s="1704"/>
      <c r="B7" s="1704"/>
      <c r="C7" s="1704"/>
      <c r="D7" s="1704"/>
      <c r="E7" s="2600"/>
      <c r="F7" s="2600"/>
      <c r="G7" s="2600"/>
      <c r="H7" s="2600"/>
      <c r="I7" s="2627"/>
      <c r="J7" s="2597">
        <f>I6&amp;".1"</f>
      </c>
      <c r="K7" s="1704"/>
      <c r="L7" s="1705" t="s">
        <v>401</v>
      </c>
      <c r="M7" s="878"/>
      <c r="N7" s="1707"/>
      <c r="P7" s="2598"/>
      <c r="Q7" s="2598">
        <v>1</v>
      </c>
      <c r="R7" s="698"/>
      <c r="S7" s="1677">
        <f>$J7</f>
      </c>
      <c r="T7" s="627" t="s">
        <v>402</v>
      </c>
      <c r="U7" s="641"/>
      <c r="V7" s="2586"/>
      <c r="W7" s="2587"/>
      <c r="X7" s="2587"/>
      <c r="Y7" s="2587"/>
      <c r="Z7" s="2587"/>
      <c r="AA7" s="2587"/>
      <c r="AB7" s="2587"/>
      <c r="AC7" s="2588"/>
      <c r="AD7" s="2586"/>
      <c r="AE7" s="2587"/>
      <c r="AF7" s="2587"/>
      <c r="AG7" s="2587"/>
      <c r="AH7" s="2587"/>
      <c r="AI7" s="2587"/>
      <c r="AJ7" s="2587"/>
      <c r="AK7" s="2587"/>
      <c r="AL7" s="2588"/>
      <c r="AM7" s="1599" t="s">
        <v>403</v>
      </c>
      <c r="AO7" s="841"/>
      <c r="AP7" s="841" t="str">
        <f>IF(T7="","",T7)</f>
        <v>Группа потребителей</v>
      </c>
      <c r="AQ7" s="841"/>
      <c r="AR7" s="841"/>
      <c r="AS7" s="1496">
        <v>0</v>
      </c>
    </row>
    <row customHeight="1" ht="21" hidden="1">
      <c r="A8" s="1704"/>
      <c r="B8" s="1704"/>
      <c r="C8" s="1704"/>
      <c r="D8" s="1704"/>
      <c r="E8" s="2600"/>
      <c r="F8" s="2600"/>
      <c r="G8" s="2600"/>
      <c r="H8" s="2600"/>
      <c r="I8" s="2627"/>
      <c r="J8" s="2627"/>
      <c r="K8" s="2597">
        <f>J7&amp;".1"</f>
      </c>
      <c r="L8" s="1705" t="s">
        <v>404</v>
      </c>
      <c r="M8" s="878"/>
      <c r="N8" s="1707"/>
      <c r="O8" s="1707"/>
      <c r="P8" s="2598"/>
      <c r="Q8" s="2598"/>
      <c r="R8" s="698">
        <v>1</v>
      </c>
      <c r="S8" s="1677">
        <f>$K8</f>
      </c>
      <c r="T8" s="1688"/>
      <c r="U8" s="641"/>
      <c r="V8" s="1092"/>
      <c r="W8" s="666"/>
      <c r="X8" s="1092"/>
      <c r="Y8" s="1598"/>
      <c r="Z8" s="2606"/>
      <c r="AA8" s="2448" t="s">
        <v>65</v>
      </c>
      <c r="AB8" s="2606"/>
      <c r="AC8" s="2448" t="s">
        <v>65</v>
      </c>
      <c r="AD8" s="1092"/>
      <c r="AE8" s="666"/>
      <c r="AF8" s="1092"/>
      <c r="AG8" s="1598"/>
      <c r="AH8" s="2606"/>
      <c r="AI8" s="2448" t="s">
        <v>65</v>
      </c>
      <c r="AJ8" s="2606"/>
      <c r="AK8" s="2448" t="s">
        <v>65</v>
      </c>
      <c r="AL8" s="666"/>
      <c r="AM8" s="2594" t="s">
        <v>405</v>
      </c>
      <c r="AN8" s="852">
        <f>STRCHECKDATE(V9:AL9)</f>
      </c>
      <c r="AO8" s="841"/>
      <c r="AP8" s="841" t="str">
        <f>IF(T8="","",T8)</f>
        <v/>
      </c>
      <c r="AQ8" s="841"/>
      <c r="AR8" s="841"/>
      <c r="AS8" s="1496">
        <v>0</v>
      </c>
    </row>
    <row customHeight="1" ht="0.7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8" t="s">
        <v>406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5" hidden="1">
      <c r="A11" s="1704"/>
      <c r="B11" s="1704"/>
      <c r="C11" s="1704"/>
      <c r="D11" s="1704"/>
      <c r="E11" s="2600"/>
      <c r="F11" s="2600"/>
      <c r="G11" s="2600"/>
      <c r="H11" s="2600"/>
      <c r="I11" s="2597"/>
      <c r="J11" s="1704"/>
      <c r="K11" s="1704"/>
      <c r="L11" s="1705"/>
      <c r="M11" s="878"/>
      <c r="P11" s="2598"/>
      <c r="Q11" s="1672"/>
      <c r="R11" s="697"/>
      <c r="S11" s="1619"/>
      <c r="T11" s="706" t="s">
        <v>407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727"/>
      <c r="T12" s="1728"/>
      <c r="U12" s="1729"/>
      <c r="V12" s="1729"/>
      <c r="W12" s="1729"/>
      <c r="X12" s="1729"/>
      <c r="Y12" s="1729"/>
      <c r="Z12" s="1729"/>
      <c r="AA12" s="1729"/>
      <c r="AB12" s="1729"/>
      <c r="AC12" s="1729"/>
      <c r="AD12" s="1729"/>
      <c r="AE12" s="1729"/>
      <c r="AF12" s="1729"/>
      <c r="AG12" s="1729"/>
      <c r="AH12" s="1729"/>
      <c r="AI12" s="1729"/>
      <c r="AJ12" s="1729"/>
      <c r="AK12" s="1729"/>
      <c r="AL12" s="1729"/>
      <c r="AM12" s="1730"/>
      <c r="AO12" s="841"/>
      <c r="AP12" s="841" t="str">
        <f>IF(T12="","",T12)</f>
        <v/>
      </c>
      <c r="AQ12" s="841"/>
      <c r="AR12" s="841"/>
      <c r="AS12" s="1496">
        <v>0</v>
      </c>
    </row>
    <row s="1731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409</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1731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410</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1731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411</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AD17" s="1701"/>
      <c r="AE17" s="1701"/>
      <c r="AF17" s="1701"/>
      <c r="AG17" s="1702"/>
      <c r="AH17" s="2608"/>
      <c r="AI17" s="2609" t="s">
        <v>65</v>
      </c>
      <c r="AJ17" s="2608"/>
      <c r="AK17" s="2609" t="s">
        <v>65</v>
      </c>
      <c r="AS17" s="1496">
        <v>0</v>
      </c>
    </row>
    <row customHeight="1" ht="14.25" hidden="1">
      <c r="AD18" s="1701"/>
      <c r="AE18" s="1701"/>
      <c r="AF18" s="1701"/>
      <c r="AG18" s="669" t="str">
        <f>AH17&amp;"-"&amp;AJ17</f>
        <v>-</v>
      </c>
      <c r="AH18" s="2609"/>
      <c r="AI18" s="2609"/>
      <c r="AJ18" s="2609"/>
      <c r="AK18" s="2609"/>
      <c r="AS18" s="1496">
        <v>0</v>
      </c>
    </row>
    <row customHeight="1" ht="14.25" hidden="1">
      <c r="AK19" s="668"/>
      <c r="AS19" s="1496">
        <v>0</v>
      </c>
    </row>
    <row s="17315" customFormat="1" customHeight="1" ht="22.5" hidden="1">
      <c r="L20" s="1670"/>
      <c r="M20" s="1703"/>
      <c r="N20" s="1703"/>
      <c r="O20" s="1708" t="s">
        <v>412</v>
      </c>
      <c r="P20" s="1703"/>
      <c r="Q20" s="1712"/>
      <c r="R20" s="1712"/>
      <c r="S20" s="1070"/>
      <c r="Z20" s="1708"/>
      <c r="AB20" s="1708"/>
      <c r="AC20" s="1707"/>
      <c r="AH20" s="1708"/>
      <c r="AJ20" s="1708"/>
      <c r="AK20" s="1707"/>
      <c r="AN20" s="852"/>
      <c r="AO20" s="852"/>
      <c r="AP20" s="852"/>
      <c r="AQ20" s="852"/>
      <c r="AR20" s="852"/>
      <c r="AS20" s="1501">
        <v>0</v>
      </c>
    </row>
    <row s="17315" customFormat="1" customHeight="1" ht="14.25" hidden="1">
      <c r="L21" s="1670"/>
      <c r="M21" s="1703"/>
      <c r="N21" s="1703"/>
      <c r="O21" s="1703"/>
      <c r="P21" s="1703"/>
      <c r="Q21" s="1712"/>
      <c r="R21" s="1712"/>
      <c r="S21" s="1070"/>
      <c r="AC21" s="1707"/>
      <c r="AK21" s="1707"/>
      <c r="AN21" s="852"/>
      <c r="AO21" s="852"/>
      <c r="AP21" s="852"/>
      <c r="AQ21" s="852"/>
      <c r="AR21" s="852"/>
      <c r="AS21" s="1501">
        <v>0</v>
      </c>
    </row>
    <row s="17315" customFormat="1" customHeight="1" ht="14.25" hidden="1">
      <c r="L22" s="1670"/>
      <c r="M22" s="1703"/>
      <c r="N22" s="1703"/>
      <c r="O22" s="1705" t="s">
        <v>413</v>
      </c>
      <c r="P22" s="1703"/>
      <c r="Q22" s="1712"/>
      <c r="R22" s="1712"/>
      <c r="S22" s="1070"/>
      <c r="T22" s="1501" t="s">
        <v>414</v>
      </c>
      <c r="AA22" s="527" t="s">
        <v>415</v>
      </c>
      <c r="AC22" s="527" t="s">
        <v>416</v>
      </c>
      <c r="AD22" s="1501" t="s">
        <v>414</v>
      </c>
      <c r="AI22" s="527" t="s">
        <v>417</v>
      </c>
      <c r="AK22" s="527" t="s">
        <v>416</v>
      </c>
      <c r="AN22" s="852"/>
      <c r="AO22" s="852"/>
      <c r="AP22" s="852"/>
      <c r="AQ22" s="852"/>
      <c r="AR22" s="852"/>
      <c r="AS22" s="1501">
        <v>0</v>
      </c>
    </row>
    <row customHeight="1" ht="14.25" hidden="1">
      <c r="O23" s="1705"/>
      <c r="AS23" s="1496">
        <v>0</v>
      </c>
    </row>
    <row customHeight="1" ht="14.25" hidden="1">
      <c r="O24" s="1705"/>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63">
      <c r="Q26" s="717"/>
      <c r="R26" s="717"/>
      <c r="S26" s="25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9"/>
      <c r="U26" s="2589"/>
      <c r="V26" s="2589"/>
      <c r="W26" s="2589"/>
      <c r="X26" s="2589"/>
      <c r="Y26" s="2589"/>
      <c r="Z26" s="2589"/>
      <c r="AA26" s="2589"/>
      <c r="AB26" s="2589"/>
      <c r="AC26" s="2589"/>
      <c r="AD26" s="2589"/>
      <c r="AE26" s="2589"/>
      <c r="AF26" s="2589"/>
      <c r="AG26" s="2589"/>
      <c r="AH26" s="2589"/>
      <c r="AI26" s="2589"/>
      <c r="AJ26" s="2589"/>
      <c r="AK26" s="1584"/>
      <c r="AS26" s="1496">
        <v>60</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17442" customFormat="1" customHeight="1" ht="25.5" hidden="1">
      <c r="A29" s="1709"/>
      <c r="B29" s="1709"/>
      <c r="C29" s="1709"/>
      <c r="D29" s="1709"/>
      <c r="E29" s="1709"/>
      <c r="F29" s="1709"/>
      <c r="G29" s="1709"/>
      <c r="H29" s="1709"/>
      <c r="I29" s="1709"/>
      <c r="J29" s="1709"/>
      <c r="K29" s="1709"/>
      <c r="L29" s="1710"/>
      <c r="M29" s="1709"/>
      <c r="N29" s="1709"/>
      <c r="O29" s="1709"/>
      <c r="S29" s="2591" t="s">
        <v>41</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418</v>
      </c>
      <c r="T30" s="2591"/>
      <c r="U30" s="1713"/>
      <c r="V30" s="2605" t="str">
        <f>IF(TITLE_DATE_PR_CHANGE="",IF(TITLE_DATE_PR="","",TITLE_DATE_PR),TITLE_DATE_PR_CHANGE)</f>
        <v/>
      </c>
      <c r="W30" s="2605"/>
      <c r="X30" s="2605"/>
      <c r="Y30" s="2605"/>
      <c r="Z30" s="2605"/>
      <c r="AA30" s="2605"/>
      <c r="AB30" s="2605"/>
      <c r="AC30" s="667"/>
      <c r="AD30" s="2605" t="str">
        <f>IF(TITLE_DATE_PR_CHANGE="",IF(TITLE_DATE_PR="","",TITLE_DATE_PR),TITLE_DATE_PR_CHANGE)</f>
        <v/>
      </c>
      <c r="AE30" s="2605"/>
      <c r="AF30" s="2605"/>
      <c r="AG30" s="2605"/>
      <c r="AH30" s="2605"/>
      <c r="AI30" s="2605"/>
      <c r="AJ30" s="2605"/>
      <c r="AK30" s="667"/>
      <c r="AL30" s="667"/>
      <c r="AM30" s="621"/>
      <c r="AN30" s="709"/>
      <c r="AO30" s="709"/>
      <c r="AP30" s="709"/>
      <c r="AQ30" s="709"/>
      <c r="AR30" s="709"/>
      <c r="AS30" s="759">
        <v>0</v>
      </c>
    </row>
    <row s="17442" customFormat="1" customHeight="1" ht="18.75" hidden="1">
      <c r="A31" s="1709"/>
      <c r="B31" s="1709"/>
      <c r="C31" s="1709"/>
      <c r="D31" s="1709"/>
      <c r="E31" s="1709"/>
      <c r="F31" s="1709"/>
      <c r="G31" s="1709"/>
      <c r="H31" s="1709"/>
      <c r="I31" s="1709"/>
      <c r="J31" s="1709"/>
      <c r="K31" s="1709"/>
      <c r="L31" s="1710"/>
      <c r="M31" s="1709"/>
      <c r="N31" s="1709"/>
      <c r="O31" s="1709"/>
      <c r="S31" s="2591" t="s">
        <v>419</v>
      </c>
      <c r="T31" s="2591"/>
      <c r="U31" s="1713"/>
      <c r="V31" s="2592" t="str">
        <f>IF(TITLE_NUMBER_PR_CHANGE="",IF(TITLE_NUMBER_PR="","",TITLE_NUMBER_PR),TITLE_NUMBER_PR_CHANGE)</f>
        <v/>
      </c>
      <c r="W31" s="2592"/>
      <c r="X31" s="2592"/>
      <c r="Y31" s="2592"/>
      <c r="Z31" s="2592"/>
      <c r="AA31" s="2592"/>
      <c r="AB31" s="2592"/>
      <c r="AC31" s="667"/>
      <c r="AD31" s="2592" t="str">
        <f>IF(TITLE_NUMBER_PR_CHANGE="",IF(TITLE_NUMBER_PR="","",TITLE_NUMBER_PR),TITLE_NUMBER_PR_CHANGE)</f>
        <v/>
      </c>
      <c r="AE31" s="2592"/>
      <c r="AF31" s="2592"/>
      <c r="AG31" s="2592"/>
      <c r="AH31" s="2592"/>
      <c r="AI31" s="2592"/>
      <c r="AJ31" s="2592"/>
      <c r="AK31" s="667"/>
      <c r="AL31" s="667"/>
      <c r="AM31" s="621"/>
      <c r="AN31" s="709"/>
      <c r="AO31" s="709"/>
      <c r="AP31" s="709"/>
      <c r="AQ31" s="709"/>
      <c r="AR31" s="709"/>
      <c r="AS31" s="759">
        <v>0</v>
      </c>
    </row>
    <row s="17442" customFormat="1" customHeight="1" ht="18.75" hidden="1">
      <c r="A32" s="1709"/>
      <c r="B32" s="1709"/>
      <c r="C32" s="1709"/>
      <c r="D32" s="1709"/>
      <c r="E32" s="1709"/>
      <c r="F32" s="1709"/>
      <c r="G32" s="1709"/>
      <c r="H32" s="1709"/>
      <c r="I32" s="1709"/>
      <c r="J32" s="1709"/>
      <c r="K32" s="1709"/>
      <c r="L32" s="1710"/>
      <c r="M32" s="1709"/>
      <c r="N32" s="1709"/>
      <c r="O32" s="1709"/>
      <c r="S32" s="2591" t="s">
        <v>42</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hidden="1">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17442" customFormat="1" customHeight="1" ht="18.75" hidden="1">
      <c r="A34" s="1709"/>
      <c r="B34" s="1709"/>
      <c r="C34" s="1709"/>
      <c r="D34" s="1709"/>
      <c r="E34" s="1709"/>
      <c r="F34" s="1709"/>
      <c r="G34" s="1709"/>
      <c r="H34" s="1709"/>
      <c r="I34" s="1709"/>
      <c r="J34" s="1709"/>
      <c r="K34" s="1709"/>
      <c r="L34" s="1710"/>
      <c r="M34" s="1709"/>
      <c r="N34" s="1709"/>
      <c r="O34" s="1709"/>
      <c r="S34" s="2591" t="s">
        <v>420</v>
      </c>
      <c r="T34" s="2591"/>
      <c r="U34" s="1713"/>
      <c r="V34" s="2605" t="str">
        <f>IF(TITLE_DATE_PR_CHANGE="",IF(TITLE_DATE_PR="","",TITLE_DATE_PR),TITLE_DATE_PR_CHANGE)</f>
        <v/>
      </c>
      <c r="W34" s="2605"/>
      <c r="X34" s="2605"/>
      <c r="Y34" s="2605"/>
      <c r="Z34" s="2605"/>
      <c r="AA34" s="2605"/>
      <c r="AB34" s="2605"/>
      <c r="AC34" s="667"/>
      <c r="AD34" s="2605" t="str">
        <f>IF(TITLE_DATE_PR_CHANGE="",IF(TITLE_DATE_PR="","",TITLE_DATE_PR),TITLE_DATE_PR_CHANGE)</f>
        <v/>
      </c>
      <c r="AE34" s="2605"/>
      <c r="AF34" s="2605"/>
      <c r="AG34" s="2605"/>
      <c r="AH34" s="2605"/>
      <c r="AI34" s="2605"/>
      <c r="AJ34" s="2605"/>
      <c r="AK34" s="667"/>
      <c r="AL34" s="667"/>
      <c r="AM34" s="621"/>
      <c r="AN34" s="709"/>
      <c r="AO34" s="709"/>
      <c r="AP34" s="709"/>
      <c r="AQ34" s="709"/>
      <c r="AR34" s="709"/>
      <c r="AS34" s="759">
        <v>0</v>
      </c>
    </row>
    <row s="17442" customFormat="1" customHeight="1" ht="18.75" hidden="1">
      <c r="A35" s="1709"/>
      <c r="B35" s="1709"/>
      <c r="C35" s="1709"/>
      <c r="D35" s="1709"/>
      <c r="E35" s="1709"/>
      <c r="F35" s="1709"/>
      <c r="G35" s="1709"/>
      <c r="H35" s="1709"/>
      <c r="I35" s="1709"/>
      <c r="J35" s="1709"/>
      <c r="K35" s="1709"/>
      <c r="L35" s="1710"/>
      <c r="M35" s="1709"/>
      <c r="N35" s="1709"/>
      <c r="O35" s="1709"/>
      <c r="S35" s="2591" t="s">
        <v>421</v>
      </c>
      <c r="T35" s="2591"/>
      <c r="U35" s="1713"/>
      <c r="V35" s="2592" t="str">
        <f>IF(TITLE_NUMBER_PR_CHANGE="",IF(TITLE_NUMBER_PR="","",TITLE_NUMBER_PR),TITLE_NUMBER_PR_CHANGE)</f>
        <v/>
      </c>
      <c r="W35" s="2592"/>
      <c r="X35" s="2592"/>
      <c r="Y35" s="2592"/>
      <c r="Z35" s="2592"/>
      <c r="AA35" s="2592"/>
      <c r="AB35" s="2592"/>
      <c r="AC35" s="667"/>
      <c r="AD35" s="2592" t="str">
        <f>IF(TITLE_NUMBER_PR_CHANGE="",IF(TITLE_NUMBER_PR="","",TITLE_NUMBER_PR),TITLE_NUMBER_PR_CHANGE)</f>
        <v/>
      </c>
      <c r="AE35" s="2592"/>
      <c r="AF35" s="2592"/>
      <c r="AG35" s="2592"/>
      <c r="AH35" s="2592"/>
      <c r="AI35" s="2592"/>
      <c r="AJ35" s="2592"/>
      <c r="AK35" s="667"/>
      <c r="AL35" s="667"/>
      <c r="AM35" s="621"/>
      <c r="AN35" s="709"/>
      <c r="AO35" s="709"/>
      <c r="AP35" s="709"/>
      <c r="AQ35" s="709"/>
      <c r="AR35" s="709"/>
      <c r="AS35" s="759">
        <v>0</v>
      </c>
    </row>
    <row s="1744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422</v>
      </c>
      <c r="AD36" s="667"/>
      <c r="AE36" s="667"/>
      <c r="AF36" s="667"/>
      <c r="AG36" s="667"/>
      <c r="AH36" s="667"/>
      <c r="AI36" s="667"/>
      <c r="AJ36" s="667"/>
      <c r="AK36" s="619" t="s">
        <v>422</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295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296</v>
      </c>
      <c r="AS38" s="1496">
        <v>14</v>
      </c>
    </row>
    <row customHeight="1" ht="14.699999999999998">
      <c r="Q39" s="717"/>
      <c r="R39" s="717"/>
      <c r="S39" s="2614" t="s">
        <v>88</v>
      </c>
      <c r="T39" s="2550" t="s">
        <v>423</v>
      </c>
      <c r="U39" s="642"/>
      <c r="V39" s="2615" t="s">
        <v>424</v>
      </c>
      <c r="W39" s="2616"/>
      <c r="X39" s="2616"/>
      <c r="Y39" s="2616"/>
      <c r="Z39" s="2616"/>
      <c r="AA39" s="2616"/>
      <c r="AB39" s="2617"/>
      <c r="AC39" s="2618" t="s">
        <v>425</v>
      </c>
      <c r="AD39" s="2615" t="s">
        <v>424</v>
      </c>
      <c r="AE39" s="2616"/>
      <c r="AF39" s="2616"/>
      <c r="AG39" s="2616"/>
      <c r="AH39" s="2616"/>
      <c r="AI39" s="2616"/>
      <c r="AJ39" s="2617"/>
      <c r="AK39" s="2618" t="s">
        <v>426</v>
      </c>
      <c r="AL39" s="2621" t="s">
        <v>427</v>
      </c>
      <c r="AM39" s="2468"/>
      <c r="AS39" s="1496">
        <v>14</v>
      </c>
    </row>
    <row customHeight="1" ht="35.699999999999996">
      <c r="Q40" s="717"/>
      <c r="R40" s="717"/>
      <c r="S40" s="2614"/>
      <c r="T40" s="2550"/>
      <c r="U40" s="1372"/>
      <c r="V40" s="2601" t="s">
        <v>428</v>
      </c>
      <c r="W40" s="2624"/>
      <c r="X40" s="2603" t="s">
        <v>430</v>
      </c>
      <c r="Y40" s="2604"/>
      <c r="Z40" s="2603" t="s">
        <v>431</v>
      </c>
      <c r="AA40" s="2610"/>
      <c r="AB40" s="2604"/>
      <c r="AC40" s="2619"/>
      <c r="AD40" s="2601" t="s">
        <v>445</v>
      </c>
      <c r="AE40" s="2624"/>
      <c r="AF40" s="2603" t="s">
        <v>430</v>
      </c>
      <c r="AG40" s="2604"/>
      <c r="AH40" s="2603" t="s">
        <v>431</v>
      </c>
      <c r="AI40" s="2610"/>
      <c r="AJ40" s="2604"/>
      <c r="AK40" s="2619"/>
      <c r="AL40" s="2622"/>
      <c r="AM40" s="2468"/>
      <c r="AS40" s="1496">
        <v>34</v>
      </c>
    </row>
    <row customHeight="1" ht="35.699999999999996">
      <c r="A41" s="1711"/>
      <c r="B41" s="1711" t="s">
        <v>132</v>
      </c>
      <c r="C41" s="1711" t="s">
        <v>133</v>
      </c>
      <c r="D41" s="1711" t="s">
        <v>134</v>
      </c>
      <c r="E41" s="1705" t="s">
        <v>432</v>
      </c>
      <c r="F41" s="1705" t="s">
        <v>433</v>
      </c>
      <c r="G41" s="1705" t="s">
        <v>434</v>
      </c>
      <c r="H41" s="1705" t="s">
        <v>435</v>
      </c>
      <c r="I41" s="1705" t="s">
        <v>436</v>
      </c>
      <c r="J41" s="1705" t="s">
        <v>437</v>
      </c>
      <c r="K41" s="1705" t="s">
        <v>438</v>
      </c>
      <c r="L41" s="1705" t="s">
        <v>413</v>
      </c>
      <c r="Q41" s="717"/>
      <c r="R41" s="717"/>
      <c r="S41" s="2614"/>
      <c r="T41" s="2550"/>
      <c r="U41" s="643"/>
      <c r="V41" s="2602"/>
      <c r="W41" s="2625"/>
      <c r="X41" s="1563" t="s">
        <v>439</v>
      </c>
      <c r="Y41" s="1563" t="s">
        <v>440</v>
      </c>
      <c r="Z41" s="1679" t="s">
        <v>441</v>
      </c>
      <c r="AA41" s="2611" t="s">
        <v>442</v>
      </c>
      <c r="AB41" s="2612"/>
      <c r="AC41" s="2620"/>
      <c r="AD41" s="2602"/>
      <c r="AE41" s="2625"/>
      <c r="AF41" s="1563" t="s">
        <v>439</v>
      </c>
      <c r="AG41" s="1563" t="s">
        <v>440</v>
      </c>
      <c r="AH41" s="1679" t="s">
        <v>441</v>
      </c>
      <c r="AI41" s="2611" t="s">
        <v>442</v>
      </c>
      <c r="AJ41" s="2612"/>
      <c r="AK41" s="2620"/>
      <c r="AL41" s="2623"/>
      <c r="AM41" s="2468"/>
      <c r="AS41" s="1496">
        <v>34</v>
      </c>
    </row>
    <row s="17832"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106</v>
      </c>
      <c r="T42" s="1596" t="s">
        <v>107</v>
      </c>
      <c r="U42" s="1586" t="str">
        <f>OFFSET(U42,0,-1)</f>
        <v>2</v>
      </c>
      <c r="V42" s="1676">
        <f>OFFSET(V42,0,-1)+1</f>
        <v>3</v>
      </c>
      <c r="W42" s="1676"/>
      <c r="X42" s="1676">
        <f>OFFSET(X42,0,-1)+1</f>
        <v>1</v>
      </c>
      <c r="Y42" s="1676">
        <f>OFFSET(Y42,0,-1)+1</f>
        <v>2</v>
      </c>
      <c r="Z42" s="1676">
        <f>OFFSET(Z42,0,-1)+1</f>
        <v>3</v>
      </c>
      <c r="AA42" s="2613">
        <f>OFFSET(AA42,0,-1)+1</f>
        <v>4</v>
      </c>
      <c r="AB42" s="2613"/>
      <c r="AC42" s="1676">
        <f>OFFSET(AC42,0,-2)+1</f>
        <v>5</v>
      </c>
      <c r="AD42" s="1676">
        <f>OFFSET(AD42,0,-1)+1</f>
        <v>6</v>
      </c>
      <c r="AE42" s="1676"/>
      <c r="AF42" s="1676">
        <f>OFFSET(AF42,0,-1)+1</f>
        <v>1</v>
      </c>
      <c r="AG42" s="1676">
        <f>OFFSET(AG42,0,-1)+1</f>
        <v>2</v>
      </c>
      <c r="AH42" s="1676">
        <f>OFFSET(AH42,0,-1)+1</f>
        <v>3</v>
      </c>
      <c r="AI42" s="2613">
        <f>OFFSET(AI42,0,-1)+1</f>
        <v>4</v>
      </c>
      <c r="AJ42" s="2613"/>
      <c r="AK42" s="1676">
        <f>OFFSET(AK42,0,-2)+1</f>
        <v>5</v>
      </c>
      <c r="AL42" s="1586">
        <f>OFFSET(AL42,0,-1)</f>
        <v>5</v>
      </c>
      <c r="AM42" s="1676">
        <f>OFFSET(AM42,0,-1)+1</f>
        <v>6</v>
      </c>
      <c r="AN42" s="852"/>
      <c r="AO42" s="852"/>
      <c r="AP42" s="852"/>
      <c r="AQ42" s="852"/>
      <c r="AR42" s="852"/>
      <c r="AS42" s="837">
        <v>0</v>
      </c>
    </row>
    <row customHeight="1" ht="22.049999999999997">
      <c r="A43" s="1704" t="s">
        <v>165</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0</v>
      </c>
      <c r="T43" s="639" t="s">
        <v>120</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21</v>
      </c>
    </row>
    <row customHeight="1" ht="22.049999999999997">
      <c r="A44" s="1704" t="s">
        <v>165</v>
      </c>
      <c r="B44" s="1704" t="s">
        <v>166</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v>
      </c>
      <c r="T44" s="649" t="s">
        <v>392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393</v>
      </c>
      <c r="AO44" s="841"/>
      <c r="AP44" s="841" t="str">
        <f>IF(T44="","",T44)</f>
        <v>Территория действия тарифа</v>
      </c>
      <c r="AQ44" s="841"/>
      <c r="AR44" s="841"/>
      <c r="AS44" s="1496">
        <v>21</v>
      </c>
    </row>
    <row customHeight="1" ht="24">
      <c r="A45" s="1704" t="s">
        <v>165</v>
      </c>
      <c r="B45" s="1704" t="s">
        <v>166</v>
      </c>
      <c r="C45" s="1704" t="s">
        <v>167</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v>
      </c>
      <c r="T45" s="650" t="s">
        <v>394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395</v>
      </c>
      <c r="AO45" s="841"/>
      <c r="AP45" s="841" t="str">
        <f>IF(T45="","",T45)</f>
        <v>Наименование системы теплоснабжения </v>
      </c>
      <c r="AQ45" s="841"/>
      <c r="AR45" s="841"/>
      <c r="AS45" s="1496">
        <v>23</v>
      </c>
    </row>
    <row customHeight="1" ht="22.049999999999997">
      <c r="A46" s="1704" t="s">
        <v>165</v>
      </c>
      <c r="B46" s="1704" t="s">
        <v>166</v>
      </c>
      <c r="C46" s="1704" t="s">
        <v>167</v>
      </c>
      <c r="D46" s="1704" t="s">
        <v>168</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v>
      </c>
      <c r="T46" s="651" t="s">
        <v>396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397</v>
      </c>
      <c r="AO46" s="841"/>
      <c r="AP46" s="841" t="str">
        <f>IF(T46="","",T46)</f>
        <v>Источник тепловой энергии  </v>
      </c>
      <c r="AQ46" s="841"/>
      <c r="AR46" s="841"/>
      <c r="AS46" s="1496">
        <v>21</v>
      </c>
    </row>
    <row s="17316" customFormat="1" customHeight="1" ht="0">
      <c r="A47" s="1684" t="s">
        <v>165</v>
      </c>
      <c r="B47" s="1684" t="s">
        <v>166</v>
      </c>
      <c r="C47" s="1684" t="s">
        <v>167</v>
      </c>
      <c r="D47" s="1684" t="s">
        <v>168</v>
      </c>
      <c r="E47" s="2600"/>
      <c r="F47" s="2600"/>
      <c r="G47" s="2600"/>
      <c r="H47" s="2600"/>
      <c r="I47" s="2597" t="str">
        <f>S46&amp;".1"</f>
        <v>....1</v>
      </c>
      <c r="J47" s="1684"/>
      <c r="K47" s="1684"/>
      <c r="L47" s="1687" t="s">
        <v>398</v>
      </c>
      <c r="M47" s="851"/>
      <c r="N47" s="851"/>
      <c r="O47" s="851"/>
      <c r="P47" s="2598">
        <v>1</v>
      </c>
      <c r="Q47" s="1672"/>
      <c r="R47" s="697"/>
      <c r="S47" s="1383"/>
      <c r="T47" s="1724"/>
      <c r="U47" s="1725"/>
      <c r="V47" s="2637"/>
      <c r="W47" s="2638"/>
      <c r="X47" s="2638"/>
      <c r="Y47" s="2638"/>
      <c r="Z47" s="2638"/>
      <c r="AA47" s="2638"/>
      <c r="AB47" s="2638"/>
      <c r="AC47" s="2639"/>
      <c r="AD47" s="2637"/>
      <c r="AE47" s="2638"/>
      <c r="AF47" s="2638"/>
      <c r="AG47" s="2638"/>
      <c r="AH47" s="2638"/>
      <c r="AI47" s="2638"/>
      <c r="AJ47" s="2638"/>
      <c r="AK47" s="2638"/>
      <c r="AL47" s="2639"/>
      <c r="AM47" s="1726"/>
      <c r="AO47" s="841"/>
      <c r="AP47" s="841" t="str">
        <f>IF(T47="","",T47)</f>
        <v/>
      </c>
      <c r="AQ47" s="841"/>
      <c r="AR47" s="841"/>
      <c r="AS47" s="852">
        <v>0</v>
      </c>
    </row>
    <row customHeight="1" ht="22.049999999999997">
      <c r="A48" s="1704" t="s">
        <v>165</v>
      </c>
      <c r="B48" s="1704" t="s">
        <v>166</v>
      </c>
      <c r="C48" s="1704" t="s">
        <v>167</v>
      </c>
      <c r="D48" s="1704" t="s">
        <v>168</v>
      </c>
      <c r="E48" s="2600"/>
      <c r="F48" s="2600"/>
      <c r="G48" s="2600"/>
      <c r="H48" s="2600"/>
      <c r="I48" s="2627"/>
      <c r="J48" s="2597" t="str">
        <f>S46&amp;".1"</f>
        <v>....1</v>
      </c>
      <c r="K48" s="1704"/>
      <c r="L48" s="1705" t="s">
        <v>401</v>
      </c>
      <c r="P48" s="2598"/>
      <c r="Q48" s="2598">
        <v>1</v>
      </c>
      <c r="R48" s="698"/>
      <c r="S48" s="1677" t="str">
        <f>$J48</f>
        <v>....1</v>
      </c>
      <c r="T48" s="627" t="s">
        <v>402</v>
      </c>
      <c r="U48" s="641"/>
      <c r="V48" s="2586"/>
      <c r="W48" s="2587"/>
      <c r="X48" s="2587"/>
      <c r="Y48" s="2587"/>
      <c r="Z48" s="2587"/>
      <c r="AA48" s="2587"/>
      <c r="AB48" s="2587"/>
      <c r="AC48" s="2588"/>
      <c r="AD48" s="2586"/>
      <c r="AE48" s="2587"/>
      <c r="AF48" s="2587"/>
      <c r="AG48" s="2587"/>
      <c r="AH48" s="2587"/>
      <c r="AI48" s="2587"/>
      <c r="AJ48" s="2587"/>
      <c r="AK48" s="2587"/>
      <c r="AL48" s="2588"/>
      <c r="AM48" s="1599" t="s">
        <v>403</v>
      </c>
      <c r="AO48" s="841"/>
      <c r="AP48" s="841" t="str">
        <f>IF(T48="","",T48)</f>
        <v>Группа потребителей</v>
      </c>
      <c r="AQ48" s="841"/>
      <c r="AR48" s="841"/>
      <c r="AS48" s="1496">
        <v>21</v>
      </c>
    </row>
    <row customHeight="1" ht="22.049999999999997">
      <c r="A49" s="1704" t="s">
        <v>165</v>
      </c>
      <c r="B49" s="1704" t="s">
        <v>166</v>
      </c>
      <c r="C49" s="1704" t="s">
        <v>167</v>
      </c>
      <c r="D49" s="1704" t="s">
        <v>168</v>
      </c>
      <c r="E49" s="2600"/>
      <c r="F49" s="2600"/>
      <c r="G49" s="2600"/>
      <c r="H49" s="2600"/>
      <c r="I49" s="2627"/>
      <c r="J49" s="2627"/>
      <c r="K49" s="2597" t="str">
        <f>J48&amp;".1"</f>
        <v>....1.1</v>
      </c>
      <c r="L49" s="1705" t="s">
        <v>404</v>
      </c>
      <c r="P49" s="2598"/>
      <c r="Q49" s="2598"/>
      <c r="R49" s="698">
        <v>1</v>
      </c>
      <c r="S49" s="1677" t="str">
        <f>$K49</f>
        <v>....1.1</v>
      </c>
      <c r="T49" s="1688"/>
      <c r="U49" s="641"/>
      <c r="V49" s="1092"/>
      <c r="W49" s="666"/>
      <c r="X49" s="1092"/>
      <c r="Y49" s="1598"/>
      <c r="Z49" s="2606"/>
      <c r="AA49" s="2448" t="s">
        <v>65</v>
      </c>
      <c r="AB49" s="2606"/>
      <c r="AC49" s="2448" t="s">
        <v>65</v>
      </c>
      <c r="AD49" s="1092"/>
      <c r="AE49" s="666"/>
      <c r="AF49" s="1092"/>
      <c r="AG49" s="1598"/>
      <c r="AH49" s="2606"/>
      <c r="AI49" s="2448" t="s">
        <v>65</v>
      </c>
      <c r="AJ49" s="2628"/>
      <c r="AK49" s="2448" t="s">
        <v>65</v>
      </c>
      <c r="AL49" s="1689"/>
      <c r="AM49" s="2594" t="s">
        <v>446</v>
      </c>
      <c r="AN49" s="852">
        <f>STRCHECKDATE(V50:AL50)</f>
      </c>
      <c r="AO49" s="841"/>
      <c r="AP49" s="841" t="str">
        <f>IF(T49="","",T49)</f>
        <v/>
      </c>
      <c r="AQ49" s="841"/>
      <c r="AR49" s="841"/>
      <c r="AS49" s="1496">
        <v>21</v>
      </c>
    </row>
    <row customHeight="1" ht="1.05">
      <c r="A50" s="1704" t="s">
        <v>165</v>
      </c>
      <c r="B50" s="1704" t="s">
        <v>166</v>
      </c>
      <c r="C50" s="1704" t="s">
        <v>167</v>
      </c>
      <c r="D50" s="1704" t="s">
        <v>168</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1</v>
      </c>
    </row>
    <row customHeight="1" ht="11.549999999999999">
      <c r="A51" s="1704" t="s">
        <v>165</v>
      </c>
      <c r="B51" s="1704" t="s">
        <v>166</v>
      </c>
      <c r="C51" s="1704" t="s">
        <v>167</v>
      </c>
      <c r="D51" s="1704" t="s">
        <v>168</v>
      </c>
      <c r="E51" s="2600"/>
      <c r="F51" s="2600"/>
      <c r="G51" s="2600"/>
      <c r="H51" s="2600"/>
      <c r="I51" s="2627"/>
      <c r="J51" s="2597"/>
      <c r="K51" s="1704"/>
      <c r="L51" s="1705"/>
      <c r="P51" s="2598"/>
      <c r="Q51" s="2598"/>
      <c r="R51" s="697"/>
      <c r="S51" s="1619"/>
      <c r="T51" s="628" t="s">
        <v>406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165</v>
      </c>
      <c r="B52" s="1704" t="s">
        <v>166</v>
      </c>
      <c r="C52" s="1704" t="s">
        <v>167</v>
      </c>
      <c r="D52" s="1704" t="s">
        <v>168</v>
      </c>
      <c r="E52" s="2600"/>
      <c r="F52" s="2600"/>
      <c r="G52" s="2600"/>
      <c r="H52" s="2600"/>
      <c r="I52" s="2597"/>
      <c r="J52" s="1704"/>
      <c r="K52" s="1704"/>
      <c r="L52" s="1705"/>
      <c r="P52" s="2598"/>
      <c r="Q52" s="1672"/>
      <c r="R52" s="697"/>
      <c r="S52" s="1619"/>
      <c r="T52" s="706" t="s">
        <v>407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0">
      <c r="A53" s="1704" t="s">
        <v>165</v>
      </c>
      <c r="B53" s="1704" t="s">
        <v>166</v>
      </c>
      <c r="C53" s="1704" t="s">
        <v>167</v>
      </c>
      <c r="D53" s="1704" t="s">
        <v>168</v>
      </c>
      <c r="E53" s="2600"/>
      <c r="F53" s="2600"/>
      <c r="G53" s="2600"/>
      <c r="H53" s="2599"/>
      <c r="I53" s="1704"/>
      <c r="J53" s="1704"/>
      <c r="K53" s="1704"/>
      <c r="L53" s="1705"/>
      <c r="M53" s="1706"/>
      <c r="N53" s="1706"/>
      <c r="O53" s="878"/>
      <c r="P53" s="701"/>
      <c r="Q53" s="716"/>
      <c r="R53" s="696"/>
      <c r="S53" s="1727"/>
      <c r="T53" s="1728"/>
      <c r="U53" s="1729"/>
      <c r="V53" s="1729"/>
      <c r="W53" s="1729"/>
      <c r="X53" s="1729"/>
      <c r="Y53" s="1729"/>
      <c r="Z53" s="1729"/>
      <c r="AA53" s="1729"/>
      <c r="AB53" s="1729"/>
      <c r="AC53" s="1729"/>
      <c r="AD53" s="1729"/>
      <c r="AE53" s="1729"/>
      <c r="AF53" s="1729"/>
      <c r="AG53" s="1729"/>
      <c r="AH53" s="1729"/>
      <c r="AI53" s="1729"/>
      <c r="AJ53" s="1729"/>
      <c r="AK53" s="1729"/>
      <c r="AL53" s="1729"/>
      <c r="AM53" s="1730"/>
      <c r="AO53" s="841"/>
      <c r="AP53" s="841" t="str">
        <f>IF(T53="","",T53)</f>
        <v/>
      </c>
      <c r="AQ53" s="841"/>
      <c r="AR53" s="841"/>
      <c r="AS53" s="1496">
        <v>0</v>
      </c>
    </row>
    <row s="17316" customFormat="1" customHeight="1" ht="1.05">
      <c r="A54" s="1684" t="s">
        <v>165</v>
      </c>
      <c r="B54" s="1684" t="s">
        <v>166</v>
      </c>
      <c r="C54" s="1684" t="s">
        <v>167</v>
      </c>
      <c r="D54" s="1655"/>
      <c r="E54" s="2600"/>
      <c r="F54" s="2600"/>
      <c r="G54" s="2599"/>
      <c r="H54" s="1655"/>
      <c r="I54" s="1655"/>
      <c r="J54" s="1655"/>
      <c r="K54" s="1655"/>
      <c r="L54" s="1680"/>
      <c r="M54" s="1656"/>
      <c r="N54" s="1656"/>
      <c r="P54" s="1657"/>
      <c r="Q54" s="1658"/>
      <c r="R54" s="1657"/>
      <c r="S54" s="1663"/>
      <c r="T54" s="1666" t="s">
        <v>409</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1</v>
      </c>
    </row>
    <row s="17316" customFormat="1" customHeight="1" ht="1.05">
      <c r="A55" s="1684" t="s">
        <v>165</v>
      </c>
      <c r="B55" s="1684" t="s">
        <v>166</v>
      </c>
      <c r="C55" s="1655"/>
      <c r="D55" s="1655"/>
      <c r="E55" s="2600"/>
      <c r="F55" s="2599"/>
      <c r="G55" s="1655"/>
      <c r="H55" s="1655"/>
      <c r="I55" s="1655"/>
      <c r="J55" s="1655"/>
      <c r="K55" s="1655"/>
      <c r="L55" s="1680"/>
      <c r="M55" s="1662"/>
      <c r="N55" s="1662"/>
      <c r="P55" s="1657"/>
      <c r="Q55" s="1658"/>
      <c r="R55" s="1657"/>
      <c r="S55" s="1663"/>
      <c r="T55" s="1666" t="s">
        <v>410</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1</v>
      </c>
    </row>
    <row s="17316" customFormat="1" customHeight="1" ht="1.05">
      <c r="A56" s="1684" t="s">
        <v>165</v>
      </c>
      <c r="B56" s="1684"/>
      <c r="C56" s="1684"/>
      <c r="D56" s="1684"/>
      <c r="E56" s="2599"/>
      <c r="F56" s="1684"/>
      <c r="G56" s="1684"/>
      <c r="H56" s="1684"/>
      <c r="I56" s="1684"/>
      <c r="J56" s="1684"/>
      <c r="K56" s="1684"/>
      <c r="L56" s="1687"/>
      <c r="M56" s="1662"/>
      <c r="N56" s="1662"/>
      <c r="O56" s="859"/>
      <c r="P56" s="721"/>
      <c r="Q56" s="1685"/>
      <c r="R56" s="721"/>
      <c r="S56" s="1663"/>
      <c r="T56" s="1666" t="s">
        <v>411</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1</v>
      </c>
    </row>
    <row s="17316" customFormat="1" customHeight="1" ht="1.05">
      <c r="A57" s="1655"/>
      <c r="B57" s="1655"/>
      <c r="C57" s="1655"/>
      <c r="D57" s="1655"/>
      <c r="E57" s="1684"/>
      <c r="F57" s="1655"/>
      <c r="G57" s="1655"/>
      <c r="H57" s="1655"/>
      <c r="I57" s="1655"/>
      <c r="J57" s="1655"/>
      <c r="K57" s="1655"/>
      <c r="L57" s="1680"/>
      <c r="M57" s="1662"/>
      <c r="N57" s="1662"/>
      <c r="P57" s="1657"/>
      <c r="Q57" s="1658"/>
      <c r="R57" s="1657"/>
      <c r="S57" s="1663"/>
      <c r="T57" s="1666" t="s">
        <v>443</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1</v>
      </c>
    </row>
    <row customHeight="1" ht="11.549999999999999">
      <c r="M58" s="1501"/>
      <c r="N58" s="1501"/>
      <c r="O58" s="878"/>
      <c r="P58" s="1496"/>
      <c r="Q58" s="1496"/>
      <c r="R58" s="1496"/>
      <c r="S58" s="1496"/>
      <c r="AN58" s="1496"/>
      <c r="AO58" s="1496"/>
      <c r="AP58" s="1496"/>
      <c r="AQ58" s="1496"/>
      <c r="AR58" s="1496"/>
      <c r="AS58" s="1496">
        <v>11</v>
      </c>
    </row>
    <row customHeight="1" ht="19.95">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19</v>
      </c>
    </row>
    <row customHeight="1" ht="29.25">
      <c r="O60" s="878"/>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28</v>
      </c>
    </row>
    <row customHeight="1" ht="42">
      <c r="O61" s="878"/>
      <c r="T61" s="2626"/>
      <c r="U61" s="2626"/>
      <c r="V61" s="2626"/>
      <c r="W61" s="2626"/>
      <c r="X61" s="2626"/>
      <c r="Y61" s="2626"/>
      <c r="Z61" s="2626"/>
      <c r="AA61" s="2626"/>
      <c r="AB61" s="2626"/>
      <c r="AC61" s="2626"/>
      <c r="AD61" s="2626"/>
      <c r="AE61" s="2626"/>
      <c r="AF61" s="2626"/>
      <c r="AG61" s="2626"/>
      <c r="AH61" s="2626"/>
      <c r="AI61" s="2626"/>
      <c r="AJ61" s="2626"/>
      <c r="AK61" s="2626"/>
      <c r="AL61" s="2626"/>
      <c r="AM61" s="2626"/>
      <c r="AS61" s="1496">
        <v>40</v>
      </c>
    </row>
    <row customHeight="1" ht="14.699999999999998">
      <c r="O62" s="878"/>
      <c r="AS62" s="1496">
        <v>14</v>
      </c>
    </row>
    <row customHeight="1" ht="21">
      <c r="O63" s="878"/>
      <c r="S63" s="1594"/>
      <c r="T63" s="2640"/>
      <c r="U63" s="2626"/>
      <c r="V63" s="2626"/>
      <c r="W63" s="2626"/>
      <c r="X63" s="2626"/>
      <c r="Y63" s="2626"/>
      <c r="Z63" s="2626"/>
      <c r="AA63" s="2626"/>
      <c r="AB63" s="2626"/>
      <c r="AC63" s="2626"/>
      <c r="AD63" s="2626"/>
      <c r="AE63" s="2626"/>
      <c r="AF63" s="2626"/>
      <c r="AG63" s="2626"/>
      <c r="AH63" s="2626"/>
      <c r="AI63" s="2626"/>
      <c r="AJ63" s="2626"/>
      <c r="AK63" s="2626"/>
      <c r="AL63" s="2626"/>
      <c r="AM63" s="2626"/>
      <c r="AS63" s="1496">
        <v>20</v>
      </c>
    </row>
    <row customHeight="1" ht="29.25">
      <c r="O64" s="878"/>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28</v>
      </c>
    </row>
    <row customHeight="1" ht="35.699999999999996">
      <c r="T65" s="2626"/>
      <c r="U65" s="2626"/>
      <c r="V65" s="2626"/>
      <c r="W65" s="2626"/>
      <c r="X65" s="2626"/>
      <c r="Y65" s="2626"/>
      <c r="Z65" s="2626"/>
      <c r="AA65" s="2626"/>
      <c r="AB65" s="2626"/>
      <c r="AC65" s="2626"/>
      <c r="AD65" s="2626"/>
      <c r="AE65" s="2626"/>
      <c r="AF65" s="2626"/>
      <c r="AG65" s="2626"/>
      <c r="AH65" s="2626"/>
      <c r="AI65" s="2626"/>
      <c r="AJ65" s="2626"/>
      <c r="AK65" s="2626"/>
      <c r="AL65" s="2626"/>
      <c r="AM65" s="2626"/>
      <c r="AS65" s="1496">
        <v>34</v>
      </c>
    </row>
    <row customHeight="1" ht="22.5" hidden="1">
      <c r="A66" s="1501" t="s">
        <v>82</v>
      </c>
      <c r="B66" s="1501">
        <v>0</v>
      </c>
      <c r="C66" s="1501">
        <v>0</v>
      </c>
      <c r="D66" s="1501">
        <v>0</v>
      </c>
      <c r="E66" s="1501">
        <v>0</v>
      </c>
      <c r="F66" s="1501">
        <v>0</v>
      </c>
      <c r="G66" s="1501">
        <v>0</v>
      </c>
      <c r="H66" s="1501">
        <v>0</v>
      </c>
      <c r="I66" s="1501">
        <v>0</v>
      </c>
      <c r="J66" s="1501">
        <v>0</v>
      </c>
      <c r="K66" s="1501">
        <v>0</v>
      </c>
      <c r="L66" s="1670">
        <v>0</v>
      </c>
      <c r="M66" s="1703">
        <v>0</v>
      </c>
      <c r="N66" s="1703">
        <v>0</v>
      </c>
      <c r="O66" s="1703">
        <v>0</v>
      </c>
      <c r="P66" s="1669">
        <v>0</v>
      </c>
      <c r="Q66" s="685">
        <v>3</v>
      </c>
      <c r="R66" s="685">
        <v>3</v>
      </c>
      <c r="S66" s="922">
        <v>12</v>
      </c>
      <c r="T66" s="1496">
        <v>31</v>
      </c>
      <c r="U66" s="1496">
        <v>0</v>
      </c>
      <c r="V66" s="1496">
        <v>0</v>
      </c>
      <c r="W66" s="1496">
        <v>0</v>
      </c>
      <c r="X66" s="1496">
        <v>0</v>
      </c>
      <c r="Y66" s="1496">
        <v>0</v>
      </c>
      <c r="Z66" s="1496">
        <v>0</v>
      </c>
      <c r="AA66" s="1496">
        <v>0</v>
      </c>
      <c r="AB66" s="1496">
        <v>0</v>
      </c>
      <c r="AC66" s="1496">
        <v>0</v>
      </c>
      <c r="AD66" s="1496">
        <v>24</v>
      </c>
      <c r="AE66" s="1496">
        <v>0</v>
      </c>
      <c r="AF66" s="1496">
        <v>24</v>
      </c>
      <c r="AG66" s="1496">
        <v>24</v>
      </c>
      <c r="AH66" s="1496">
        <v>11</v>
      </c>
      <c r="AI66" s="1496">
        <v>3</v>
      </c>
      <c r="AJ66" s="1496">
        <v>11</v>
      </c>
      <c r="AK66" s="1496">
        <v>0</v>
      </c>
      <c r="AL66" s="1496">
        <v>4</v>
      </c>
      <c r="AM66" s="1496">
        <v>115</v>
      </c>
      <c r="AN66" s="852">
        <v>10</v>
      </c>
      <c r="AO66" s="852">
        <v>10</v>
      </c>
      <c r="AP66" s="852">
        <v>10</v>
      </c>
      <c r="AQ66" s="852">
        <v>10</v>
      </c>
      <c r="AR66" s="852">
        <v>10</v>
      </c>
      <c r="AS66" s="1496">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ECDEA8-72C3-08EF-AD0A-1E05BACBB97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8" width="3.7109375" hidden="1" customWidth="1"/>
    <col min="17" max="18" style="18079" width="3.00390625" customWidth="1"/>
    <col min="19" max="19" style="18080" width="12.00390625" customWidth="1"/>
    <col min="20" max="20" style="17239" width="31.00390625" customWidth="1"/>
    <col min="21" max="21" style="17239" width="0.140625" customWidth="1"/>
    <col min="22" max="22" style="17239" width="24.7109375" hidden="1" customWidth="1"/>
    <col min="23" max="23" style="17239" width="0.140625" hidden="1" customWidth="1"/>
    <col min="24" max="25" style="17239" width="24.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24.7109375" customWidth="1"/>
    <col min="31" max="31" style="17239" width="0.140625" customWidth="1"/>
    <col min="32" max="33" style="17239" width="24.00390625" customWidth="1"/>
    <col min="34" max="34" style="17239" width="11.00390625" customWidth="1"/>
    <col min="35" max="35" style="17239" width="3.7109375" customWidth="1"/>
    <col min="36" max="36" style="17239" width="11.00390625" customWidth="1"/>
    <col min="37" max="37" style="17239" width="8.57421875" hidden="1" customWidth="1"/>
    <col min="38" max="38" style="17239" width="4.00390625" customWidth="1"/>
    <col min="39" max="39" style="17239" width="115.00390625" customWidth="1"/>
    <col min="40" max="44" style="17316" width="10.00390625" customWidth="1"/>
    <col min="45" max="45" style="17239" width="10.57421875" hidden="1"/>
  </cols>
  <sheetData>
    <row customHeight="1" ht="22.5" hidden="1">
      <c r="A1" s="2212"/>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120</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391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392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393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2349">
        <f>INDEX(PT_DIFFERENTIATION_NUM_CS,MATCH(C4,PT_DIFFERENTIATION_CS_ID,0))</f>
      </c>
      <c r="T4" s="2353" t="s">
        <v>394</v>
      </c>
      <c r="U4" s="2354"/>
      <c r="V4" s="2641"/>
      <c r="W4" s="2642"/>
      <c r="X4" s="2642"/>
      <c r="Y4" s="2642"/>
      <c r="Z4" s="2642"/>
      <c r="AA4" s="2642"/>
      <c r="AB4" s="2642"/>
      <c r="AC4" s="2643"/>
      <c r="AD4" s="2641">
        <f>INDEX(PT_DIFFERENTIATION_CS,MATCH(C4,PT_DIFFERENTIATION_CS_ID,0))</f>
      </c>
      <c r="AE4" s="2642"/>
      <c r="AF4" s="2642"/>
      <c r="AG4" s="2642"/>
      <c r="AH4" s="2642"/>
      <c r="AI4" s="2642"/>
      <c r="AJ4" s="2642"/>
      <c r="AK4" s="2642"/>
      <c r="AL4" s="2643"/>
      <c r="AM4" s="1599" t="s">
        <v>395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1976"/>
      <c r="S5" s="2348">
        <f>INDEX(PT_DIFFERENTIATION_NUM_IST_TE,MATCH(D5,PT_DIFFERENTIATION_IST_TE_ID,0))</f>
      </c>
      <c r="T5" s="651" t="s">
        <v>396</v>
      </c>
      <c r="U5" s="641"/>
      <c r="V5" s="2644"/>
      <c r="W5" s="2644"/>
      <c r="X5" s="2644"/>
      <c r="Y5" s="2644"/>
      <c r="Z5" s="2644"/>
      <c r="AA5" s="2644"/>
      <c r="AB5" s="2644"/>
      <c r="AC5" s="2644"/>
      <c r="AD5" s="2644">
        <f>INDEX(PT_DIFFERENTIATION_IST_TE,MATCH(D5,PT_DIFFERENTIATION_IST_TE_ID,0))</f>
      </c>
      <c r="AE5" s="2644"/>
      <c r="AF5" s="2644"/>
      <c r="AG5" s="2644"/>
      <c r="AH5" s="2644"/>
      <c r="AI5" s="2644"/>
      <c r="AJ5" s="2644"/>
      <c r="AK5" s="2644"/>
      <c r="AL5" s="2644"/>
      <c r="AM5" s="2351" t="s">
        <v>397</v>
      </c>
      <c r="AO5" s="841"/>
      <c r="AP5" s="841" t="str">
        <f>IF(T5="","",T5)</f>
        <v>Источник тепловой энергии  </v>
      </c>
      <c r="AQ5" s="841"/>
      <c r="AR5" s="841"/>
      <c r="AS5" s="1496">
        <v>0</v>
      </c>
    </row>
    <row customHeight="1" ht="0.75" hidden="1">
      <c r="A6" s="1704"/>
      <c r="B6" s="1704"/>
      <c r="C6" s="1704"/>
      <c r="D6" s="1704"/>
      <c r="E6" s="2600"/>
      <c r="F6" s="2600"/>
      <c r="G6" s="2600"/>
      <c r="H6" s="2600"/>
      <c r="I6" s="2597">
        <f>S5&amp;".1"</f>
      </c>
      <c r="J6" s="1704"/>
      <c r="K6" s="1704"/>
      <c r="L6" s="1705" t="s">
        <v>398</v>
      </c>
      <c r="M6" s="878"/>
      <c r="P6" s="2598">
        <v>1</v>
      </c>
      <c r="Q6" s="1672"/>
      <c r="R6" s="2347"/>
      <c r="S6" s="1383"/>
      <c r="T6" s="1724"/>
      <c r="U6" s="1725"/>
      <c r="V6" s="2645"/>
      <c r="W6" s="2645"/>
      <c r="X6" s="2645"/>
      <c r="Y6" s="2645"/>
      <c r="Z6" s="2645"/>
      <c r="AA6" s="2645"/>
      <c r="AB6" s="2645"/>
      <c r="AC6" s="2645"/>
      <c r="AD6" s="2645"/>
      <c r="AE6" s="2645"/>
      <c r="AF6" s="2645"/>
      <c r="AG6" s="2645"/>
      <c r="AH6" s="2645"/>
      <c r="AI6" s="2645"/>
      <c r="AJ6" s="2645"/>
      <c r="AK6" s="2645"/>
      <c r="AL6" s="2645"/>
      <c r="AM6" s="2352"/>
      <c r="AO6" s="841"/>
      <c r="AP6" s="841" t="str">
        <f>IF(T6="","",T6)</f>
        <v/>
      </c>
      <c r="AQ6" s="841"/>
      <c r="AR6" s="841"/>
      <c r="AS6" s="1496">
        <v>0</v>
      </c>
    </row>
    <row customHeight="1" ht="84" hidden="1">
      <c r="A7" s="1704"/>
      <c r="B7" s="1704"/>
      <c r="C7" s="1704"/>
      <c r="D7" s="1704"/>
      <c r="E7" s="2600"/>
      <c r="F7" s="2600"/>
      <c r="G7" s="2600"/>
      <c r="H7" s="2600"/>
      <c r="I7" s="2627"/>
      <c r="J7" s="2597">
        <f>I6&amp;".1"</f>
      </c>
      <c r="K7" s="1704"/>
      <c r="L7" s="1705" t="s">
        <v>401</v>
      </c>
      <c r="M7" s="878"/>
      <c r="N7" s="1707"/>
      <c r="P7" s="2598"/>
      <c r="Q7" s="2598">
        <v>1</v>
      </c>
      <c r="R7" s="1983"/>
      <c r="S7" s="2348">
        <f>$J7</f>
      </c>
      <c r="T7" s="627" t="s">
        <v>402</v>
      </c>
      <c r="U7" s="641"/>
      <c r="V7" s="2646"/>
      <c r="W7" s="2646"/>
      <c r="X7" s="2646"/>
      <c r="Y7" s="2646"/>
      <c r="Z7" s="2646"/>
      <c r="AA7" s="2646"/>
      <c r="AB7" s="2646"/>
      <c r="AC7" s="2646"/>
      <c r="AD7" s="2646"/>
      <c r="AE7" s="2646"/>
      <c r="AF7" s="2646"/>
      <c r="AG7" s="2646"/>
      <c r="AH7" s="2646"/>
      <c r="AI7" s="2646"/>
      <c r="AJ7" s="2646"/>
      <c r="AK7" s="2646"/>
      <c r="AL7" s="2646"/>
      <c r="AM7" s="2351" t="s">
        <v>403</v>
      </c>
      <c r="AO7" s="841"/>
      <c r="AP7" s="841" t="str">
        <f>IF(T7="","",T7)</f>
        <v>Группа потребителей</v>
      </c>
      <c r="AQ7" s="841"/>
      <c r="AR7" s="841"/>
      <c r="AS7" s="1496">
        <v>0</v>
      </c>
    </row>
    <row customHeight="1" ht="11.25" hidden="1">
      <c r="A8" s="1704"/>
      <c r="B8" s="1704"/>
      <c r="C8" s="1704"/>
      <c r="D8" s="1704"/>
      <c r="E8" s="2600"/>
      <c r="F8" s="2600"/>
      <c r="G8" s="2600"/>
      <c r="H8" s="2600"/>
      <c r="I8" s="2627"/>
      <c r="J8" s="2627"/>
      <c r="K8" s="2597">
        <f>J7&amp;".1"</f>
      </c>
      <c r="L8" s="1705" t="s">
        <v>404</v>
      </c>
      <c r="M8" s="878"/>
      <c r="N8" s="1707"/>
      <c r="O8" s="1707"/>
      <c r="P8" s="2598"/>
      <c r="Q8" s="2598"/>
      <c r="R8" s="698">
        <v>1</v>
      </c>
      <c r="S8" s="2350">
        <f>$K8</f>
      </c>
      <c r="T8" s="2355"/>
      <c r="U8" s="2356"/>
      <c r="V8" s="2357"/>
      <c r="W8" s="1690"/>
      <c r="X8" s="2357"/>
      <c r="Y8" s="2358"/>
      <c r="Z8" s="2647"/>
      <c r="AA8" s="2453" t="s">
        <v>65</v>
      </c>
      <c r="AB8" s="2647"/>
      <c r="AC8" s="2453" t="s">
        <v>65</v>
      </c>
      <c r="AD8" s="2357"/>
      <c r="AE8" s="1690"/>
      <c r="AF8" s="2357"/>
      <c r="AG8" s="2358"/>
      <c r="AH8" s="2647"/>
      <c r="AI8" s="2453" t="s">
        <v>65</v>
      </c>
      <c r="AJ8" s="2647"/>
      <c r="AK8" s="2453" t="s">
        <v>65</v>
      </c>
      <c r="AL8" s="1690"/>
      <c r="AM8" s="2594" t="s">
        <v>405</v>
      </c>
      <c r="AN8" s="852">
        <f>STRCHECKDATE(V9:AL9)</f>
      </c>
      <c r="AO8" s="841"/>
      <c r="AP8" s="841" t="str">
        <f>IF(T8="","",T8)</f>
        <v/>
      </c>
      <c r="AQ8" s="841"/>
      <c r="AR8" s="841"/>
      <c r="AS8" s="1496">
        <v>0</v>
      </c>
    </row>
    <row customHeight="1" ht="0.7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1.25" hidden="1">
      <c r="A10" s="1704"/>
      <c r="B10" s="1704"/>
      <c r="C10" s="1704"/>
      <c r="D10" s="1704"/>
      <c r="E10" s="2600"/>
      <c r="F10" s="2600"/>
      <c r="G10" s="2600"/>
      <c r="H10" s="2600"/>
      <c r="I10" s="2627"/>
      <c r="J10" s="2597"/>
      <c r="K10" s="1704"/>
      <c r="L10" s="1705"/>
      <c r="M10" s="878"/>
      <c r="N10" s="1707"/>
      <c r="P10" s="2598"/>
      <c r="Q10" s="2598"/>
      <c r="R10" s="697"/>
      <c r="S10" s="1619"/>
      <c r="T10" s="628" t="s">
        <v>406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1.25" hidden="1">
      <c r="A11" s="1704"/>
      <c r="B11" s="1704"/>
      <c r="C11" s="1704"/>
      <c r="D11" s="1704"/>
      <c r="E11" s="2600"/>
      <c r="F11" s="2600"/>
      <c r="G11" s="2600"/>
      <c r="H11" s="2600"/>
      <c r="I11" s="2597"/>
      <c r="J11" s="1704"/>
      <c r="K11" s="1704"/>
      <c r="L11" s="1705"/>
      <c r="M11" s="878"/>
      <c r="P11" s="2598"/>
      <c r="Q11" s="1672"/>
      <c r="R11" s="697"/>
      <c r="S11" s="1619"/>
      <c r="T11" s="706" t="s">
        <v>407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0.75" hidden="1">
      <c r="A12" s="1704"/>
      <c r="B12" s="1704"/>
      <c r="C12" s="1704"/>
      <c r="D12" s="1704"/>
      <c r="E12" s="2600"/>
      <c r="F12" s="2600"/>
      <c r="G12" s="2600"/>
      <c r="H12" s="2599"/>
      <c r="I12" s="1704"/>
      <c r="J12" s="1704"/>
      <c r="K12" s="1704"/>
      <c r="L12" s="1705"/>
      <c r="M12" s="1706"/>
      <c r="N12" s="1706"/>
      <c r="O12" s="878"/>
      <c r="P12" s="701"/>
      <c r="Q12" s="716"/>
      <c r="R12" s="696"/>
      <c r="S12" s="1727"/>
      <c r="T12" s="1728"/>
      <c r="U12" s="1729"/>
      <c r="V12" s="1729"/>
      <c r="W12" s="1729"/>
      <c r="X12" s="1729"/>
      <c r="Y12" s="1729"/>
      <c r="Z12" s="1729"/>
      <c r="AA12" s="1729"/>
      <c r="AB12" s="1729"/>
      <c r="AC12" s="1729"/>
      <c r="AD12" s="1729"/>
      <c r="AE12" s="1729"/>
      <c r="AF12" s="1729"/>
      <c r="AG12" s="1729"/>
      <c r="AH12" s="1729"/>
      <c r="AI12" s="1729"/>
      <c r="AJ12" s="1729"/>
      <c r="AK12" s="1729"/>
      <c r="AL12" s="1729"/>
      <c r="AM12" s="1730"/>
      <c r="AO12" s="841"/>
      <c r="AP12" s="841" t="str">
        <f>IF(T12="","",T12)</f>
        <v/>
      </c>
      <c r="AQ12" s="841"/>
      <c r="AR12" s="841"/>
      <c r="AS12" s="1496">
        <v>0</v>
      </c>
    </row>
    <row s="1731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409</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1731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410</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1731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411</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AD17" s="1701"/>
      <c r="AE17" s="1701"/>
      <c r="AF17" s="1701"/>
      <c r="AG17" s="1702"/>
      <c r="AH17" s="2608"/>
      <c r="AI17" s="2609" t="s">
        <v>65</v>
      </c>
      <c r="AJ17" s="2608"/>
      <c r="AK17" s="2609" t="s">
        <v>65</v>
      </c>
      <c r="AS17" s="1496">
        <v>0</v>
      </c>
    </row>
    <row customHeight="1" ht="14.25" hidden="1">
      <c r="AD18" s="1701"/>
      <c r="AE18" s="1701"/>
      <c r="AF18" s="1701"/>
      <c r="AG18" s="669" t="str">
        <f>AH17&amp;"-"&amp;AJ17</f>
        <v>-</v>
      </c>
      <c r="AH18" s="2609"/>
      <c r="AI18" s="2609"/>
      <c r="AJ18" s="2609"/>
      <c r="AK18" s="2609"/>
      <c r="AS18" s="1496">
        <v>0</v>
      </c>
    </row>
    <row customHeight="1" ht="14.25" hidden="1">
      <c r="AK19" s="668"/>
      <c r="AS19" s="1496">
        <v>0</v>
      </c>
    </row>
    <row s="17315" customFormat="1" customHeight="1" ht="22.5" hidden="1">
      <c r="L20" s="1670"/>
      <c r="M20" s="1703"/>
      <c r="N20" s="1703"/>
      <c r="O20" s="1708" t="s">
        <v>412</v>
      </c>
      <c r="P20" s="1703"/>
      <c r="Q20" s="1712"/>
      <c r="R20" s="1712"/>
      <c r="S20" s="1070"/>
      <c r="Z20" s="1708"/>
      <c r="AB20" s="1708"/>
      <c r="AC20" s="1707"/>
      <c r="AH20" s="1708"/>
      <c r="AJ20" s="1708"/>
      <c r="AK20" s="1707"/>
      <c r="AN20" s="852"/>
      <c r="AO20" s="852"/>
      <c r="AP20" s="852"/>
      <c r="AQ20" s="852"/>
      <c r="AR20" s="852"/>
      <c r="AS20" s="1501">
        <v>0</v>
      </c>
    </row>
    <row s="17315" customFormat="1" customHeight="1" ht="14.25" hidden="1">
      <c r="L21" s="1670"/>
      <c r="M21" s="1703"/>
      <c r="N21" s="1703"/>
      <c r="O21" s="1703"/>
      <c r="P21" s="1703"/>
      <c r="Q21" s="1712"/>
      <c r="R21" s="1712"/>
      <c r="S21" s="1070"/>
      <c r="AC21" s="1707"/>
      <c r="AK21" s="1707"/>
      <c r="AN21" s="852"/>
      <c r="AO21" s="852"/>
      <c r="AP21" s="852"/>
      <c r="AQ21" s="852"/>
      <c r="AR21" s="852"/>
      <c r="AS21" s="1501">
        <v>0</v>
      </c>
    </row>
    <row s="17315" customFormat="1" customHeight="1" ht="14.25" hidden="1">
      <c r="L22" s="1670"/>
      <c r="M22" s="1703"/>
      <c r="N22" s="1703"/>
      <c r="O22" s="1705" t="s">
        <v>413</v>
      </c>
      <c r="P22" s="1703"/>
      <c r="Q22" s="1712"/>
      <c r="R22" s="1712"/>
      <c r="S22" s="1070"/>
      <c r="T22" s="1501" t="s">
        <v>414</v>
      </c>
      <c r="AA22" s="527" t="s">
        <v>415</v>
      </c>
      <c r="AC22" s="527" t="s">
        <v>416</v>
      </c>
      <c r="AD22" s="1501" t="s">
        <v>414</v>
      </c>
      <c r="AI22" s="527" t="s">
        <v>417</v>
      </c>
      <c r="AK22" s="527" t="s">
        <v>416</v>
      </c>
      <c r="AN22" s="852"/>
      <c r="AO22" s="852"/>
      <c r="AP22" s="852"/>
      <c r="AQ22" s="852"/>
      <c r="AR22" s="852"/>
      <c r="AS22" s="1501">
        <v>0</v>
      </c>
    </row>
    <row customHeight="1" ht="14.25" hidden="1">
      <c r="O23" s="1705"/>
      <c r="AS23" s="1496">
        <v>0</v>
      </c>
    </row>
    <row customHeight="1" ht="14.25" hidden="1">
      <c r="O24" s="1705"/>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54.75">
      <c r="Q26" s="717"/>
      <c r="R26" s="717"/>
      <c r="S26" s="264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8"/>
      <c r="U26" s="2648"/>
      <c r="V26" s="2648"/>
      <c r="W26" s="2648"/>
      <c r="X26" s="2648"/>
      <c r="Y26" s="2648"/>
      <c r="Z26" s="2648"/>
      <c r="AA26" s="2648"/>
      <c r="AB26" s="2648"/>
      <c r="AC26" s="2648"/>
      <c r="AD26" s="2648"/>
      <c r="AE26" s="2648"/>
      <c r="AF26" s="2648"/>
      <c r="AG26" s="2648"/>
      <c r="AH26" s="2648"/>
      <c r="AI26" s="2648"/>
      <c r="AJ26" s="2648"/>
      <c r="AK26" s="1584"/>
      <c r="AS26" s="1496">
        <v>52</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17442" customFormat="1" customHeight="1" ht="25.5" hidden="1">
      <c r="A29" s="1709"/>
      <c r="B29" s="1709"/>
      <c r="C29" s="1709"/>
      <c r="D29" s="1709"/>
      <c r="E29" s="1709"/>
      <c r="F29" s="1709"/>
      <c r="G29" s="1709"/>
      <c r="H29" s="1709"/>
      <c r="I29" s="1709"/>
      <c r="J29" s="1709"/>
      <c r="K29" s="1709"/>
      <c r="L29" s="1710"/>
      <c r="M29" s="1709"/>
      <c r="N29" s="1709"/>
      <c r="O29" s="1709"/>
      <c r="S29" s="2591" t="s">
        <v>41</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418</v>
      </c>
      <c r="T30" s="2591"/>
      <c r="U30" s="1713"/>
      <c r="V30" s="2605" t="str">
        <f>IF(TITLE_DATE_PR_CHANGE="",IF(TITLE_DATE_PR="","",TITLE_DATE_PR),TITLE_DATE_PR_CHANGE)</f>
        <v/>
      </c>
      <c r="W30" s="2605"/>
      <c r="X30" s="2605"/>
      <c r="Y30" s="2605"/>
      <c r="Z30" s="2605"/>
      <c r="AA30" s="2605"/>
      <c r="AB30" s="2605"/>
      <c r="AC30" s="667"/>
      <c r="AD30" s="2605" t="str">
        <f>IF(TITLE_DATE_PR_CHANGE="",IF(TITLE_DATE_PR="","",TITLE_DATE_PR),TITLE_DATE_PR_CHANGE)</f>
        <v/>
      </c>
      <c r="AE30" s="2605"/>
      <c r="AF30" s="2605"/>
      <c r="AG30" s="2605"/>
      <c r="AH30" s="2605"/>
      <c r="AI30" s="2605"/>
      <c r="AJ30" s="2605"/>
      <c r="AK30" s="667"/>
      <c r="AL30" s="667"/>
      <c r="AM30" s="621"/>
      <c r="AN30" s="709"/>
      <c r="AO30" s="709"/>
      <c r="AP30" s="709"/>
      <c r="AQ30" s="709"/>
      <c r="AR30" s="709"/>
      <c r="AS30" s="759">
        <v>0</v>
      </c>
    </row>
    <row s="17442" customFormat="1" customHeight="1" ht="18.75" hidden="1">
      <c r="A31" s="1709"/>
      <c r="B31" s="1709"/>
      <c r="C31" s="1709"/>
      <c r="D31" s="1709"/>
      <c r="E31" s="1709"/>
      <c r="F31" s="1709"/>
      <c r="G31" s="1709"/>
      <c r="H31" s="1709"/>
      <c r="I31" s="1709"/>
      <c r="J31" s="1709"/>
      <c r="K31" s="1709"/>
      <c r="L31" s="1710"/>
      <c r="M31" s="1709"/>
      <c r="N31" s="1709"/>
      <c r="O31" s="1709"/>
      <c r="S31" s="2591" t="s">
        <v>419</v>
      </c>
      <c r="T31" s="2591"/>
      <c r="U31" s="1713"/>
      <c r="V31" s="2592" t="str">
        <f>IF(TITLE_NUMBER_PR_CHANGE="",IF(TITLE_NUMBER_PR="","",TITLE_NUMBER_PR),TITLE_NUMBER_PR_CHANGE)</f>
        <v/>
      </c>
      <c r="W31" s="2592"/>
      <c r="X31" s="2592"/>
      <c r="Y31" s="2592"/>
      <c r="Z31" s="2592"/>
      <c r="AA31" s="2592"/>
      <c r="AB31" s="2592"/>
      <c r="AC31" s="667"/>
      <c r="AD31" s="2592" t="str">
        <f>IF(TITLE_NUMBER_PR_CHANGE="",IF(TITLE_NUMBER_PR="","",TITLE_NUMBER_PR),TITLE_NUMBER_PR_CHANGE)</f>
        <v/>
      </c>
      <c r="AE31" s="2592"/>
      <c r="AF31" s="2592"/>
      <c r="AG31" s="2592"/>
      <c r="AH31" s="2592"/>
      <c r="AI31" s="2592"/>
      <c r="AJ31" s="2592"/>
      <c r="AK31" s="667"/>
      <c r="AL31" s="667"/>
      <c r="AM31" s="621"/>
      <c r="AN31" s="709"/>
      <c r="AO31" s="709"/>
      <c r="AP31" s="709"/>
      <c r="AQ31" s="709"/>
      <c r="AR31" s="709"/>
      <c r="AS31" s="759">
        <v>0</v>
      </c>
    </row>
    <row s="17442" customFormat="1" customHeight="1" ht="18.75" hidden="1">
      <c r="A32" s="1709"/>
      <c r="B32" s="1709"/>
      <c r="C32" s="1709"/>
      <c r="D32" s="1709"/>
      <c r="E32" s="1709"/>
      <c r="F32" s="1709"/>
      <c r="G32" s="1709"/>
      <c r="H32" s="1709"/>
      <c r="I32" s="1709"/>
      <c r="J32" s="1709"/>
      <c r="K32" s="1709"/>
      <c r="L32" s="1710"/>
      <c r="M32" s="1709"/>
      <c r="N32" s="1709"/>
      <c r="O32" s="1709"/>
      <c r="S32" s="2591" t="s">
        <v>42</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hidden="1">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17442" customFormat="1" customHeight="1" ht="18.75" hidden="1">
      <c r="A34" s="1709"/>
      <c r="B34" s="1709"/>
      <c r="C34" s="1709"/>
      <c r="D34" s="1709"/>
      <c r="E34" s="1709"/>
      <c r="F34" s="1709"/>
      <c r="G34" s="1709"/>
      <c r="H34" s="1709"/>
      <c r="I34" s="1709"/>
      <c r="J34" s="1709"/>
      <c r="K34" s="1709"/>
      <c r="L34" s="1710"/>
      <c r="M34" s="1709"/>
      <c r="N34" s="1709"/>
      <c r="O34" s="1709"/>
      <c r="S34" s="2591" t="s">
        <v>420</v>
      </c>
      <c r="T34" s="2591"/>
      <c r="U34" s="1713"/>
      <c r="V34" s="2605" t="str">
        <f>IF(TITLE_DATE_PR_CHANGE="",IF(TITLE_DATE_PR="","",TITLE_DATE_PR),TITLE_DATE_PR_CHANGE)</f>
        <v/>
      </c>
      <c r="W34" s="2605"/>
      <c r="X34" s="2605"/>
      <c r="Y34" s="2605"/>
      <c r="Z34" s="2605"/>
      <c r="AA34" s="2605"/>
      <c r="AB34" s="2605"/>
      <c r="AC34" s="667"/>
      <c r="AD34" s="2605" t="str">
        <f>IF(TITLE_DATE_PR_CHANGE="",IF(TITLE_DATE_PR="","",TITLE_DATE_PR),TITLE_DATE_PR_CHANGE)</f>
        <v/>
      </c>
      <c r="AE34" s="2605"/>
      <c r="AF34" s="2605"/>
      <c r="AG34" s="2605"/>
      <c r="AH34" s="2605"/>
      <c r="AI34" s="2605"/>
      <c r="AJ34" s="2605"/>
      <c r="AK34" s="667"/>
      <c r="AL34" s="667"/>
      <c r="AM34" s="621"/>
      <c r="AN34" s="709"/>
      <c r="AO34" s="709"/>
      <c r="AP34" s="709"/>
      <c r="AQ34" s="709"/>
      <c r="AR34" s="709"/>
      <c r="AS34" s="759">
        <v>0</v>
      </c>
    </row>
    <row s="17442" customFormat="1" customHeight="1" ht="18.75" hidden="1">
      <c r="A35" s="1709"/>
      <c r="B35" s="1709"/>
      <c r="C35" s="1709"/>
      <c r="D35" s="1709"/>
      <c r="E35" s="1709"/>
      <c r="F35" s="1709"/>
      <c r="G35" s="1709"/>
      <c r="H35" s="1709"/>
      <c r="I35" s="1709"/>
      <c r="J35" s="1709"/>
      <c r="K35" s="1709"/>
      <c r="L35" s="1710"/>
      <c r="M35" s="1709"/>
      <c r="N35" s="1709"/>
      <c r="O35" s="1709"/>
      <c r="S35" s="2591" t="s">
        <v>421</v>
      </c>
      <c r="T35" s="2591"/>
      <c r="U35" s="1713"/>
      <c r="V35" s="2592" t="str">
        <f>IF(TITLE_NUMBER_PR_CHANGE="",IF(TITLE_NUMBER_PR="","",TITLE_NUMBER_PR),TITLE_NUMBER_PR_CHANGE)</f>
        <v/>
      </c>
      <c r="W35" s="2592"/>
      <c r="X35" s="2592"/>
      <c r="Y35" s="2592"/>
      <c r="Z35" s="2592"/>
      <c r="AA35" s="2592"/>
      <c r="AB35" s="2592"/>
      <c r="AC35" s="667"/>
      <c r="AD35" s="2592" t="str">
        <f>IF(TITLE_NUMBER_PR_CHANGE="",IF(TITLE_NUMBER_PR="","",TITLE_NUMBER_PR),TITLE_NUMBER_PR_CHANGE)</f>
        <v/>
      </c>
      <c r="AE35" s="2592"/>
      <c r="AF35" s="2592"/>
      <c r="AG35" s="2592"/>
      <c r="AH35" s="2592"/>
      <c r="AI35" s="2592"/>
      <c r="AJ35" s="2592"/>
      <c r="AK35" s="667"/>
      <c r="AL35" s="667"/>
      <c r="AM35" s="621"/>
      <c r="AN35" s="709"/>
      <c r="AO35" s="709"/>
      <c r="AP35" s="709"/>
      <c r="AQ35" s="709"/>
      <c r="AR35" s="709"/>
      <c r="AS35" s="759">
        <v>0</v>
      </c>
    </row>
    <row s="1744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422</v>
      </c>
      <c r="AD36" s="667"/>
      <c r="AE36" s="667"/>
      <c r="AF36" s="667"/>
      <c r="AG36" s="667"/>
      <c r="AH36" s="667"/>
      <c r="AI36" s="667"/>
      <c r="AJ36" s="667"/>
      <c r="AK36" s="619" t="s">
        <v>422</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295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296</v>
      </c>
      <c r="AS38" s="1496">
        <v>14</v>
      </c>
    </row>
    <row customHeight="1" ht="14.699999999999998">
      <c r="Q39" s="717"/>
      <c r="R39" s="717"/>
      <c r="S39" s="2614" t="s">
        <v>88</v>
      </c>
      <c r="T39" s="2550" t="s">
        <v>423</v>
      </c>
      <c r="U39" s="642"/>
      <c r="V39" s="2615" t="s">
        <v>424</v>
      </c>
      <c r="W39" s="2616"/>
      <c r="X39" s="2616"/>
      <c r="Y39" s="2616"/>
      <c r="Z39" s="2616"/>
      <c r="AA39" s="2616"/>
      <c r="AB39" s="2617"/>
      <c r="AC39" s="2618" t="s">
        <v>425</v>
      </c>
      <c r="AD39" s="2615" t="s">
        <v>424</v>
      </c>
      <c r="AE39" s="2616"/>
      <c r="AF39" s="2616"/>
      <c r="AG39" s="2616"/>
      <c r="AH39" s="2616"/>
      <c r="AI39" s="2616"/>
      <c r="AJ39" s="2617"/>
      <c r="AK39" s="2618" t="s">
        <v>426</v>
      </c>
      <c r="AL39" s="2621" t="s">
        <v>427</v>
      </c>
      <c r="AM39" s="2468"/>
      <c r="AS39" s="1496">
        <v>14</v>
      </c>
    </row>
    <row customHeight="1" ht="35.699999999999996">
      <c r="Q40" s="717"/>
      <c r="R40" s="717"/>
      <c r="S40" s="2614"/>
      <c r="T40" s="2550"/>
      <c r="U40" s="1372"/>
      <c r="V40" s="2601" t="s">
        <v>428</v>
      </c>
      <c r="W40" s="2624"/>
      <c r="X40" s="2603" t="s">
        <v>430</v>
      </c>
      <c r="Y40" s="2604"/>
      <c r="Z40" s="2603" t="s">
        <v>431</v>
      </c>
      <c r="AA40" s="2610"/>
      <c r="AB40" s="2604"/>
      <c r="AC40" s="2619"/>
      <c r="AD40" s="2601" t="s">
        <v>445</v>
      </c>
      <c r="AE40" s="2624"/>
      <c r="AF40" s="2603" t="s">
        <v>430</v>
      </c>
      <c r="AG40" s="2604"/>
      <c r="AH40" s="2603" t="s">
        <v>431</v>
      </c>
      <c r="AI40" s="2610"/>
      <c r="AJ40" s="2604"/>
      <c r="AK40" s="2619"/>
      <c r="AL40" s="2622"/>
      <c r="AM40" s="2468"/>
      <c r="AS40" s="1496">
        <v>34</v>
      </c>
    </row>
    <row customHeight="1" ht="35.699999999999996">
      <c r="A41" s="1711"/>
      <c r="B41" s="1711" t="s">
        <v>132</v>
      </c>
      <c r="C41" s="1711" t="s">
        <v>133</v>
      </c>
      <c r="D41" s="1711" t="s">
        <v>134</v>
      </c>
      <c r="E41" s="1705" t="s">
        <v>432</v>
      </c>
      <c r="F41" s="1705" t="s">
        <v>433</v>
      </c>
      <c r="G41" s="1705" t="s">
        <v>434</v>
      </c>
      <c r="H41" s="1705" t="s">
        <v>435</v>
      </c>
      <c r="I41" s="1705" t="s">
        <v>436</v>
      </c>
      <c r="J41" s="1705" t="s">
        <v>437</v>
      </c>
      <c r="K41" s="1705" t="s">
        <v>438</v>
      </c>
      <c r="L41" s="1705" t="s">
        <v>413</v>
      </c>
      <c r="Q41" s="717"/>
      <c r="R41" s="717"/>
      <c r="S41" s="2614"/>
      <c r="T41" s="2550"/>
      <c r="U41" s="643"/>
      <c r="V41" s="2602"/>
      <c r="W41" s="2625"/>
      <c r="X41" s="1563" t="s">
        <v>439</v>
      </c>
      <c r="Y41" s="1563" t="s">
        <v>440</v>
      </c>
      <c r="Z41" s="1679" t="s">
        <v>441</v>
      </c>
      <c r="AA41" s="2611" t="s">
        <v>442</v>
      </c>
      <c r="AB41" s="2612"/>
      <c r="AC41" s="2620"/>
      <c r="AD41" s="2602"/>
      <c r="AE41" s="2625"/>
      <c r="AF41" s="1563" t="s">
        <v>439</v>
      </c>
      <c r="AG41" s="1563" t="s">
        <v>440</v>
      </c>
      <c r="AH41" s="1679" t="s">
        <v>441</v>
      </c>
      <c r="AI41" s="2611" t="s">
        <v>442</v>
      </c>
      <c r="AJ41" s="2612"/>
      <c r="AK41" s="2620"/>
      <c r="AL41" s="2623"/>
      <c r="AM41" s="2468"/>
      <c r="AS41" s="1496">
        <v>34</v>
      </c>
    </row>
    <row s="17832"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106</v>
      </c>
      <c r="T42" s="1596" t="s">
        <v>107</v>
      </c>
      <c r="U42" s="1586" t="str">
        <f>OFFSET(U42,0,-1)</f>
        <v>2</v>
      </c>
      <c r="V42" s="1676">
        <f>OFFSET(V42,0,-1)+1</f>
        <v>3</v>
      </c>
      <c r="W42" s="1676"/>
      <c r="X42" s="1676">
        <f>OFFSET(X42,0,-1)+1</f>
        <v>1</v>
      </c>
      <c r="Y42" s="1676">
        <f>OFFSET(Y42,0,-1)+1</f>
        <v>2</v>
      </c>
      <c r="Z42" s="1676">
        <f>OFFSET(Z42,0,-1)+1</f>
        <v>3</v>
      </c>
      <c r="AA42" s="2613">
        <f>OFFSET(AA42,0,-1)+1</f>
        <v>4</v>
      </c>
      <c r="AB42" s="2613"/>
      <c r="AC42" s="1676">
        <f>OFFSET(AC42,0,-2)+1</f>
        <v>5</v>
      </c>
      <c r="AD42" s="1676">
        <f>OFFSET(AD42,0,-1)+1</f>
        <v>6</v>
      </c>
      <c r="AE42" s="1676"/>
      <c r="AF42" s="1676">
        <f>OFFSET(AF42,0,-1)+1</f>
        <v>1</v>
      </c>
      <c r="AG42" s="1676">
        <f>OFFSET(AG42,0,-1)+1</f>
        <v>2</v>
      </c>
      <c r="AH42" s="1676">
        <f>OFFSET(AH42,0,-1)+1</f>
        <v>3</v>
      </c>
      <c r="AI42" s="2613">
        <f>OFFSET(AI42,0,-1)+1</f>
        <v>4</v>
      </c>
      <c r="AJ42" s="2613"/>
      <c r="AK42" s="1676">
        <f>OFFSET(AK42,0,-2)+1</f>
        <v>5</v>
      </c>
      <c r="AL42" s="1586">
        <f>OFFSET(AL42,0,-1)</f>
        <v>5</v>
      </c>
      <c r="AM42" s="1676">
        <f>OFFSET(AM42,0,-1)+1</f>
        <v>6</v>
      </c>
      <c r="AN42" s="852"/>
      <c r="AO42" s="852"/>
      <c r="AP42" s="852"/>
      <c r="AQ42" s="852"/>
      <c r="AR42" s="852"/>
      <c r="AS42" s="837">
        <v>0</v>
      </c>
    </row>
    <row customHeight="1" ht="22.049999999999997">
      <c r="A43" s="1704" t="s">
        <v>177</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0</v>
      </c>
      <c r="T43" s="639" t="s">
        <v>120</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21</v>
      </c>
    </row>
    <row customHeight="1" ht="22.049999999999997">
      <c r="A44" s="1704" t="s">
        <v>177</v>
      </c>
      <c r="B44" s="1704" t="s">
        <v>178</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v>
      </c>
      <c r="T44" s="649" t="s">
        <v>392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393</v>
      </c>
      <c r="AO44" s="841"/>
      <c r="AP44" s="841" t="str">
        <f>IF(T44="","",T44)</f>
        <v>Территория действия тарифа</v>
      </c>
      <c r="AQ44" s="841"/>
      <c r="AR44" s="841"/>
      <c r="AS44" s="1496">
        <v>21</v>
      </c>
    </row>
    <row customHeight="1" ht="24">
      <c r="A45" s="1704" t="s">
        <v>177</v>
      </c>
      <c r="B45" s="1704" t="s">
        <v>178</v>
      </c>
      <c r="C45" s="1704" t="s">
        <v>179</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v>
      </c>
      <c r="T45" s="650" t="s">
        <v>394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395</v>
      </c>
      <c r="AO45" s="841"/>
      <c r="AP45" s="841" t="str">
        <f>IF(T45="","",T45)</f>
        <v>Наименование системы теплоснабжения </v>
      </c>
      <c r="AQ45" s="841"/>
      <c r="AR45" s="841"/>
      <c r="AS45" s="1496">
        <v>23</v>
      </c>
    </row>
    <row customHeight="1" ht="22.049999999999997">
      <c r="A46" s="1704" t="s">
        <v>177</v>
      </c>
      <c r="B46" s="1704" t="s">
        <v>178</v>
      </c>
      <c r="C46" s="1704" t="s">
        <v>179</v>
      </c>
      <c r="D46" s="1704" t="s">
        <v>180</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v>
      </c>
      <c r="T46" s="651" t="s">
        <v>396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397</v>
      </c>
      <c r="AO46" s="841"/>
      <c r="AP46" s="841" t="str">
        <f>IF(T46="","",T46)</f>
        <v>Источник тепловой энергии  </v>
      </c>
      <c r="AQ46" s="841"/>
      <c r="AR46" s="841"/>
      <c r="AS46" s="1496">
        <v>21</v>
      </c>
    </row>
    <row s="17316" customFormat="1" customHeight="1" ht="0">
      <c r="A47" s="1684" t="s">
        <v>177</v>
      </c>
      <c r="B47" s="1684" t="s">
        <v>178</v>
      </c>
      <c r="C47" s="1684" t="s">
        <v>179</v>
      </c>
      <c r="D47" s="1684" t="s">
        <v>180</v>
      </c>
      <c r="E47" s="2600"/>
      <c r="F47" s="2600"/>
      <c r="G47" s="2600"/>
      <c r="H47" s="2600"/>
      <c r="I47" s="2597" t="str">
        <f>S46&amp;".1"</f>
        <v>....1</v>
      </c>
      <c r="J47" s="1684"/>
      <c r="K47" s="1684"/>
      <c r="L47" s="1687" t="s">
        <v>398</v>
      </c>
      <c r="M47" s="851"/>
      <c r="N47" s="851"/>
      <c r="O47" s="851"/>
      <c r="P47" s="2598">
        <v>1</v>
      </c>
      <c r="Q47" s="1672"/>
      <c r="R47" s="697"/>
      <c r="S47" s="1383"/>
      <c r="T47" s="1724"/>
      <c r="U47" s="1725"/>
      <c r="V47" s="2637"/>
      <c r="W47" s="2638"/>
      <c r="X47" s="2638"/>
      <c r="Y47" s="2638"/>
      <c r="Z47" s="2638"/>
      <c r="AA47" s="2638"/>
      <c r="AB47" s="2638"/>
      <c r="AC47" s="2639"/>
      <c r="AD47" s="2637"/>
      <c r="AE47" s="2638"/>
      <c r="AF47" s="2638"/>
      <c r="AG47" s="2638"/>
      <c r="AH47" s="2638"/>
      <c r="AI47" s="2638"/>
      <c r="AJ47" s="2638"/>
      <c r="AK47" s="2638"/>
      <c r="AL47" s="2639"/>
      <c r="AM47" s="1726"/>
      <c r="AO47" s="841"/>
      <c r="AP47" s="841" t="str">
        <f>IF(T47="","",T47)</f>
        <v/>
      </c>
      <c r="AQ47" s="841"/>
      <c r="AR47" s="841"/>
      <c r="AS47" s="852">
        <v>0</v>
      </c>
    </row>
    <row customHeight="1" ht="22.049999999999997">
      <c r="A48" s="1704" t="s">
        <v>177</v>
      </c>
      <c r="B48" s="1704" t="s">
        <v>178</v>
      </c>
      <c r="C48" s="1704" t="s">
        <v>179</v>
      </c>
      <c r="D48" s="1704" t="s">
        <v>180</v>
      </c>
      <c r="E48" s="2600"/>
      <c r="F48" s="2600"/>
      <c r="G48" s="2600"/>
      <c r="H48" s="2600"/>
      <c r="I48" s="2627"/>
      <c r="J48" s="2597" t="str">
        <f>S46&amp;".1"</f>
        <v>....1</v>
      </c>
      <c r="K48" s="1704"/>
      <c r="L48" s="1705" t="s">
        <v>401</v>
      </c>
      <c r="P48" s="2598"/>
      <c r="Q48" s="2598">
        <v>1</v>
      </c>
      <c r="R48" s="698"/>
      <c r="S48" s="1677" t="str">
        <f>$J48</f>
        <v>....1</v>
      </c>
      <c r="T48" s="627" t="s">
        <v>402</v>
      </c>
      <c r="U48" s="641"/>
      <c r="V48" s="2586"/>
      <c r="W48" s="2587"/>
      <c r="X48" s="2587"/>
      <c r="Y48" s="2587"/>
      <c r="Z48" s="2587"/>
      <c r="AA48" s="2587"/>
      <c r="AB48" s="2587"/>
      <c r="AC48" s="2588"/>
      <c r="AD48" s="2586"/>
      <c r="AE48" s="2587"/>
      <c r="AF48" s="2587"/>
      <c r="AG48" s="2587"/>
      <c r="AH48" s="2587"/>
      <c r="AI48" s="2587"/>
      <c r="AJ48" s="2587"/>
      <c r="AK48" s="2587"/>
      <c r="AL48" s="2588"/>
      <c r="AM48" s="1599" t="s">
        <v>403</v>
      </c>
      <c r="AO48" s="841"/>
      <c r="AP48" s="841" t="str">
        <f>IF(T48="","",T48)</f>
        <v>Группа потребителей</v>
      </c>
      <c r="AQ48" s="841"/>
      <c r="AR48" s="841"/>
      <c r="AS48" s="1496">
        <v>21</v>
      </c>
    </row>
    <row customHeight="1" ht="22.049999999999997">
      <c r="A49" s="1704" t="s">
        <v>177</v>
      </c>
      <c r="B49" s="1704" t="s">
        <v>178</v>
      </c>
      <c r="C49" s="1704" t="s">
        <v>179</v>
      </c>
      <c r="D49" s="1704" t="s">
        <v>180</v>
      </c>
      <c r="E49" s="2600"/>
      <c r="F49" s="2600"/>
      <c r="G49" s="2600"/>
      <c r="H49" s="2600"/>
      <c r="I49" s="2627"/>
      <c r="J49" s="2627"/>
      <c r="K49" s="2597" t="str">
        <f>J48&amp;".1"</f>
        <v>....1.1</v>
      </c>
      <c r="L49" s="1705" t="s">
        <v>404</v>
      </c>
      <c r="P49" s="2598"/>
      <c r="Q49" s="2598"/>
      <c r="R49" s="698">
        <v>1</v>
      </c>
      <c r="S49" s="1677" t="str">
        <f>$K49</f>
        <v>....1.1</v>
      </c>
      <c r="T49" s="1688"/>
      <c r="U49" s="641"/>
      <c r="V49" s="1092"/>
      <c r="W49" s="666"/>
      <c r="X49" s="1092"/>
      <c r="Y49" s="1598"/>
      <c r="Z49" s="2606"/>
      <c r="AA49" s="2448" t="s">
        <v>65</v>
      </c>
      <c r="AB49" s="2606"/>
      <c r="AC49" s="2448" t="s">
        <v>65</v>
      </c>
      <c r="AD49" s="1092"/>
      <c r="AE49" s="666"/>
      <c r="AF49" s="1092"/>
      <c r="AG49" s="1598"/>
      <c r="AH49" s="2606"/>
      <c r="AI49" s="2448" t="s">
        <v>65</v>
      </c>
      <c r="AJ49" s="2628"/>
      <c r="AK49" s="2448" t="s">
        <v>65</v>
      </c>
      <c r="AL49" s="1689"/>
      <c r="AM49" s="2594" t="s">
        <v>446</v>
      </c>
      <c r="AN49" s="852">
        <f>STRCHECKDATE(V50:AL50)</f>
      </c>
      <c r="AO49" s="841"/>
      <c r="AP49" s="841" t="str">
        <f>IF(T49="","",T49)</f>
        <v/>
      </c>
      <c r="AQ49" s="841"/>
      <c r="AR49" s="841"/>
      <c r="AS49" s="1496">
        <v>21</v>
      </c>
    </row>
    <row customHeight="1" ht="1.05">
      <c r="A50" s="1704" t="s">
        <v>177</v>
      </c>
      <c r="B50" s="1704" t="s">
        <v>178</v>
      </c>
      <c r="C50" s="1704" t="s">
        <v>179</v>
      </c>
      <c r="D50" s="1704" t="s">
        <v>180</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1</v>
      </c>
    </row>
    <row customHeight="1" ht="11.549999999999999">
      <c r="A51" s="1704" t="s">
        <v>177</v>
      </c>
      <c r="B51" s="1704" t="s">
        <v>178</v>
      </c>
      <c r="C51" s="1704" t="s">
        <v>179</v>
      </c>
      <c r="D51" s="1704" t="s">
        <v>180</v>
      </c>
      <c r="E51" s="2600"/>
      <c r="F51" s="2600"/>
      <c r="G51" s="2600"/>
      <c r="H51" s="2600"/>
      <c r="I51" s="2627"/>
      <c r="J51" s="2597"/>
      <c r="K51" s="1704"/>
      <c r="L51" s="1705"/>
      <c r="P51" s="2598"/>
      <c r="Q51" s="2598"/>
      <c r="R51" s="697"/>
      <c r="S51" s="1619"/>
      <c r="T51" s="628" t="s">
        <v>406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177</v>
      </c>
      <c r="B52" s="1704" t="s">
        <v>178</v>
      </c>
      <c r="C52" s="1704" t="s">
        <v>179</v>
      </c>
      <c r="D52" s="1704" t="s">
        <v>180</v>
      </c>
      <c r="E52" s="2600"/>
      <c r="F52" s="2600"/>
      <c r="G52" s="2600"/>
      <c r="H52" s="2600"/>
      <c r="I52" s="2597"/>
      <c r="J52" s="1704"/>
      <c r="K52" s="1704"/>
      <c r="L52" s="1705"/>
      <c r="P52" s="2598"/>
      <c r="Q52" s="1672"/>
      <c r="R52" s="697"/>
      <c r="S52" s="1619"/>
      <c r="T52" s="706" t="s">
        <v>407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0">
      <c r="A53" s="1704" t="s">
        <v>177</v>
      </c>
      <c r="B53" s="1704" t="s">
        <v>178</v>
      </c>
      <c r="C53" s="1704" t="s">
        <v>179</v>
      </c>
      <c r="D53" s="1704" t="s">
        <v>180</v>
      </c>
      <c r="E53" s="2600"/>
      <c r="F53" s="2600"/>
      <c r="G53" s="2600"/>
      <c r="H53" s="2599"/>
      <c r="I53" s="1704"/>
      <c r="J53" s="1704"/>
      <c r="K53" s="1704"/>
      <c r="L53" s="1705"/>
      <c r="M53" s="1706"/>
      <c r="N53" s="1706"/>
      <c r="O53" s="878"/>
      <c r="P53" s="701"/>
      <c r="Q53" s="716"/>
      <c r="R53" s="696"/>
      <c r="S53" s="1727"/>
      <c r="T53" s="1728"/>
      <c r="U53" s="1729"/>
      <c r="V53" s="1729"/>
      <c r="W53" s="1729"/>
      <c r="X53" s="1729"/>
      <c r="Y53" s="1729"/>
      <c r="Z53" s="1729"/>
      <c r="AA53" s="1729"/>
      <c r="AB53" s="1729"/>
      <c r="AC53" s="1729"/>
      <c r="AD53" s="1729"/>
      <c r="AE53" s="1729"/>
      <c r="AF53" s="1729"/>
      <c r="AG53" s="1729"/>
      <c r="AH53" s="1729"/>
      <c r="AI53" s="1729"/>
      <c r="AJ53" s="1729"/>
      <c r="AK53" s="1729"/>
      <c r="AL53" s="1729"/>
      <c r="AM53" s="1730"/>
      <c r="AO53" s="841"/>
      <c r="AP53" s="841" t="str">
        <f>IF(T53="","",T53)</f>
        <v/>
      </c>
      <c r="AQ53" s="841"/>
      <c r="AR53" s="841"/>
      <c r="AS53" s="1496">
        <v>0</v>
      </c>
    </row>
    <row s="17316" customFormat="1" customHeight="1" ht="1.05">
      <c r="A54" s="1684" t="s">
        <v>177</v>
      </c>
      <c r="B54" s="1684" t="s">
        <v>178</v>
      </c>
      <c r="C54" s="1684" t="s">
        <v>179</v>
      </c>
      <c r="D54" s="1655"/>
      <c r="E54" s="2600"/>
      <c r="F54" s="2600"/>
      <c r="G54" s="2599"/>
      <c r="H54" s="1655"/>
      <c r="I54" s="1655"/>
      <c r="J54" s="1655"/>
      <c r="K54" s="1655"/>
      <c r="L54" s="1680"/>
      <c r="M54" s="1656"/>
      <c r="N54" s="1656"/>
      <c r="P54" s="1657"/>
      <c r="Q54" s="1658"/>
      <c r="R54" s="1657"/>
      <c r="S54" s="1663"/>
      <c r="T54" s="1666" t="s">
        <v>409</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1</v>
      </c>
    </row>
    <row s="17316" customFormat="1" customHeight="1" ht="1.05">
      <c r="A55" s="1684" t="s">
        <v>177</v>
      </c>
      <c r="B55" s="1684" t="s">
        <v>178</v>
      </c>
      <c r="C55" s="1655"/>
      <c r="D55" s="1655"/>
      <c r="E55" s="2600"/>
      <c r="F55" s="2599"/>
      <c r="G55" s="1655"/>
      <c r="H55" s="1655"/>
      <c r="I55" s="1655"/>
      <c r="J55" s="1655"/>
      <c r="K55" s="1655"/>
      <c r="L55" s="1680"/>
      <c r="M55" s="1662"/>
      <c r="N55" s="1662"/>
      <c r="P55" s="1657"/>
      <c r="Q55" s="1658"/>
      <c r="R55" s="1657"/>
      <c r="S55" s="1663"/>
      <c r="T55" s="1666" t="s">
        <v>410</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1</v>
      </c>
    </row>
    <row s="17316" customFormat="1" customHeight="1" ht="1.05">
      <c r="A56" s="1684" t="s">
        <v>177</v>
      </c>
      <c r="B56" s="1684"/>
      <c r="C56" s="1684"/>
      <c r="D56" s="1684"/>
      <c r="E56" s="2599"/>
      <c r="F56" s="1684"/>
      <c r="G56" s="1684"/>
      <c r="H56" s="1684"/>
      <c r="I56" s="1684"/>
      <c r="J56" s="1684"/>
      <c r="K56" s="1684"/>
      <c r="L56" s="1687"/>
      <c r="M56" s="1662"/>
      <c r="N56" s="1662"/>
      <c r="O56" s="859"/>
      <c r="P56" s="721"/>
      <c r="Q56" s="1685"/>
      <c r="R56" s="721"/>
      <c r="S56" s="1663"/>
      <c r="T56" s="1666" t="s">
        <v>411</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1</v>
      </c>
    </row>
    <row s="17316" customFormat="1" customHeight="1" ht="1.05">
      <c r="A57" s="1655"/>
      <c r="B57" s="1655"/>
      <c r="C57" s="1655"/>
      <c r="D57" s="1655"/>
      <c r="E57" s="1684"/>
      <c r="F57" s="1655"/>
      <c r="G57" s="1655"/>
      <c r="H57" s="1655"/>
      <c r="I57" s="1655"/>
      <c r="J57" s="1655"/>
      <c r="K57" s="1655"/>
      <c r="L57" s="1680"/>
      <c r="M57" s="1662"/>
      <c r="N57" s="1662"/>
      <c r="P57" s="1657"/>
      <c r="Q57" s="1658"/>
      <c r="R57" s="1657"/>
      <c r="S57" s="1663"/>
      <c r="T57" s="1666" t="s">
        <v>443</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1</v>
      </c>
    </row>
    <row customHeight="1" ht="11.549999999999999">
      <c r="M58" s="1501"/>
      <c r="N58" s="1501"/>
      <c r="O58" s="878"/>
      <c r="P58" s="1496"/>
      <c r="Q58" s="1496"/>
      <c r="R58" s="1496"/>
      <c r="S58" s="1496"/>
      <c r="AN58" s="1496"/>
      <c r="AO58" s="1496"/>
      <c r="AP58" s="1496"/>
      <c r="AQ58" s="1496"/>
      <c r="AR58" s="1496"/>
      <c r="AS58" s="1496">
        <v>11</v>
      </c>
    </row>
    <row customHeight="1" ht="23.25">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22</v>
      </c>
    </row>
    <row customHeight="1" ht="30.45">
      <c r="O60" s="878"/>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29</v>
      </c>
    </row>
    <row customHeight="1" ht="42">
      <c r="O61" s="878"/>
      <c r="T61" s="2626"/>
      <c r="U61" s="2626"/>
      <c r="V61" s="2626"/>
      <c r="W61" s="2626"/>
      <c r="X61" s="2626"/>
      <c r="Y61" s="2626"/>
      <c r="Z61" s="2626"/>
      <c r="AA61" s="2626"/>
      <c r="AB61" s="2626"/>
      <c r="AC61" s="2626"/>
      <c r="AD61" s="2626"/>
      <c r="AE61" s="2626"/>
      <c r="AF61" s="2626"/>
      <c r="AG61" s="2626"/>
      <c r="AH61" s="2626"/>
      <c r="AI61" s="2626"/>
      <c r="AJ61" s="2626"/>
      <c r="AK61" s="2626"/>
      <c r="AL61" s="2626"/>
      <c r="AM61" s="2626"/>
      <c r="AS61" s="1496">
        <v>40</v>
      </c>
    </row>
    <row customHeight="1" ht="14.699999999999998">
      <c r="O62" s="878"/>
      <c r="AS62" s="1496">
        <v>14</v>
      </c>
    </row>
    <row customHeight="1" ht="21">
      <c r="O63" s="878"/>
      <c r="S63" s="1594"/>
      <c r="T63" s="2640"/>
      <c r="U63" s="2626"/>
      <c r="V63" s="2626"/>
      <c r="W63" s="2626"/>
      <c r="X63" s="2626"/>
      <c r="Y63" s="2626"/>
      <c r="Z63" s="2626"/>
      <c r="AA63" s="2626"/>
      <c r="AB63" s="2626"/>
      <c r="AC63" s="2626"/>
      <c r="AD63" s="2626"/>
      <c r="AE63" s="2626"/>
      <c r="AF63" s="2626"/>
      <c r="AG63" s="2626"/>
      <c r="AH63" s="2626"/>
      <c r="AI63" s="2626"/>
      <c r="AJ63" s="2626"/>
      <c r="AK63" s="2626"/>
      <c r="AL63" s="2626"/>
      <c r="AM63" s="2626"/>
      <c r="AS63" s="1496">
        <v>20</v>
      </c>
    </row>
    <row customHeight="1" ht="29.25">
      <c r="O64" s="878"/>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28</v>
      </c>
    </row>
    <row customHeight="1" ht="35.699999999999996">
      <c r="T65" s="2626"/>
      <c r="U65" s="2626"/>
      <c r="V65" s="2626"/>
      <c r="W65" s="2626"/>
      <c r="X65" s="2626"/>
      <c r="Y65" s="2626"/>
      <c r="Z65" s="2626"/>
      <c r="AA65" s="2626"/>
      <c r="AB65" s="2626"/>
      <c r="AC65" s="2626"/>
      <c r="AD65" s="2626"/>
      <c r="AE65" s="2626"/>
      <c r="AF65" s="2626"/>
      <c r="AG65" s="2626"/>
      <c r="AH65" s="2626"/>
      <c r="AI65" s="2626"/>
      <c r="AJ65" s="2626"/>
      <c r="AK65" s="2626"/>
      <c r="AL65" s="2626"/>
      <c r="AM65" s="2626"/>
      <c r="AS65" s="1496">
        <v>34</v>
      </c>
    </row>
    <row customHeight="1" ht="22.5" hidden="1">
      <c r="A66" s="1501" t="s">
        <v>82</v>
      </c>
      <c r="B66" s="1501">
        <v>0</v>
      </c>
      <c r="C66" s="1501">
        <v>0</v>
      </c>
      <c r="D66" s="1501">
        <v>0</v>
      </c>
      <c r="E66" s="1501">
        <v>0</v>
      </c>
      <c r="F66" s="1501">
        <v>0</v>
      </c>
      <c r="G66" s="1501">
        <v>0</v>
      </c>
      <c r="H66" s="1501">
        <v>0</v>
      </c>
      <c r="I66" s="1501">
        <v>0</v>
      </c>
      <c r="J66" s="1501">
        <v>0</v>
      </c>
      <c r="K66" s="1501">
        <v>0</v>
      </c>
      <c r="L66" s="1670">
        <v>0</v>
      </c>
      <c r="M66" s="1703">
        <v>0</v>
      </c>
      <c r="N66" s="1703">
        <v>0</v>
      </c>
      <c r="O66" s="1703">
        <v>0</v>
      </c>
      <c r="P66" s="1669">
        <v>0</v>
      </c>
      <c r="Q66" s="685">
        <v>3</v>
      </c>
      <c r="R66" s="685">
        <v>3</v>
      </c>
      <c r="S66" s="922">
        <v>12</v>
      </c>
      <c r="T66" s="1496">
        <v>31</v>
      </c>
      <c r="U66" s="1496">
        <v>0</v>
      </c>
      <c r="V66" s="1496">
        <v>0</v>
      </c>
      <c r="W66" s="1496">
        <v>0</v>
      </c>
      <c r="X66" s="1496">
        <v>0</v>
      </c>
      <c r="Y66" s="1496">
        <v>0</v>
      </c>
      <c r="Z66" s="1496">
        <v>0</v>
      </c>
      <c r="AA66" s="1496">
        <v>0</v>
      </c>
      <c r="AB66" s="1496">
        <v>0</v>
      </c>
      <c r="AC66" s="1496">
        <v>0</v>
      </c>
      <c r="AD66" s="1496">
        <v>24</v>
      </c>
      <c r="AE66" s="1496">
        <v>0</v>
      </c>
      <c r="AF66" s="1496">
        <v>24</v>
      </c>
      <c r="AG66" s="1496">
        <v>24</v>
      </c>
      <c r="AH66" s="1496">
        <v>11</v>
      </c>
      <c r="AI66" s="1496">
        <v>3</v>
      </c>
      <c r="AJ66" s="1496">
        <v>11</v>
      </c>
      <c r="AK66" s="1496">
        <v>0</v>
      </c>
      <c r="AL66" s="1496">
        <v>4</v>
      </c>
      <c r="AM66" s="1496">
        <v>115</v>
      </c>
      <c r="AN66" s="852">
        <v>10</v>
      </c>
      <c r="AO66" s="852">
        <v>10</v>
      </c>
      <c r="AP66" s="852">
        <v>10</v>
      </c>
      <c r="AQ66" s="852">
        <v>10</v>
      </c>
      <c r="AR66" s="852">
        <v>10</v>
      </c>
      <c r="AS66" s="1496">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458F16-F2A9-7421-BC17-5ED9CBBDE0D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8" width="3.7109375" hidden="1" customWidth="1"/>
    <col min="17" max="18" style="18079" width="3.00390625" customWidth="1"/>
    <col min="19" max="19" style="18080" width="12.00390625" customWidth="1"/>
    <col min="20" max="20" style="17239" width="31.00390625" customWidth="1"/>
    <col min="21" max="21" style="17239" width="0.140625" customWidth="1"/>
    <col min="22" max="22" style="17239" width="24.7109375" hidden="1" customWidth="1"/>
    <col min="23" max="23" style="17239" width="0.140625" hidden="1" customWidth="1"/>
    <col min="24" max="25" style="17239" width="24.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24.7109375" customWidth="1"/>
    <col min="31" max="31" style="17239" width="0.140625" customWidth="1"/>
    <col min="32" max="33" style="17239" width="24.00390625" customWidth="1"/>
    <col min="34" max="34" style="17239" width="11.00390625" customWidth="1"/>
    <col min="35" max="35" style="17239" width="3.7109375" customWidth="1"/>
    <col min="36" max="36" style="17239" width="11.00390625" customWidth="1"/>
    <col min="37" max="37" style="17239" width="8.57421875" hidden="1" customWidth="1"/>
    <col min="38" max="38" style="17239" width="4.00390625" customWidth="1"/>
    <col min="39" max="39" style="17239" width="115.00390625" customWidth="1"/>
    <col min="40" max="44" style="17316" width="10.00390625" customWidth="1"/>
    <col min="45" max="45" style="17239" width="10.57421875" hidden="1"/>
  </cols>
  <sheetData>
    <row customHeight="1" ht="22.5" hidden="1">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120</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391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392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393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1677">
        <f>INDEX(PT_DIFFERENTIATION_NUM_CS,MATCH(C4,PT_DIFFERENTIATION_CS_ID,0))</f>
      </c>
      <c r="T4" s="650" t="s">
        <v>394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395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694"/>
      <c r="S5" s="1677">
        <f>INDEX(PT_DIFFERENTIATION_NUM_IST_TE,MATCH(D5,PT_DIFFERENTIATION_IST_TE_ID,0))</f>
      </c>
      <c r="T5" s="651" t="s">
        <v>396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397</v>
      </c>
      <c r="AO5" s="841"/>
      <c r="AP5" s="841" t="str">
        <f>IF(T5="","",T5)</f>
        <v>Источник тепловой энергии  </v>
      </c>
      <c r="AQ5" s="841"/>
      <c r="AR5" s="841"/>
      <c r="AS5" s="1496">
        <v>0</v>
      </c>
    </row>
    <row customHeight="1" ht="14.25" hidden="1">
      <c r="A6" s="1704"/>
      <c r="B6" s="1704"/>
      <c r="C6" s="1704"/>
      <c r="D6" s="1704"/>
      <c r="E6" s="2600"/>
      <c r="F6" s="2600"/>
      <c r="G6" s="2600"/>
      <c r="H6" s="2600"/>
      <c r="I6" s="2597">
        <f>S5&amp;".1"</f>
      </c>
      <c r="J6" s="1704"/>
      <c r="K6" s="1704"/>
      <c r="L6" s="1705" t="s">
        <v>398</v>
      </c>
      <c r="M6" s="878"/>
      <c r="P6" s="2598">
        <v>1</v>
      </c>
      <c r="Q6" s="1672"/>
      <c r="R6" s="697"/>
      <c r="S6" s="1383"/>
      <c r="T6" s="1724"/>
      <c r="U6" s="1725"/>
      <c r="V6" s="2637"/>
      <c r="W6" s="2638"/>
      <c r="X6" s="2638"/>
      <c r="Y6" s="2638"/>
      <c r="Z6" s="2638"/>
      <c r="AA6" s="2638"/>
      <c r="AB6" s="2638"/>
      <c r="AC6" s="2639"/>
      <c r="AD6" s="2637"/>
      <c r="AE6" s="2638"/>
      <c r="AF6" s="2638"/>
      <c r="AG6" s="2638"/>
      <c r="AH6" s="2638"/>
      <c r="AI6" s="2638"/>
      <c r="AJ6" s="2638"/>
      <c r="AK6" s="2638"/>
      <c r="AL6" s="2639"/>
      <c r="AM6" s="1726"/>
      <c r="AO6" s="841"/>
      <c r="AP6" s="841" t="str">
        <f>IF(T6="","",T6)</f>
        <v/>
      </c>
      <c r="AQ6" s="841"/>
      <c r="AR6" s="841"/>
      <c r="AS6" s="1496">
        <v>0</v>
      </c>
    </row>
    <row customHeight="1" ht="21" hidden="1">
      <c r="A7" s="1704"/>
      <c r="B7" s="1704"/>
      <c r="C7" s="1704"/>
      <c r="D7" s="1704"/>
      <c r="E7" s="2600"/>
      <c r="F7" s="2600"/>
      <c r="G7" s="2600"/>
      <c r="H7" s="2600"/>
      <c r="I7" s="2627"/>
      <c r="J7" s="2597">
        <f>I6&amp;".1"</f>
      </c>
      <c r="K7" s="1704"/>
      <c r="L7" s="1705" t="s">
        <v>401</v>
      </c>
      <c r="M7" s="878"/>
      <c r="N7" s="1707"/>
      <c r="P7" s="2598"/>
      <c r="Q7" s="2598">
        <v>1</v>
      </c>
      <c r="R7" s="698"/>
      <c r="S7" s="1677">
        <f>$J7</f>
      </c>
      <c r="T7" s="627" t="s">
        <v>402</v>
      </c>
      <c r="U7" s="641"/>
      <c r="V7" s="2586"/>
      <c r="W7" s="2587"/>
      <c r="X7" s="2587"/>
      <c r="Y7" s="2587"/>
      <c r="Z7" s="2587"/>
      <c r="AA7" s="2587"/>
      <c r="AB7" s="2587"/>
      <c r="AC7" s="2588"/>
      <c r="AD7" s="2586"/>
      <c r="AE7" s="2587"/>
      <c r="AF7" s="2587"/>
      <c r="AG7" s="2587"/>
      <c r="AH7" s="2587"/>
      <c r="AI7" s="2587"/>
      <c r="AJ7" s="2587"/>
      <c r="AK7" s="2587"/>
      <c r="AL7" s="2588"/>
      <c r="AM7" s="1599" t="s">
        <v>403</v>
      </c>
      <c r="AO7" s="841"/>
      <c r="AP7" s="841" t="str">
        <f>IF(T7="","",T7)</f>
        <v>Группа потребителей</v>
      </c>
      <c r="AQ7" s="841"/>
      <c r="AR7" s="841"/>
      <c r="AS7" s="1496">
        <v>0</v>
      </c>
    </row>
    <row customHeight="1" ht="21" hidden="1">
      <c r="A8" s="1704"/>
      <c r="B8" s="1704"/>
      <c r="C8" s="1704"/>
      <c r="D8" s="1704"/>
      <c r="E8" s="2600"/>
      <c r="F8" s="2600"/>
      <c r="G8" s="2600"/>
      <c r="H8" s="2600"/>
      <c r="I8" s="2627"/>
      <c r="J8" s="2627"/>
      <c r="K8" s="2597">
        <f>J7&amp;".1"</f>
      </c>
      <c r="L8" s="1705" t="s">
        <v>404</v>
      </c>
      <c r="M8" s="878"/>
      <c r="N8" s="1707"/>
      <c r="O8" s="1707"/>
      <c r="P8" s="2598"/>
      <c r="Q8" s="2598"/>
      <c r="R8" s="698">
        <v>1</v>
      </c>
      <c r="S8" s="1677">
        <f>$K8</f>
      </c>
      <c r="T8" s="1688"/>
      <c r="U8" s="641"/>
      <c r="V8" s="1092"/>
      <c r="W8" s="666"/>
      <c r="X8" s="1092"/>
      <c r="Y8" s="1598"/>
      <c r="Z8" s="2606"/>
      <c r="AA8" s="2448" t="s">
        <v>65</v>
      </c>
      <c r="AB8" s="2606"/>
      <c r="AC8" s="2448" t="s">
        <v>65</v>
      </c>
      <c r="AD8" s="1092"/>
      <c r="AE8" s="666"/>
      <c r="AF8" s="1092"/>
      <c r="AG8" s="1598"/>
      <c r="AH8" s="2606"/>
      <c r="AI8" s="2448" t="s">
        <v>65</v>
      </c>
      <c r="AJ8" s="2606"/>
      <c r="AK8" s="2448" t="s">
        <v>65</v>
      </c>
      <c r="AL8" s="666"/>
      <c r="AM8" s="2594" t="s">
        <v>405</v>
      </c>
      <c r="AN8" s="852">
        <f>STRCHECKDATE(V9:AL9)</f>
      </c>
      <c r="AO8" s="841"/>
      <c r="AP8" s="841" t="str">
        <f>IF(T8="","",T8)</f>
        <v/>
      </c>
      <c r="AQ8" s="841"/>
      <c r="AR8" s="841"/>
      <c r="AS8" s="1496">
        <v>0</v>
      </c>
    </row>
    <row customHeight="1" ht="14.2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8" t="s">
        <v>406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1.25" hidden="1">
      <c r="A11" s="1704"/>
      <c r="B11" s="1704"/>
      <c r="C11" s="1704"/>
      <c r="D11" s="1704"/>
      <c r="E11" s="2600"/>
      <c r="F11" s="2600"/>
      <c r="G11" s="2600"/>
      <c r="H11" s="2600"/>
      <c r="I11" s="2597"/>
      <c r="J11" s="1704"/>
      <c r="K11" s="1704"/>
      <c r="L11" s="1705"/>
      <c r="M11" s="878"/>
      <c r="P11" s="2598"/>
      <c r="Q11" s="1672"/>
      <c r="R11" s="697"/>
      <c r="S11" s="1619"/>
      <c r="T11" s="706" t="s">
        <v>407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727"/>
      <c r="T12" s="1728"/>
      <c r="U12" s="1729"/>
      <c r="V12" s="1729"/>
      <c r="W12" s="1729"/>
      <c r="X12" s="1729"/>
      <c r="Y12" s="1729"/>
      <c r="Z12" s="1729"/>
      <c r="AA12" s="1729"/>
      <c r="AB12" s="1729"/>
      <c r="AC12" s="1729"/>
      <c r="AD12" s="1729"/>
      <c r="AE12" s="1729"/>
      <c r="AF12" s="1729"/>
      <c r="AG12" s="1729"/>
      <c r="AH12" s="1729"/>
      <c r="AI12" s="1729"/>
      <c r="AJ12" s="1729"/>
      <c r="AK12" s="1729"/>
      <c r="AL12" s="1729"/>
      <c r="AM12" s="1730"/>
      <c r="AO12" s="841"/>
      <c r="AP12" s="841" t="str">
        <f>IF(T12="","",T12)</f>
        <v/>
      </c>
      <c r="AQ12" s="841"/>
      <c r="AR12" s="841"/>
      <c r="AS12" s="1496">
        <v>0</v>
      </c>
    </row>
    <row s="17316" customFormat="1" customHeight="1" ht="14.25" hidden="1">
      <c r="A13" s="1655"/>
      <c r="B13" s="1655"/>
      <c r="C13" s="1655"/>
      <c r="D13" s="1655"/>
      <c r="E13" s="2600"/>
      <c r="F13" s="2600"/>
      <c r="G13" s="2599"/>
      <c r="H13" s="1655"/>
      <c r="I13" s="1655"/>
      <c r="J13" s="1655"/>
      <c r="K13" s="1655"/>
      <c r="L13" s="1680"/>
      <c r="M13" s="1656"/>
      <c r="N13" s="1656"/>
      <c r="P13" s="1657"/>
      <c r="Q13" s="1658"/>
      <c r="R13" s="1657"/>
      <c r="S13" s="1659"/>
      <c r="T13" s="1660" t="s">
        <v>409</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17316" customFormat="1" customHeight="1" ht="14.25" hidden="1">
      <c r="A14" s="1655"/>
      <c r="B14" s="1655"/>
      <c r="C14" s="1655"/>
      <c r="D14" s="1655"/>
      <c r="E14" s="2600"/>
      <c r="F14" s="2599"/>
      <c r="G14" s="1655"/>
      <c r="H14" s="1655"/>
      <c r="I14" s="1655"/>
      <c r="J14" s="1655"/>
      <c r="K14" s="1655"/>
      <c r="L14" s="1680"/>
      <c r="M14" s="1662"/>
      <c r="N14" s="1662"/>
      <c r="P14" s="1657"/>
      <c r="Q14" s="1658"/>
      <c r="R14" s="1657"/>
      <c r="S14" s="1663"/>
      <c r="T14" s="1664" t="s">
        <v>410</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17316" customFormat="1" customHeight="1" ht="14.25" hidden="1">
      <c r="A15" s="1655"/>
      <c r="B15" s="1655"/>
      <c r="C15" s="1655"/>
      <c r="D15" s="1655"/>
      <c r="E15" s="2599"/>
      <c r="F15" s="1655"/>
      <c r="G15" s="1655"/>
      <c r="H15" s="1655"/>
      <c r="I15" s="1655"/>
      <c r="J15" s="1655"/>
      <c r="K15" s="1655"/>
      <c r="L15" s="1680"/>
      <c r="M15" s="1662"/>
      <c r="N15" s="1662"/>
      <c r="P15" s="1657"/>
      <c r="Q15" s="1658"/>
      <c r="R15" s="1657"/>
      <c r="S15" s="1663"/>
      <c r="T15" s="1666" t="s">
        <v>411</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AD17" s="1701"/>
      <c r="AE17" s="1701"/>
      <c r="AF17" s="1701"/>
      <c r="AG17" s="1702"/>
      <c r="AH17" s="2608"/>
      <c r="AI17" s="2609" t="s">
        <v>65</v>
      </c>
      <c r="AJ17" s="2608"/>
      <c r="AK17" s="2609" t="s">
        <v>65</v>
      </c>
      <c r="AS17" s="1496">
        <v>0</v>
      </c>
    </row>
    <row customHeight="1" ht="14.25" hidden="1">
      <c r="AD18" s="1701"/>
      <c r="AE18" s="1701"/>
      <c r="AF18" s="1701"/>
      <c r="AG18" s="669" t="str">
        <f>AH17&amp;"-"&amp;AJ17</f>
        <v>-</v>
      </c>
      <c r="AH18" s="2609"/>
      <c r="AI18" s="2609"/>
      <c r="AJ18" s="2609"/>
      <c r="AK18" s="2609"/>
      <c r="AS18" s="1496">
        <v>0</v>
      </c>
    </row>
    <row customHeight="1" ht="14.25" hidden="1">
      <c r="AK19" s="668"/>
      <c r="AS19" s="1496">
        <v>0</v>
      </c>
    </row>
    <row s="17315" customFormat="1" customHeight="1" ht="22.5" hidden="1">
      <c r="L20" s="1670"/>
      <c r="M20" s="1703"/>
      <c r="N20" s="1703"/>
      <c r="O20" s="1708" t="s">
        <v>412</v>
      </c>
      <c r="P20" s="1703"/>
      <c r="Q20" s="1712"/>
      <c r="R20" s="1712"/>
      <c r="S20" s="1070"/>
      <c r="Z20" s="1708"/>
      <c r="AB20" s="1708"/>
      <c r="AC20" s="1707"/>
      <c r="AH20" s="1708"/>
      <c r="AJ20" s="1708"/>
      <c r="AK20" s="1707"/>
      <c r="AN20" s="852"/>
      <c r="AO20" s="852"/>
      <c r="AP20" s="852"/>
      <c r="AQ20" s="852"/>
      <c r="AR20" s="852"/>
      <c r="AS20" s="1501">
        <v>0</v>
      </c>
    </row>
    <row s="17315" customFormat="1" customHeight="1" ht="14.25" hidden="1">
      <c r="L21" s="1670"/>
      <c r="M21" s="1703"/>
      <c r="N21" s="1703"/>
      <c r="O21" s="1703"/>
      <c r="P21" s="1703"/>
      <c r="Q21" s="1712"/>
      <c r="R21" s="1712"/>
      <c r="S21" s="1070"/>
      <c r="AC21" s="1707"/>
      <c r="AK21" s="1707"/>
      <c r="AN21" s="852"/>
      <c r="AO21" s="852"/>
      <c r="AP21" s="852"/>
      <c r="AQ21" s="852"/>
      <c r="AR21" s="852"/>
      <c r="AS21" s="1501">
        <v>0</v>
      </c>
    </row>
    <row s="17315" customFormat="1" customHeight="1" ht="14.25" hidden="1">
      <c r="L22" s="1670"/>
      <c r="M22" s="1703"/>
      <c r="N22" s="1703"/>
      <c r="O22" s="1705" t="s">
        <v>413</v>
      </c>
      <c r="P22" s="1703"/>
      <c r="Q22" s="1712"/>
      <c r="R22" s="1712"/>
      <c r="S22" s="1070"/>
      <c r="T22" s="1501" t="s">
        <v>414</v>
      </c>
      <c r="AA22" s="527" t="s">
        <v>415</v>
      </c>
      <c r="AC22" s="527" t="s">
        <v>416</v>
      </c>
      <c r="AD22" s="1501" t="s">
        <v>414</v>
      </c>
      <c r="AI22" s="527" t="s">
        <v>417</v>
      </c>
      <c r="AK22" s="527" t="s">
        <v>416</v>
      </c>
      <c r="AN22" s="852"/>
      <c r="AO22" s="852"/>
      <c r="AP22" s="852"/>
      <c r="AQ22" s="852"/>
      <c r="AR22" s="852"/>
      <c r="AS22" s="1501">
        <v>0</v>
      </c>
    </row>
    <row customHeight="1" ht="14.25" hidden="1">
      <c r="O23" s="1705"/>
      <c r="AS23" s="1496">
        <v>0</v>
      </c>
    </row>
    <row customHeight="1" ht="14.25" hidden="1">
      <c r="O24" s="1705"/>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53.54999999999999">
      <c r="Q26" s="717"/>
      <c r="R26" s="717"/>
      <c r="S26" s="25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9"/>
      <c r="U26" s="2589"/>
      <c r="V26" s="2589"/>
      <c r="W26" s="2589"/>
      <c r="X26" s="2589"/>
      <c r="Y26" s="2589"/>
      <c r="Z26" s="2589"/>
      <c r="AA26" s="2589"/>
      <c r="AB26" s="2589"/>
      <c r="AC26" s="2589"/>
      <c r="AD26" s="2589"/>
      <c r="AE26" s="2589"/>
      <c r="AF26" s="2589"/>
      <c r="AG26" s="2589"/>
      <c r="AH26" s="2589"/>
      <c r="AI26" s="2589"/>
      <c r="AJ26" s="2589"/>
      <c r="AK26" s="1584"/>
      <c r="AS26" s="1496">
        <v>51</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17442" customFormat="1" customHeight="1" ht="25.5" hidden="1">
      <c r="A29" s="1709"/>
      <c r="B29" s="1709"/>
      <c r="C29" s="1709"/>
      <c r="D29" s="1709"/>
      <c r="E29" s="1709"/>
      <c r="F29" s="1709"/>
      <c r="G29" s="1709"/>
      <c r="H29" s="1709"/>
      <c r="I29" s="1709"/>
      <c r="J29" s="1709"/>
      <c r="K29" s="1709"/>
      <c r="L29" s="1710"/>
      <c r="M29" s="1709"/>
      <c r="N29" s="1709"/>
      <c r="O29" s="1709"/>
      <c r="S29" s="2591" t="s">
        <v>41</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418</v>
      </c>
      <c r="T30" s="2591"/>
      <c r="U30" s="1713"/>
      <c r="V30" s="2605" t="str">
        <f>IF(TITLE_DATE_PR_CHANGE="",IF(TITLE_DATE_PR="","",TITLE_DATE_PR),TITLE_DATE_PR_CHANGE)</f>
        <v/>
      </c>
      <c r="W30" s="2605"/>
      <c r="X30" s="2605"/>
      <c r="Y30" s="2605"/>
      <c r="Z30" s="2605"/>
      <c r="AA30" s="2605"/>
      <c r="AB30" s="2605"/>
      <c r="AC30" s="667"/>
      <c r="AD30" s="2605" t="str">
        <f>IF(TITLE_DATE_PR_CHANGE="",IF(TITLE_DATE_PR="","",TITLE_DATE_PR),TITLE_DATE_PR_CHANGE)</f>
        <v/>
      </c>
      <c r="AE30" s="2605"/>
      <c r="AF30" s="2605"/>
      <c r="AG30" s="2605"/>
      <c r="AH30" s="2605"/>
      <c r="AI30" s="2605"/>
      <c r="AJ30" s="2605"/>
      <c r="AK30" s="667"/>
      <c r="AL30" s="667"/>
      <c r="AM30" s="621"/>
      <c r="AN30" s="709"/>
      <c r="AO30" s="709"/>
      <c r="AP30" s="709"/>
      <c r="AQ30" s="709"/>
      <c r="AR30" s="709"/>
      <c r="AS30" s="759">
        <v>0</v>
      </c>
    </row>
    <row s="17442" customFormat="1" customHeight="1" ht="18.75" hidden="1">
      <c r="A31" s="1709"/>
      <c r="B31" s="1709"/>
      <c r="C31" s="1709"/>
      <c r="D31" s="1709"/>
      <c r="E31" s="1709"/>
      <c r="F31" s="1709"/>
      <c r="G31" s="1709"/>
      <c r="H31" s="1709"/>
      <c r="I31" s="1709"/>
      <c r="J31" s="1709"/>
      <c r="K31" s="1709"/>
      <c r="L31" s="1710"/>
      <c r="M31" s="1709"/>
      <c r="N31" s="1709"/>
      <c r="O31" s="1709"/>
      <c r="S31" s="2591" t="s">
        <v>419</v>
      </c>
      <c r="T31" s="2591"/>
      <c r="U31" s="1713"/>
      <c r="V31" s="2592" t="str">
        <f>IF(TITLE_NUMBER_PR_CHANGE="",IF(TITLE_NUMBER_PR="","",TITLE_NUMBER_PR),TITLE_NUMBER_PR_CHANGE)</f>
        <v/>
      </c>
      <c r="W31" s="2592"/>
      <c r="X31" s="2592"/>
      <c r="Y31" s="2592"/>
      <c r="Z31" s="2592"/>
      <c r="AA31" s="2592"/>
      <c r="AB31" s="2592"/>
      <c r="AC31" s="667"/>
      <c r="AD31" s="2592" t="str">
        <f>IF(TITLE_NUMBER_PR_CHANGE="",IF(TITLE_NUMBER_PR="","",TITLE_NUMBER_PR),TITLE_NUMBER_PR_CHANGE)</f>
        <v/>
      </c>
      <c r="AE31" s="2592"/>
      <c r="AF31" s="2592"/>
      <c r="AG31" s="2592"/>
      <c r="AH31" s="2592"/>
      <c r="AI31" s="2592"/>
      <c r="AJ31" s="2592"/>
      <c r="AK31" s="667"/>
      <c r="AL31" s="667"/>
      <c r="AM31" s="621"/>
      <c r="AN31" s="709"/>
      <c r="AO31" s="709"/>
      <c r="AP31" s="709"/>
      <c r="AQ31" s="709"/>
      <c r="AR31" s="709"/>
      <c r="AS31" s="759">
        <v>0</v>
      </c>
    </row>
    <row s="17442" customFormat="1" customHeight="1" ht="18.75" hidden="1">
      <c r="A32" s="1709"/>
      <c r="B32" s="1709"/>
      <c r="C32" s="1709"/>
      <c r="D32" s="1709"/>
      <c r="E32" s="1709"/>
      <c r="F32" s="1709"/>
      <c r="G32" s="1709"/>
      <c r="H32" s="1709"/>
      <c r="I32" s="1709"/>
      <c r="J32" s="1709"/>
      <c r="K32" s="1709"/>
      <c r="L32" s="1710"/>
      <c r="M32" s="1709"/>
      <c r="N32" s="1709"/>
      <c r="O32" s="1709"/>
      <c r="S32" s="2591" t="s">
        <v>42</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hidden="1">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17442" customFormat="1" customHeight="1" ht="18.75" hidden="1">
      <c r="A34" s="1709"/>
      <c r="B34" s="1709"/>
      <c r="C34" s="1709"/>
      <c r="D34" s="1709"/>
      <c r="E34" s="1709"/>
      <c r="F34" s="1709"/>
      <c r="G34" s="1709"/>
      <c r="H34" s="1709"/>
      <c r="I34" s="1709"/>
      <c r="J34" s="1709"/>
      <c r="K34" s="1709"/>
      <c r="L34" s="1710"/>
      <c r="M34" s="1709"/>
      <c r="N34" s="1709"/>
      <c r="O34" s="1709"/>
      <c r="S34" s="2591" t="s">
        <v>420</v>
      </c>
      <c r="T34" s="2591"/>
      <c r="U34" s="1713"/>
      <c r="V34" s="2605" t="str">
        <f>IF(TITLE_DATE_PR_CHANGE="",IF(TITLE_DATE_PR="","",TITLE_DATE_PR),TITLE_DATE_PR_CHANGE)</f>
        <v/>
      </c>
      <c r="W34" s="2605"/>
      <c r="X34" s="2605"/>
      <c r="Y34" s="2605"/>
      <c r="Z34" s="2605"/>
      <c r="AA34" s="2605"/>
      <c r="AB34" s="2605"/>
      <c r="AC34" s="667"/>
      <c r="AD34" s="2605" t="str">
        <f>IF(TITLE_DATE_PR_CHANGE="",IF(TITLE_DATE_PR="","",TITLE_DATE_PR),TITLE_DATE_PR_CHANGE)</f>
        <v/>
      </c>
      <c r="AE34" s="2605"/>
      <c r="AF34" s="2605"/>
      <c r="AG34" s="2605"/>
      <c r="AH34" s="2605"/>
      <c r="AI34" s="2605"/>
      <c r="AJ34" s="2605"/>
      <c r="AK34" s="667"/>
      <c r="AL34" s="667"/>
      <c r="AM34" s="621"/>
      <c r="AN34" s="709"/>
      <c r="AO34" s="709"/>
      <c r="AP34" s="709"/>
      <c r="AQ34" s="709"/>
      <c r="AR34" s="709"/>
      <c r="AS34" s="759">
        <v>0</v>
      </c>
    </row>
    <row s="17442" customFormat="1" customHeight="1" ht="25.5" hidden="1">
      <c r="A35" s="1709"/>
      <c r="B35" s="1709"/>
      <c r="C35" s="1709"/>
      <c r="D35" s="1709"/>
      <c r="E35" s="1709"/>
      <c r="F35" s="1709"/>
      <c r="G35" s="1709"/>
      <c r="H35" s="1709"/>
      <c r="I35" s="1709"/>
      <c r="J35" s="1709"/>
      <c r="K35" s="1709"/>
      <c r="L35" s="1710"/>
      <c r="M35" s="1709"/>
      <c r="N35" s="1709"/>
      <c r="O35" s="1709"/>
      <c r="S35" s="2591" t="s">
        <v>421</v>
      </c>
      <c r="T35" s="2591"/>
      <c r="U35" s="1713"/>
      <c r="V35" s="2592" t="str">
        <f>IF(TITLE_NUMBER_PR_CHANGE="",IF(TITLE_NUMBER_PR="","",TITLE_NUMBER_PR),TITLE_NUMBER_PR_CHANGE)</f>
        <v/>
      </c>
      <c r="W35" s="2592"/>
      <c r="X35" s="2592"/>
      <c r="Y35" s="2592"/>
      <c r="Z35" s="2592"/>
      <c r="AA35" s="2592"/>
      <c r="AB35" s="2592"/>
      <c r="AC35" s="667"/>
      <c r="AD35" s="2592" t="str">
        <f>IF(TITLE_NUMBER_PR_CHANGE="",IF(TITLE_NUMBER_PR="","",TITLE_NUMBER_PR),TITLE_NUMBER_PR_CHANGE)</f>
        <v/>
      </c>
      <c r="AE35" s="2592"/>
      <c r="AF35" s="2592"/>
      <c r="AG35" s="2592"/>
      <c r="AH35" s="2592"/>
      <c r="AI35" s="2592"/>
      <c r="AJ35" s="2592"/>
      <c r="AK35" s="667"/>
      <c r="AL35" s="667"/>
      <c r="AM35" s="621"/>
      <c r="AN35" s="709"/>
      <c r="AO35" s="709"/>
      <c r="AP35" s="709"/>
      <c r="AQ35" s="709"/>
      <c r="AR35" s="709"/>
      <c r="AS35" s="759">
        <v>0</v>
      </c>
    </row>
    <row s="1744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422</v>
      </c>
      <c r="AD36" s="667"/>
      <c r="AE36" s="667"/>
      <c r="AF36" s="667"/>
      <c r="AG36" s="667"/>
      <c r="AH36" s="667"/>
      <c r="AI36" s="667"/>
      <c r="AJ36" s="667"/>
      <c r="AK36" s="619" t="s">
        <v>422</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295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296</v>
      </c>
      <c r="AS38" s="1496">
        <v>14</v>
      </c>
    </row>
    <row customHeight="1" ht="14.699999999999998">
      <c r="Q39" s="717"/>
      <c r="R39" s="717"/>
      <c r="S39" s="2614" t="s">
        <v>88</v>
      </c>
      <c r="T39" s="2550" t="s">
        <v>423</v>
      </c>
      <c r="U39" s="642"/>
      <c r="V39" s="2615" t="s">
        <v>424</v>
      </c>
      <c r="W39" s="2616"/>
      <c r="X39" s="2616"/>
      <c r="Y39" s="2616"/>
      <c r="Z39" s="2616"/>
      <c r="AA39" s="2616"/>
      <c r="AB39" s="2617"/>
      <c r="AC39" s="2618" t="s">
        <v>425</v>
      </c>
      <c r="AD39" s="2615" t="s">
        <v>424</v>
      </c>
      <c r="AE39" s="2616"/>
      <c r="AF39" s="2616"/>
      <c r="AG39" s="2616"/>
      <c r="AH39" s="2616"/>
      <c r="AI39" s="2616"/>
      <c r="AJ39" s="2617"/>
      <c r="AK39" s="2618" t="s">
        <v>426</v>
      </c>
      <c r="AL39" s="2621" t="s">
        <v>427</v>
      </c>
      <c r="AM39" s="2468"/>
      <c r="AS39" s="1496">
        <v>14</v>
      </c>
    </row>
    <row customHeight="1" ht="35.699999999999996">
      <c r="Q40" s="717"/>
      <c r="R40" s="717"/>
      <c r="S40" s="2614"/>
      <c r="T40" s="2550"/>
      <c r="U40" s="1372"/>
      <c r="V40" s="2601" t="s">
        <v>428</v>
      </c>
      <c r="W40" s="2624"/>
      <c r="X40" s="2603" t="s">
        <v>430</v>
      </c>
      <c r="Y40" s="2604"/>
      <c r="Z40" s="2603" t="s">
        <v>431</v>
      </c>
      <c r="AA40" s="2610"/>
      <c r="AB40" s="2604"/>
      <c r="AC40" s="2619"/>
      <c r="AD40" s="2601" t="s">
        <v>445</v>
      </c>
      <c r="AE40" s="2624"/>
      <c r="AF40" s="2603" t="s">
        <v>430</v>
      </c>
      <c r="AG40" s="2604"/>
      <c r="AH40" s="2603" t="s">
        <v>431</v>
      </c>
      <c r="AI40" s="2610"/>
      <c r="AJ40" s="2604"/>
      <c r="AK40" s="2619"/>
      <c r="AL40" s="2622"/>
      <c r="AM40" s="2468"/>
      <c r="AS40" s="1496">
        <v>34</v>
      </c>
    </row>
    <row customHeight="1" ht="35.699999999999996">
      <c r="A41" s="1711"/>
      <c r="B41" s="1711" t="s">
        <v>132</v>
      </c>
      <c r="C41" s="1711" t="s">
        <v>133</v>
      </c>
      <c r="D41" s="1711" t="s">
        <v>134</v>
      </c>
      <c r="E41" s="1705" t="s">
        <v>432</v>
      </c>
      <c r="F41" s="1705" t="s">
        <v>433</v>
      </c>
      <c r="G41" s="1705" t="s">
        <v>434</v>
      </c>
      <c r="H41" s="1705" t="s">
        <v>435</v>
      </c>
      <c r="I41" s="1705" t="s">
        <v>436</v>
      </c>
      <c r="J41" s="1705" t="s">
        <v>437</v>
      </c>
      <c r="K41" s="1705" t="s">
        <v>438</v>
      </c>
      <c r="L41" s="1705" t="s">
        <v>413</v>
      </c>
      <c r="Q41" s="717"/>
      <c r="R41" s="717"/>
      <c r="S41" s="2614"/>
      <c r="T41" s="2550"/>
      <c r="U41" s="643"/>
      <c r="V41" s="2602"/>
      <c r="W41" s="2625"/>
      <c r="X41" s="1563" t="s">
        <v>439</v>
      </c>
      <c r="Y41" s="1563" t="s">
        <v>440</v>
      </c>
      <c r="Z41" s="1679" t="s">
        <v>441</v>
      </c>
      <c r="AA41" s="2611" t="s">
        <v>442</v>
      </c>
      <c r="AB41" s="2612"/>
      <c r="AC41" s="2620"/>
      <c r="AD41" s="2602"/>
      <c r="AE41" s="2625"/>
      <c r="AF41" s="1563" t="s">
        <v>439</v>
      </c>
      <c r="AG41" s="1563" t="s">
        <v>440</v>
      </c>
      <c r="AH41" s="1679" t="s">
        <v>441</v>
      </c>
      <c r="AI41" s="2611" t="s">
        <v>442</v>
      </c>
      <c r="AJ41" s="2612"/>
      <c r="AK41" s="2620"/>
      <c r="AL41" s="2623"/>
      <c r="AM41" s="2468"/>
      <c r="AS41" s="1496">
        <v>34</v>
      </c>
    </row>
    <row s="17832"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106</v>
      </c>
      <c r="T42" s="1596" t="s">
        <v>107</v>
      </c>
      <c r="U42" s="1586" t="str">
        <f>OFFSET(U42,0,-1)</f>
        <v>2</v>
      </c>
      <c r="V42" s="1676">
        <f>OFFSET(V42,0,-1)+1</f>
        <v>3</v>
      </c>
      <c r="W42" s="1676"/>
      <c r="X42" s="1676">
        <f>OFFSET(X42,0,-1)+1</f>
        <v>1</v>
      </c>
      <c r="Y42" s="1676">
        <f>OFFSET(Y42,0,-1)+1</f>
        <v>2</v>
      </c>
      <c r="Z42" s="1676">
        <f>OFFSET(Z42,0,-1)+1</f>
        <v>3</v>
      </c>
      <c r="AA42" s="2613">
        <f>OFFSET(AA42,0,-1)+1</f>
        <v>4</v>
      </c>
      <c r="AB42" s="2613"/>
      <c r="AC42" s="1676">
        <f>OFFSET(AC42,0,-2)+1</f>
        <v>5</v>
      </c>
      <c r="AD42" s="1676">
        <f>OFFSET(AD42,0,-1)+1</f>
        <v>6</v>
      </c>
      <c r="AE42" s="1676"/>
      <c r="AF42" s="1676">
        <f>OFFSET(AF42,0,-1)+1</f>
        <v>1</v>
      </c>
      <c r="AG42" s="1676">
        <f>OFFSET(AG42,0,-1)+1</f>
        <v>2</v>
      </c>
      <c r="AH42" s="1676">
        <f>OFFSET(AH42,0,-1)+1</f>
        <v>3</v>
      </c>
      <c r="AI42" s="2613">
        <f>OFFSET(AI42,0,-1)+1</f>
        <v>4</v>
      </c>
      <c r="AJ42" s="2613"/>
      <c r="AK42" s="1676">
        <f>OFFSET(AK42,0,-2)+1</f>
        <v>5</v>
      </c>
      <c r="AL42" s="1586">
        <f>OFFSET(AL42,0,-1)</f>
        <v>5</v>
      </c>
      <c r="AM42" s="1676">
        <f>OFFSET(AM42,0,-1)+1</f>
        <v>6</v>
      </c>
      <c r="AN42" s="852"/>
      <c r="AO42" s="852"/>
      <c r="AP42" s="852"/>
      <c r="AQ42" s="852"/>
      <c r="AR42" s="852"/>
      <c r="AS42" s="837">
        <v>0</v>
      </c>
    </row>
    <row customHeight="1" ht="22.049999999999997">
      <c r="A43" s="1704" t="s">
        <v>183</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0</v>
      </c>
      <c r="T43" s="639" t="s">
        <v>120</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21</v>
      </c>
    </row>
    <row customHeight="1" ht="22.049999999999997">
      <c r="A44" s="1704" t="s">
        <v>183</v>
      </c>
      <c r="B44" s="1704" t="s">
        <v>184</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v>
      </c>
      <c r="T44" s="649" t="s">
        <v>392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393</v>
      </c>
      <c r="AO44" s="841"/>
      <c r="AP44" s="841" t="str">
        <f>IF(T44="","",T44)</f>
        <v>Территория действия тарифа</v>
      </c>
      <c r="AQ44" s="841"/>
      <c r="AR44" s="841"/>
      <c r="AS44" s="1496">
        <v>21</v>
      </c>
    </row>
    <row customHeight="1" ht="24">
      <c r="A45" s="1704" t="s">
        <v>183</v>
      </c>
      <c r="B45" s="1704" t="s">
        <v>184</v>
      </c>
      <c r="C45" s="1704" t="s">
        <v>185</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v>
      </c>
      <c r="T45" s="650" t="s">
        <v>394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395</v>
      </c>
      <c r="AO45" s="841"/>
      <c r="AP45" s="841" t="str">
        <f>IF(T45="","",T45)</f>
        <v>Наименование системы теплоснабжения </v>
      </c>
      <c r="AQ45" s="841"/>
      <c r="AR45" s="841"/>
      <c r="AS45" s="1496">
        <v>23</v>
      </c>
    </row>
    <row customHeight="1" ht="22.049999999999997">
      <c r="A46" s="1704" t="s">
        <v>183</v>
      </c>
      <c r="B46" s="1704" t="s">
        <v>184</v>
      </c>
      <c r="C46" s="1704" t="s">
        <v>185</v>
      </c>
      <c r="D46" s="1704" t="s">
        <v>186</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v>
      </c>
      <c r="T46" s="651" t="s">
        <v>396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397</v>
      </c>
      <c r="AO46" s="841"/>
      <c r="AP46" s="841" t="str">
        <f>IF(T46="","",T46)</f>
        <v>Источник тепловой энергии  </v>
      </c>
      <c r="AQ46" s="841"/>
      <c r="AR46" s="841"/>
      <c r="AS46" s="1496">
        <v>21</v>
      </c>
    </row>
    <row s="17316" customFormat="1" customHeight="1" ht="0">
      <c r="A47" s="1684" t="s">
        <v>183</v>
      </c>
      <c r="B47" s="1684" t="s">
        <v>184</v>
      </c>
      <c r="C47" s="1684" t="s">
        <v>185</v>
      </c>
      <c r="D47" s="1684" t="s">
        <v>186</v>
      </c>
      <c r="E47" s="2600"/>
      <c r="F47" s="2600"/>
      <c r="G47" s="2600"/>
      <c r="H47" s="2600"/>
      <c r="I47" s="2597" t="str">
        <f>S46&amp;".1"</f>
        <v>....1</v>
      </c>
      <c r="J47" s="1684"/>
      <c r="K47" s="1684"/>
      <c r="L47" s="1687" t="s">
        <v>398</v>
      </c>
      <c r="M47" s="851"/>
      <c r="N47" s="851"/>
      <c r="O47" s="851"/>
      <c r="P47" s="2598">
        <v>1</v>
      </c>
      <c r="Q47" s="1672"/>
      <c r="R47" s="697"/>
      <c r="S47" s="1383"/>
      <c r="T47" s="1724"/>
      <c r="U47" s="1725"/>
      <c r="V47" s="2637"/>
      <c r="W47" s="2638"/>
      <c r="X47" s="2638"/>
      <c r="Y47" s="2638"/>
      <c r="Z47" s="2638"/>
      <c r="AA47" s="2638"/>
      <c r="AB47" s="2638"/>
      <c r="AC47" s="2639"/>
      <c r="AD47" s="2637"/>
      <c r="AE47" s="2638"/>
      <c r="AF47" s="2638"/>
      <c r="AG47" s="2638"/>
      <c r="AH47" s="2638"/>
      <c r="AI47" s="2638"/>
      <c r="AJ47" s="2638"/>
      <c r="AK47" s="2638"/>
      <c r="AL47" s="2639"/>
      <c r="AM47" s="1726"/>
      <c r="AO47" s="841"/>
      <c r="AP47" s="841" t="str">
        <f>IF(T47="","",T47)</f>
        <v/>
      </c>
      <c r="AQ47" s="841"/>
      <c r="AR47" s="841"/>
      <c r="AS47" s="852">
        <v>0</v>
      </c>
    </row>
    <row customHeight="1" ht="22.049999999999997">
      <c r="A48" s="1704" t="s">
        <v>183</v>
      </c>
      <c r="B48" s="1704" t="s">
        <v>184</v>
      </c>
      <c r="C48" s="1704" t="s">
        <v>185</v>
      </c>
      <c r="D48" s="1704" t="s">
        <v>186</v>
      </c>
      <c r="E48" s="2600"/>
      <c r="F48" s="2600"/>
      <c r="G48" s="2600"/>
      <c r="H48" s="2600"/>
      <c r="I48" s="2627"/>
      <c r="J48" s="2597" t="str">
        <f>S46&amp;".1"</f>
        <v>....1</v>
      </c>
      <c r="K48" s="1704"/>
      <c r="L48" s="1705" t="s">
        <v>401</v>
      </c>
      <c r="P48" s="2598"/>
      <c r="Q48" s="2598">
        <v>1</v>
      </c>
      <c r="R48" s="698"/>
      <c r="S48" s="1677" t="str">
        <f>$J48</f>
        <v>....1</v>
      </c>
      <c r="T48" s="627" t="s">
        <v>402</v>
      </c>
      <c r="U48" s="641"/>
      <c r="V48" s="2586"/>
      <c r="W48" s="2587"/>
      <c r="X48" s="2587"/>
      <c r="Y48" s="2587"/>
      <c r="Z48" s="2587"/>
      <c r="AA48" s="2587"/>
      <c r="AB48" s="2587"/>
      <c r="AC48" s="2588"/>
      <c r="AD48" s="2586"/>
      <c r="AE48" s="2587"/>
      <c r="AF48" s="2587"/>
      <c r="AG48" s="2587"/>
      <c r="AH48" s="2587"/>
      <c r="AI48" s="2587"/>
      <c r="AJ48" s="2587"/>
      <c r="AK48" s="2587"/>
      <c r="AL48" s="2588"/>
      <c r="AM48" s="1599" t="s">
        <v>403</v>
      </c>
      <c r="AO48" s="841"/>
      <c r="AP48" s="841" t="str">
        <f>IF(T48="","",T48)</f>
        <v>Группа потребителей</v>
      </c>
      <c r="AQ48" s="841"/>
      <c r="AR48" s="841"/>
      <c r="AS48" s="1496">
        <v>21</v>
      </c>
    </row>
    <row customHeight="1" ht="22.049999999999997">
      <c r="A49" s="1704" t="s">
        <v>183</v>
      </c>
      <c r="B49" s="1704" t="s">
        <v>184</v>
      </c>
      <c r="C49" s="1704" t="s">
        <v>185</v>
      </c>
      <c r="D49" s="1704" t="s">
        <v>186</v>
      </c>
      <c r="E49" s="2600"/>
      <c r="F49" s="2600"/>
      <c r="G49" s="2600"/>
      <c r="H49" s="2600"/>
      <c r="I49" s="2627"/>
      <c r="J49" s="2627"/>
      <c r="K49" s="2597" t="str">
        <f>J48&amp;".1"</f>
        <v>....1.1</v>
      </c>
      <c r="L49" s="1705" t="s">
        <v>404</v>
      </c>
      <c r="P49" s="2598"/>
      <c r="Q49" s="2598"/>
      <c r="R49" s="698">
        <v>1</v>
      </c>
      <c r="S49" s="1677" t="str">
        <f>$K49</f>
        <v>....1.1</v>
      </c>
      <c r="T49" s="1688"/>
      <c r="U49" s="641"/>
      <c r="V49" s="1092"/>
      <c r="W49" s="666"/>
      <c r="X49" s="1092"/>
      <c r="Y49" s="1598"/>
      <c r="Z49" s="2606"/>
      <c r="AA49" s="2448" t="s">
        <v>65</v>
      </c>
      <c r="AB49" s="2606"/>
      <c r="AC49" s="2448" t="s">
        <v>65</v>
      </c>
      <c r="AD49" s="1092"/>
      <c r="AE49" s="666"/>
      <c r="AF49" s="1092"/>
      <c r="AG49" s="1598"/>
      <c r="AH49" s="2606"/>
      <c r="AI49" s="2448" t="s">
        <v>65</v>
      </c>
      <c r="AJ49" s="2628"/>
      <c r="AK49" s="2448" t="s">
        <v>65</v>
      </c>
      <c r="AL49" s="1689"/>
      <c r="AM49" s="2594" t="s">
        <v>446</v>
      </c>
      <c r="AN49" s="852">
        <f>STRCHECKDATE(V50:AL50)</f>
      </c>
      <c r="AO49" s="841"/>
      <c r="AP49" s="841" t="str">
        <f>IF(T49="","",T49)</f>
        <v/>
      </c>
      <c r="AQ49" s="841"/>
      <c r="AR49" s="841"/>
      <c r="AS49" s="1496">
        <v>21</v>
      </c>
    </row>
    <row customHeight="1" ht="0">
      <c r="A50" s="1704" t="s">
        <v>183</v>
      </c>
      <c r="B50" s="1704" t="s">
        <v>184</v>
      </c>
      <c r="C50" s="1704" t="s">
        <v>185</v>
      </c>
      <c r="D50" s="1704" t="s">
        <v>186</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0</v>
      </c>
    </row>
    <row customHeight="1" ht="11.549999999999999">
      <c r="A51" s="1704" t="s">
        <v>183</v>
      </c>
      <c r="B51" s="1704" t="s">
        <v>184</v>
      </c>
      <c r="C51" s="1704" t="s">
        <v>185</v>
      </c>
      <c r="D51" s="1704" t="s">
        <v>186</v>
      </c>
      <c r="E51" s="2600"/>
      <c r="F51" s="2600"/>
      <c r="G51" s="2600"/>
      <c r="H51" s="2600"/>
      <c r="I51" s="2627"/>
      <c r="J51" s="2597"/>
      <c r="K51" s="1704"/>
      <c r="L51" s="1705"/>
      <c r="P51" s="2598"/>
      <c r="Q51" s="2598"/>
      <c r="R51" s="697"/>
      <c r="S51" s="1619"/>
      <c r="T51" s="628" t="s">
        <v>406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183</v>
      </c>
      <c r="B52" s="1704" t="s">
        <v>184</v>
      </c>
      <c r="C52" s="1704" t="s">
        <v>185</v>
      </c>
      <c r="D52" s="1704" t="s">
        <v>186</v>
      </c>
      <c r="E52" s="2600"/>
      <c r="F52" s="2600"/>
      <c r="G52" s="2600"/>
      <c r="H52" s="2600"/>
      <c r="I52" s="2597"/>
      <c r="J52" s="1704"/>
      <c r="K52" s="1704"/>
      <c r="L52" s="1705"/>
      <c r="P52" s="2598"/>
      <c r="Q52" s="1672"/>
      <c r="R52" s="697"/>
      <c r="S52" s="1619"/>
      <c r="T52" s="706" t="s">
        <v>407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0">
      <c r="A53" s="1704" t="s">
        <v>183</v>
      </c>
      <c r="B53" s="1704" t="s">
        <v>184</v>
      </c>
      <c r="C53" s="1704" t="s">
        <v>185</v>
      </c>
      <c r="D53" s="1704" t="s">
        <v>186</v>
      </c>
      <c r="E53" s="2600"/>
      <c r="F53" s="2600"/>
      <c r="G53" s="2600"/>
      <c r="H53" s="2599"/>
      <c r="I53" s="1704"/>
      <c r="J53" s="1704"/>
      <c r="K53" s="1704"/>
      <c r="L53" s="1705"/>
      <c r="M53" s="1706"/>
      <c r="N53" s="1706"/>
      <c r="O53" s="878"/>
      <c r="P53" s="701"/>
      <c r="Q53" s="716"/>
      <c r="R53" s="696"/>
      <c r="S53" s="1727"/>
      <c r="T53" s="1728"/>
      <c r="U53" s="1729"/>
      <c r="V53" s="1729"/>
      <c r="W53" s="1729"/>
      <c r="X53" s="1729"/>
      <c r="Y53" s="1729"/>
      <c r="Z53" s="1729"/>
      <c r="AA53" s="1729"/>
      <c r="AB53" s="1729"/>
      <c r="AC53" s="1729"/>
      <c r="AD53" s="1729"/>
      <c r="AE53" s="1729"/>
      <c r="AF53" s="1729"/>
      <c r="AG53" s="1729"/>
      <c r="AH53" s="1729"/>
      <c r="AI53" s="1729"/>
      <c r="AJ53" s="1729"/>
      <c r="AK53" s="1729"/>
      <c r="AL53" s="1729"/>
      <c r="AM53" s="1730"/>
      <c r="AO53" s="841"/>
      <c r="AP53" s="841" t="str">
        <f>IF(T53="","",T53)</f>
        <v/>
      </c>
      <c r="AQ53" s="841"/>
      <c r="AR53" s="841"/>
      <c r="AS53" s="1496">
        <v>0</v>
      </c>
    </row>
    <row s="17316" customFormat="1" customHeight="1" ht="0">
      <c r="A54" s="1684" t="s">
        <v>183</v>
      </c>
      <c r="B54" s="1684" t="s">
        <v>184</v>
      </c>
      <c r="C54" s="1684" t="s">
        <v>185</v>
      </c>
      <c r="D54" s="1655"/>
      <c r="E54" s="2600"/>
      <c r="F54" s="2600"/>
      <c r="G54" s="2599"/>
      <c r="H54" s="1655"/>
      <c r="I54" s="1655"/>
      <c r="J54" s="1655"/>
      <c r="K54" s="1655"/>
      <c r="L54" s="1680"/>
      <c r="M54" s="1656"/>
      <c r="N54" s="1656"/>
      <c r="P54" s="1657"/>
      <c r="Q54" s="1658"/>
      <c r="R54" s="1657"/>
      <c r="S54" s="1663"/>
      <c r="T54" s="1666" t="s">
        <v>409</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0</v>
      </c>
    </row>
    <row s="17316" customFormat="1" customHeight="1" ht="0">
      <c r="A55" s="1684" t="s">
        <v>183</v>
      </c>
      <c r="B55" s="1684" t="s">
        <v>184</v>
      </c>
      <c r="C55" s="1655"/>
      <c r="D55" s="1655"/>
      <c r="E55" s="2600"/>
      <c r="F55" s="2599"/>
      <c r="G55" s="1655"/>
      <c r="H55" s="1655"/>
      <c r="I55" s="1655"/>
      <c r="J55" s="1655"/>
      <c r="K55" s="1655"/>
      <c r="L55" s="1680"/>
      <c r="M55" s="1662"/>
      <c r="N55" s="1662"/>
      <c r="P55" s="1657"/>
      <c r="Q55" s="1658"/>
      <c r="R55" s="1657"/>
      <c r="S55" s="1663"/>
      <c r="T55" s="1666" t="s">
        <v>410</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0</v>
      </c>
    </row>
    <row s="17316" customFormat="1" customHeight="1" ht="0">
      <c r="A56" s="1684" t="s">
        <v>183</v>
      </c>
      <c r="B56" s="1684"/>
      <c r="C56" s="1684"/>
      <c r="D56" s="1684"/>
      <c r="E56" s="2599"/>
      <c r="F56" s="1684"/>
      <c r="G56" s="1684"/>
      <c r="H56" s="1684"/>
      <c r="I56" s="1684"/>
      <c r="J56" s="1684"/>
      <c r="K56" s="1684"/>
      <c r="L56" s="1687"/>
      <c r="M56" s="1662"/>
      <c r="N56" s="1662"/>
      <c r="O56" s="859"/>
      <c r="P56" s="721"/>
      <c r="Q56" s="1685"/>
      <c r="R56" s="721"/>
      <c r="S56" s="1663"/>
      <c r="T56" s="1666" t="s">
        <v>411</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0</v>
      </c>
    </row>
    <row s="17316" customFormat="1" customHeight="1" ht="4.2">
      <c r="A57" s="1655"/>
      <c r="B57" s="1655"/>
      <c r="C57" s="1655"/>
      <c r="D57" s="1655"/>
      <c r="E57" s="1684"/>
      <c r="F57" s="1655"/>
      <c r="G57" s="1655"/>
      <c r="H57" s="1655"/>
      <c r="I57" s="1655"/>
      <c r="J57" s="1655"/>
      <c r="K57" s="1655"/>
      <c r="L57" s="1680"/>
      <c r="M57" s="1662"/>
      <c r="N57" s="1662"/>
      <c r="P57" s="1657"/>
      <c r="Q57" s="1658"/>
      <c r="R57" s="1657"/>
      <c r="S57" s="1663"/>
      <c r="T57" s="1666" t="s">
        <v>443</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4</v>
      </c>
    </row>
    <row customHeight="1" ht="11.549999999999999">
      <c r="M58" s="1501"/>
      <c r="N58" s="1501"/>
      <c r="O58" s="878"/>
      <c r="P58" s="1496"/>
      <c r="Q58" s="1496"/>
      <c r="R58" s="1496"/>
      <c r="S58" s="1496"/>
      <c r="AN58" s="1496"/>
      <c r="AO58" s="1496"/>
      <c r="AP58" s="1496"/>
      <c r="AQ58" s="1496"/>
      <c r="AR58" s="1496"/>
      <c r="AS58" s="1496">
        <v>11</v>
      </c>
    </row>
    <row customHeight="1" ht="14.699999999999998">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14</v>
      </c>
    </row>
    <row customHeight="1" ht="14.699999999999998">
      <c r="O60" s="878"/>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14</v>
      </c>
    </row>
    <row customHeight="1" ht="14.699999999999998">
      <c r="O61" s="878"/>
      <c r="T61" s="2626"/>
      <c r="U61" s="2626"/>
      <c r="V61" s="2626"/>
      <c r="W61" s="2626"/>
      <c r="X61" s="2626"/>
      <c r="Y61" s="2626"/>
      <c r="Z61" s="2626"/>
      <c r="AA61" s="2626"/>
      <c r="AB61" s="2626"/>
      <c r="AC61" s="2626"/>
      <c r="AD61" s="2626"/>
      <c r="AE61" s="2626"/>
      <c r="AF61" s="2626"/>
      <c r="AG61" s="2626"/>
      <c r="AH61" s="2626"/>
      <c r="AI61" s="2626"/>
      <c r="AJ61" s="2626"/>
      <c r="AK61" s="2626"/>
      <c r="AL61" s="2626"/>
      <c r="AM61" s="2626"/>
      <c r="AS61" s="1496">
        <v>14</v>
      </c>
    </row>
    <row customHeight="1" ht="14.699999999999998">
      <c r="O62" s="878"/>
      <c r="AS62" s="1496">
        <v>14</v>
      </c>
    </row>
    <row customHeight="1" ht="14.699999999999998">
      <c r="O63" s="878"/>
      <c r="S63" s="1594"/>
      <c r="T63" s="2640"/>
      <c r="U63" s="2626"/>
      <c r="V63" s="2626"/>
      <c r="W63" s="2626"/>
      <c r="X63" s="2626"/>
      <c r="Y63" s="2626"/>
      <c r="Z63" s="2626"/>
      <c r="AA63" s="2626"/>
      <c r="AB63" s="2626"/>
      <c r="AC63" s="2626"/>
      <c r="AD63" s="2626"/>
      <c r="AE63" s="2626"/>
      <c r="AF63" s="2626"/>
      <c r="AG63" s="2626"/>
      <c r="AH63" s="2626"/>
      <c r="AI63" s="2626"/>
      <c r="AJ63" s="2626"/>
      <c r="AK63" s="2626"/>
      <c r="AL63" s="2626"/>
      <c r="AM63" s="2626"/>
      <c r="AS63" s="1496">
        <v>14</v>
      </c>
    </row>
    <row customHeight="1" ht="14.699999999999998">
      <c r="O64" s="878"/>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14</v>
      </c>
    </row>
    <row customHeight="1" ht="14.699999999999998">
      <c r="T65" s="2626"/>
      <c r="U65" s="2626"/>
      <c r="V65" s="2626"/>
      <c r="W65" s="2626"/>
      <c r="X65" s="2626"/>
      <c r="Y65" s="2626"/>
      <c r="Z65" s="2626"/>
      <c r="AA65" s="2626"/>
      <c r="AB65" s="2626"/>
      <c r="AC65" s="2626"/>
      <c r="AD65" s="2626"/>
      <c r="AE65" s="2626"/>
      <c r="AF65" s="2626"/>
      <c r="AG65" s="2626"/>
      <c r="AH65" s="2626"/>
      <c r="AI65" s="2626"/>
      <c r="AJ65" s="2626"/>
      <c r="AK65" s="2626"/>
      <c r="AL65" s="2626"/>
      <c r="AM65" s="2626"/>
      <c r="AS65" s="1496">
        <v>14</v>
      </c>
    </row>
    <row customHeight="1" ht="22.5" hidden="1">
      <c r="A66" s="1501" t="s">
        <v>82</v>
      </c>
      <c r="B66" s="1501">
        <v>0</v>
      </c>
      <c r="C66" s="1501">
        <v>0</v>
      </c>
      <c r="D66" s="1501">
        <v>0</v>
      </c>
      <c r="E66" s="1501">
        <v>0</v>
      </c>
      <c r="F66" s="1501">
        <v>0</v>
      </c>
      <c r="G66" s="1501">
        <v>0</v>
      </c>
      <c r="H66" s="1501">
        <v>0</v>
      </c>
      <c r="I66" s="1501">
        <v>0</v>
      </c>
      <c r="J66" s="1501">
        <v>0</v>
      </c>
      <c r="K66" s="1501">
        <v>0</v>
      </c>
      <c r="L66" s="1670">
        <v>0</v>
      </c>
      <c r="M66" s="1703">
        <v>0</v>
      </c>
      <c r="N66" s="1703">
        <v>0</v>
      </c>
      <c r="O66" s="1703">
        <v>0</v>
      </c>
      <c r="P66" s="1669">
        <v>0</v>
      </c>
      <c r="Q66" s="685">
        <v>3</v>
      </c>
      <c r="R66" s="685">
        <v>3</v>
      </c>
      <c r="S66" s="922">
        <v>12</v>
      </c>
      <c r="T66" s="1496">
        <v>31</v>
      </c>
      <c r="U66" s="1496">
        <v>0</v>
      </c>
      <c r="V66" s="1496">
        <v>0</v>
      </c>
      <c r="W66" s="1496">
        <v>0</v>
      </c>
      <c r="X66" s="1496">
        <v>0</v>
      </c>
      <c r="Y66" s="1496">
        <v>0</v>
      </c>
      <c r="Z66" s="1496">
        <v>0</v>
      </c>
      <c r="AA66" s="1496">
        <v>0</v>
      </c>
      <c r="AB66" s="1496">
        <v>0</v>
      </c>
      <c r="AC66" s="1496">
        <v>0</v>
      </c>
      <c r="AD66" s="1496">
        <v>24</v>
      </c>
      <c r="AE66" s="1496">
        <v>0</v>
      </c>
      <c r="AF66" s="1496">
        <v>24</v>
      </c>
      <c r="AG66" s="1496">
        <v>24</v>
      </c>
      <c r="AH66" s="1496">
        <v>11</v>
      </c>
      <c r="AI66" s="1496">
        <v>3</v>
      </c>
      <c r="AJ66" s="1496">
        <v>11</v>
      </c>
      <c r="AK66" s="1496">
        <v>0</v>
      </c>
      <c r="AL66" s="1496">
        <v>4</v>
      </c>
      <c r="AM66" s="1496">
        <v>115</v>
      </c>
      <c r="AN66" s="852">
        <v>10</v>
      </c>
      <c r="AO66" s="852">
        <v>10</v>
      </c>
      <c r="AP66" s="852">
        <v>10</v>
      </c>
      <c r="AQ66" s="852">
        <v>10</v>
      </c>
      <c r="AR66" s="852">
        <v>10</v>
      </c>
      <c r="AS66" s="1496">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EFDD1F-8413-2F87-BFEA-21379DB05C1D}"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7239" width="10.57421875" hidden="1"/>
    <col min="2" max="2" style="17239" width="11.00390625" hidden="1" customWidth="1"/>
    <col min="3" max="3" style="17239" width="10.57421875" hidden="1"/>
    <col min="4" max="4" style="17239" width="11.8515625" hidden="1" customWidth="1"/>
    <col min="5" max="5" style="17239" width="10.00390625" hidden="1" customWidth="1"/>
    <col min="6" max="6" style="17239" width="8.7109375" hidden="1" customWidth="1"/>
    <col min="7" max="7" style="17239" width="7.57421875" hidden="1" customWidth="1"/>
    <col min="8" max="8" style="17239" width="11.421875" hidden="1" customWidth="1"/>
    <col min="9" max="9" style="17239" width="12.00390625" hidden="1" customWidth="1"/>
    <col min="10" max="10" style="17239" width="9.8515625" hidden="1" customWidth="1"/>
    <col min="11" max="12" style="17239" width="11.421875" hidden="1" customWidth="1"/>
    <col min="13" max="13" style="17313" width="19.140625" hidden="1" customWidth="1"/>
    <col min="14" max="15" style="18078" width="12.28125" hidden="1" customWidth="1"/>
    <col min="16" max="16" style="18078" width="23.421875" hidden="1" customWidth="1"/>
    <col min="17" max="17" style="18078" width="3.7109375" hidden="1" customWidth="1"/>
    <col min="18" max="20" style="18079" width="3.00390625" customWidth="1"/>
    <col min="21" max="21" style="18080" width="12.00390625" customWidth="1"/>
    <col min="22" max="22" style="17239" width="31.00390625" customWidth="1"/>
    <col min="23" max="23" style="17239" width="0.140625" customWidth="1"/>
    <col min="24" max="28" style="17239" width="21.7109375" hidden="1" customWidth="1"/>
    <col min="29" max="29" style="17239" width="11.7109375" hidden="1" customWidth="1"/>
    <col min="30" max="30" style="17239" width="3.7109375" hidden="1" customWidth="1"/>
    <col min="31" max="31" style="17239" width="11.7109375" hidden="1" customWidth="1"/>
    <col min="32" max="32" style="17239" width="8.57421875" hidden="1" customWidth="1"/>
    <col min="33" max="33" style="17239" width="21.7109375" customWidth="1"/>
    <col min="34" max="37" style="17239" width="21.00390625" customWidth="1"/>
    <col min="38" max="38" style="17239" width="11.00390625" customWidth="1"/>
    <col min="39" max="39" style="17239" width="3.7109375" customWidth="1"/>
    <col min="40" max="40" style="17239" width="11.00390625" customWidth="1"/>
    <col min="41" max="41" style="17239" width="8.57421875" hidden="1" customWidth="1"/>
    <col min="42" max="42" style="17239" width="4.00390625" customWidth="1"/>
    <col min="43" max="43" style="17239" width="115.00390625" customWidth="1"/>
    <col min="44" max="48" style="17316" width="10.00390625" customWidth="1"/>
    <col min="49" max="49" style="17239" width="10.57421875" hidden="1"/>
  </cols>
  <sheetData>
    <row customHeight="1" ht="22.5" hidden="1">
      <c r="AB1" s="668"/>
      <c r="AC1" s="668"/>
      <c r="AK1" s="668"/>
      <c r="AL1" s="668"/>
      <c r="AW1" s="1496" t="s">
        <v>14</v>
      </c>
    </row>
    <row customHeight="1" ht="21" hidden="1">
      <c r="A2" s="1608"/>
      <c r="B2" s="1608"/>
      <c r="C2" s="1608"/>
      <c r="D2" s="1608"/>
      <c r="E2" s="2630">
        <v>1</v>
      </c>
      <c r="F2" s="1608"/>
      <c r="G2" s="1608"/>
      <c r="H2" s="1608"/>
      <c r="I2" s="1608"/>
      <c r="J2" s="1608"/>
      <c r="K2" s="1608"/>
      <c r="L2" s="1608"/>
      <c r="M2" s="1651"/>
      <c r="N2" s="1029"/>
      <c r="O2" s="1029"/>
      <c r="P2" s="1029"/>
      <c r="Q2" s="702"/>
      <c r="R2" s="701"/>
      <c r="S2" s="701"/>
      <c r="T2" s="696"/>
      <c r="U2" s="1677">
        <f>INDEX(PT_DIFFERENTIATION_NUM_NTAR,MATCH(A2,PT_DIFFERENTIATION_NTAR_ID,0))</f>
      </c>
      <c r="V2" s="639" t="s">
        <v>120</v>
      </c>
      <c r="W2" s="641"/>
      <c r="X2" s="2583"/>
      <c r="Y2" s="2584"/>
      <c r="Z2" s="2584"/>
      <c r="AA2" s="2584"/>
      <c r="AB2" s="2584"/>
      <c r="AC2" s="2584"/>
      <c r="AD2" s="2584"/>
      <c r="AE2" s="2584"/>
      <c r="AF2" s="2585"/>
      <c r="AG2" s="2583">
        <f>INDEX(PT_DIFFERENTIATION_NTAR,MATCH(A2,PT_DIFFERENTIATION_NTAR_ID,0))</f>
      </c>
      <c r="AH2" s="2584"/>
      <c r="AI2" s="2584"/>
      <c r="AJ2" s="2584"/>
      <c r="AK2" s="2584"/>
      <c r="AL2" s="2584"/>
      <c r="AM2" s="2584"/>
      <c r="AN2" s="2584"/>
      <c r="AO2" s="2584"/>
      <c r="AP2" s="2585"/>
      <c r="AQ2" s="1599" t="s">
        <v>391</v>
      </c>
      <c r="AS2" s="841"/>
      <c r="AT2" s="841" t="str">
        <f>IF(V2="","",V2)</f>
        <v>Наименование тарифа</v>
      </c>
      <c r="AU2" s="841"/>
      <c r="AV2" s="841"/>
      <c r="AW2" s="1496">
        <v>0</v>
      </c>
    </row>
    <row customHeight="1" ht="21" hidden="1">
      <c r="A3" s="1608"/>
      <c r="B3" s="1608"/>
      <c r="C3" s="1608"/>
      <c r="D3" s="1608"/>
      <c r="E3" s="2631"/>
      <c r="F3" s="2630">
        <v>1</v>
      </c>
      <c r="G3" s="1608"/>
      <c r="H3" s="1608"/>
      <c r="I3" s="1608"/>
      <c r="J3" s="1608"/>
      <c r="K3" s="1608"/>
      <c r="L3" s="1608"/>
      <c r="M3" s="1651"/>
      <c r="N3" s="1029"/>
      <c r="O3" s="1029"/>
      <c r="P3" s="1029"/>
      <c r="Q3" s="1673"/>
      <c r="R3" s="693"/>
      <c r="S3" s="850"/>
      <c r="T3" s="694"/>
      <c r="U3" s="1677">
        <f>INDEX(PT_DIFFERENTIATION_NUM_TER,MATCH(B3,PT_DIFFERENTIATION_TER_ID,0))</f>
      </c>
      <c r="V3" s="649" t="s">
        <v>392</v>
      </c>
      <c r="W3" s="641"/>
      <c r="X3" s="2583"/>
      <c r="Y3" s="2584"/>
      <c r="Z3" s="2584"/>
      <c r="AA3" s="2584"/>
      <c r="AB3" s="2584"/>
      <c r="AC3" s="2584"/>
      <c r="AD3" s="2584"/>
      <c r="AE3" s="2584"/>
      <c r="AF3" s="2585"/>
      <c r="AG3" s="2583">
        <f>INDEX(PT_DIFFERENTIATION_TER,MATCH(B3,PT_DIFFERENTIATION_TER_ID,0))</f>
      </c>
      <c r="AH3" s="2584"/>
      <c r="AI3" s="2584"/>
      <c r="AJ3" s="2584"/>
      <c r="AK3" s="2584"/>
      <c r="AL3" s="2584"/>
      <c r="AM3" s="2584"/>
      <c r="AN3" s="2584"/>
      <c r="AO3" s="2584"/>
      <c r="AP3" s="2585"/>
      <c r="AQ3" s="1599" t="s">
        <v>393</v>
      </c>
      <c r="AS3" s="841"/>
      <c r="AT3" s="841" t="str">
        <f>IF(V3="","",V3)</f>
        <v>Территория действия тарифа</v>
      </c>
      <c r="AU3" s="841"/>
      <c r="AV3" s="841"/>
      <c r="AW3" s="1496">
        <v>0</v>
      </c>
    </row>
    <row customHeight="1" ht="22.5" hidden="1">
      <c r="A4" s="1608"/>
      <c r="B4" s="1608"/>
      <c r="C4" s="1608"/>
      <c r="D4" s="1608"/>
      <c r="E4" s="2631"/>
      <c r="F4" s="2631"/>
      <c r="G4" s="2630">
        <v>1</v>
      </c>
      <c r="H4" s="1608"/>
      <c r="I4" s="1608"/>
      <c r="J4" s="1608"/>
      <c r="K4" s="1608"/>
      <c r="L4" s="1608"/>
      <c r="M4" s="1651"/>
      <c r="N4" s="1029"/>
      <c r="O4" s="1029"/>
      <c r="P4" s="1029"/>
      <c r="Q4" s="695"/>
      <c r="R4" s="693"/>
      <c r="S4" s="850"/>
      <c r="T4" s="694"/>
      <c r="U4" s="1677">
        <f>INDEX(PT_DIFFERENTIATION_NUM_CS,MATCH(C4,PT_DIFFERENTIATION_CS_ID,0))</f>
      </c>
      <c r="V4" s="650" t="s">
        <v>394</v>
      </c>
      <c r="W4" s="641"/>
      <c r="X4" s="2583"/>
      <c r="Y4" s="2584"/>
      <c r="Z4" s="2584"/>
      <c r="AA4" s="2584"/>
      <c r="AB4" s="2584"/>
      <c r="AC4" s="2584"/>
      <c r="AD4" s="2584"/>
      <c r="AE4" s="2584"/>
      <c r="AF4" s="2585"/>
      <c r="AG4" s="2583">
        <f>INDEX(PT_DIFFERENTIATION_CS,MATCH(C4,PT_DIFFERENTIATION_CS_ID,0))</f>
      </c>
      <c r="AH4" s="2584"/>
      <c r="AI4" s="2584"/>
      <c r="AJ4" s="2584"/>
      <c r="AK4" s="2584"/>
      <c r="AL4" s="2584"/>
      <c r="AM4" s="2584"/>
      <c r="AN4" s="2584"/>
      <c r="AO4" s="2584"/>
      <c r="AP4" s="2585"/>
      <c r="AQ4" s="1599" t="s">
        <v>395</v>
      </c>
      <c r="AS4" s="841"/>
      <c r="AT4" s="841" t="str">
        <f>IF(V4="","",V4)</f>
        <v>Наименование системы теплоснабжения </v>
      </c>
      <c r="AU4" s="841"/>
      <c r="AV4" s="841"/>
      <c r="AW4" s="1496">
        <v>0</v>
      </c>
    </row>
    <row customHeight="1" ht="21" hidden="1">
      <c r="A5" s="1608"/>
      <c r="B5" s="1608"/>
      <c r="C5" s="1608"/>
      <c r="D5" s="1608"/>
      <c r="E5" s="2631"/>
      <c r="F5" s="2631"/>
      <c r="G5" s="2631"/>
      <c r="H5" s="2630">
        <v>1</v>
      </c>
      <c r="I5" s="1608"/>
      <c r="J5" s="1608"/>
      <c r="K5" s="1608"/>
      <c r="L5" s="1608"/>
      <c r="M5" s="1651"/>
      <c r="N5" s="1029"/>
      <c r="O5" s="1029"/>
      <c r="P5" s="1029"/>
      <c r="Q5" s="695"/>
      <c r="R5" s="693"/>
      <c r="S5" s="850"/>
      <c r="T5" s="694"/>
      <c r="U5" s="1677">
        <f>INDEX(PT_DIFFERENTIATION_NUM_IST_TE,MATCH(D5,PT_DIFFERENTIATION_IST_TE_ID,0))</f>
      </c>
      <c r="V5" s="651" t="s">
        <v>396</v>
      </c>
      <c r="W5" s="641"/>
      <c r="X5" s="2583"/>
      <c r="Y5" s="2584"/>
      <c r="Z5" s="2584"/>
      <c r="AA5" s="2584"/>
      <c r="AB5" s="2584"/>
      <c r="AC5" s="2584"/>
      <c r="AD5" s="2584"/>
      <c r="AE5" s="2584"/>
      <c r="AF5" s="2585"/>
      <c r="AG5" s="2583">
        <f>INDEX(PT_DIFFERENTIATION_IST_TE,MATCH(D5,PT_DIFFERENTIATION_IST_TE_ID,0))</f>
      </c>
      <c r="AH5" s="2584"/>
      <c r="AI5" s="2584"/>
      <c r="AJ5" s="2584"/>
      <c r="AK5" s="2584"/>
      <c r="AL5" s="2584"/>
      <c r="AM5" s="2584"/>
      <c r="AN5" s="2584"/>
      <c r="AO5" s="2584"/>
      <c r="AP5" s="2585"/>
      <c r="AQ5" s="1599" t="s">
        <v>397</v>
      </c>
      <c r="AS5" s="841"/>
      <c r="AT5" s="841" t="str">
        <f>IF(V5="","",V5)</f>
        <v>Источник тепловой энергии  </v>
      </c>
      <c r="AU5" s="841"/>
      <c r="AV5" s="841"/>
      <c r="AW5" s="1496">
        <v>0</v>
      </c>
    </row>
    <row customHeight="1" ht="14.25" hidden="1">
      <c r="A6" s="1608"/>
      <c r="B6" s="1608"/>
      <c r="C6" s="1608"/>
      <c r="D6" s="1608"/>
      <c r="E6" s="2631"/>
      <c r="F6" s="2631"/>
      <c r="G6" s="2631"/>
      <c r="H6" s="2631"/>
      <c r="I6" s="2468">
        <f>U5&amp;".1"</f>
      </c>
      <c r="J6" s="1608"/>
      <c r="K6" s="1608"/>
      <c r="L6" s="1608"/>
      <c r="M6" s="1651" t="s">
        <v>398</v>
      </c>
      <c r="N6" s="850"/>
      <c r="Q6" s="2598">
        <v>1</v>
      </c>
      <c r="R6" s="1672"/>
      <c r="S6" s="1672"/>
      <c r="T6" s="697"/>
      <c r="U6" s="1383"/>
      <c r="V6" s="1724"/>
      <c r="W6" s="1725"/>
      <c r="X6" s="2637"/>
      <c r="Y6" s="2638"/>
      <c r="Z6" s="2638"/>
      <c r="AA6" s="2638"/>
      <c r="AB6" s="2638"/>
      <c r="AC6" s="2638"/>
      <c r="AD6" s="2638"/>
      <c r="AE6" s="2638"/>
      <c r="AF6" s="2639"/>
      <c r="AG6" s="2637"/>
      <c r="AH6" s="2638"/>
      <c r="AI6" s="2638"/>
      <c r="AJ6" s="2638"/>
      <c r="AK6" s="2638"/>
      <c r="AL6" s="2638"/>
      <c r="AM6" s="2638"/>
      <c r="AN6" s="2638"/>
      <c r="AO6" s="2638"/>
      <c r="AP6" s="2639"/>
      <c r="AQ6" s="1726"/>
      <c r="AS6" s="841"/>
      <c r="AT6" s="841" t="str">
        <f>IF(V6="","",V6)</f>
        <v/>
      </c>
      <c r="AU6" s="841"/>
      <c r="AV6" s="841"/>
      <c r="AW6" s="1496">
        <v>0</v>
      </c>
    </row>
    <row customHeight="1" ht="21" hidden="1">
      <c r="A7" s="1608"/>
      <c r="B7" s="1608"/>
      <c r="C7" s="1608"/>
      <c r="D7" s="1608"/>
      <c r="E7" s="2631"/>
      <c r="F7" s="2631"/>
      <c r="G7" s="2631"/>
      <c r="H7" s="2631"/>
      <c r="I7" s="2442"/>
      <c r="J7" s="2468">
        <f>I6&amp;".1"</f>
      </c>
      <c r="K7" s="1608"/>
      <c r="L7" s="1608"/>
      <c r="M7" s="1651" t="s">
        <v>401</v>
      </c>
      <c r="N7" s="850"/>
      <c r="O7" s="668"/>
      <c r="Q7" s="2598"/>
      <c r="R7" s="2598">
        <v>1</v>
      </c>
      <c r="S7" s="859"/>
      <c r="T7" s="698"/>
      <c r="U7" s="1677">
        <f>$J7</f>
      </c>
      <c r="V7" s="627" t="s">
        <v>402</v>
      </c>
      <c r="W7" s="641"/>
      <c r="X7" s="2586"/>
      <c r="Y7" s="2587"/>
      <c r="Z7" s="2587"/>
      <c r="AA7" s="2587"/>
      <c r="AB7" s="2587"/>
      <c r="AC7" s="2576"/>
      <c r="AD7" s="2576"/>
      <c r="AE7" s="2576"/>
      <c r="AF7" s="2649"/>
      <c r="AG7" s="2586"/>
      <c r="AH7" s="2587"/>
      <c r="AI7" s="2587"/>
      <c r="AJ7" s="2587"/>
      <c r="AK7" s="2587"/>
      <c r="AL7" s="2587"/>
      <c r="AM7" s="2587"/>
      <c r="AN7" s="2587"/>
      <c r="AO7" s="2587"/>
      <c r="AP7" s="2588"/>
      <c r="AQ7" s="1599" t="s">
        <v>403</v>
      </c>
      <c r="AS7" s="841"/>
      <c r="AT7" s="841" t="str">
        <f>IF(V7="","",V7)</f>
        <v>Группа потребителей</v>
      </c>
      <c r="AU7" s="841"/>
      <c r="AV7" s="841"/>
      <c r="AW7" s="1496">
        <v>0</v>
      </c>
    </row>
    <row customHeight="1" ht="21" hidden="1">
      <c r="A8" s="1608"/>
      <c r="B8" s="1608"/>
      <c r="C8" s="1608"/>
      <c r="D8" s="1608"/>
      <c r="E8" s="2631"/>
      <c r="F8" s="2631"/>
      <c r="G8" s="2631"/>
      <c r="H8" s="2631"/>
      <c r="I8" s="2442"/>
      <c r="J8" s="2442"/>
      <c r="K8" s="2468">
        <f>J7&amp;".1"</f>
      </c>
      <c r="L8" s="480"/>
      <c r="M8" s="1651" t="s">
        <v>404</v>
      </c>
      <c r="N8" s="850"/>
      <c r="O8" s="668"/>
      <c r="P8" s="668"/>
      <c r="Q8" s="2598"/>
      <c r="R8" s="2598"/>
      <c r="S8" s="2598">
        <v>1</v>
      </c>
      <c r="T8" s="698"/>
      <c r="U8" s="1677">
        <f>$K8</f>
      </c>
      <c r="V8" s="1688"/>
      <c r="W8" s="641"/>
      <c r="X8" s="1092"/>
      <c r="Y8" s="1092"/>
      <c r="Z8" s="1092"/>
      <c r="AA8" s="1092"/>
      <c r="AB8" s="1746"/>
      <c r="AC8" s="2606"/>
      <c r="AD8" s="2448" t="s">
        <v>65</v>
      </c>
      <c r="AE8" s="2606"/>
      <c r="AF8" s="2448" t="s">
        <v>65</v>
      </c>
      <c r="AG8" s="1748"/>
      <c r="AH8" s="1092"/>
      <c r="AI8" s="1092"/>
      <c r="AJ8" s="1092"/>
      <c r="AK8" s="1598"/>
      <c r="AL8" s="2606"/>
      <c r="AM8" s="2448" t="s">
        <v>65</v>
      </c>
      <c r="AN8" s="2606"/>
      <c r="AO8" s="2448" t="s">
        <v>65</v>
      </c>
      <c r="AP8" s="666"/>
      <c r="AQ8" s="1648" t="s">
        <v>447</v>
      </c>
      <c r="AR8" s="852">
        <f>STRCHECKDATE(X10:AP10)</f>
      </c>
      <c r="AS8" s="841"/>
      <c r="AT8" s="841" t="str">
        <f>IF(V8="","",V8)</f>
        <v/>
      </c>
      <c r="AU8" s="841"/>
      <c r="AV8" s="841"/>
      <c r="AW8" s="1496">
        <v>0</v>
      </c>
    </row>
    <row customHeight="1" ht="21" hidden="1">
      <c r="A9" s="1608"/>
      <c r="B9" s="1608"/>
      <c r="C9" s="1608"/>
      <c r="D9" s="1608"/>
      <c r="E9" s="2631"/>
      <c r="F9" s="2631"/>
      <c r="G9" s="2631"/>
      <c r="H9" s="2631"/>
      <c r="I9" s="2442"/>
      <c r="J9" s="2442"/>
      <c r="K9" s="2442"/>
      <c r="L9" s="2468">
        <f>K8&amp;".1"</f>
      </c>
      <c r="M9" s="1651"/>
      <c r="N9" s="850"/>
      <c r="O9" s="668"/>
      <c r="P9" s="668"/>
      <c r="Q9" s="2598"/>
      <c r="R9" s="2598"/>
      <c r="S9" s="2598"/>
      <c r="T9" s="698"/>
      <c r="U9" s="1677">
        <f>$L9</f>
      </c>
      <c r="V9" s="1732"/>
      <c r="W9" s="641"/>
      <c r="X9" s="666"/>
      <c r="Y9" s="1092"/>
      <c r="Z9" s="1092"/>
      <c r="AA9" s="1092"/>
      <c r="AB9" s="1746"/>
      <c r="AC9" s="2650"/>
      <c r="AD9" s="2448"/>
      <c r="AE9" s="2650"/>
      <c r="AF9" s="2448"/>
      <c r="AG9" s="1748"/>
      <c r="AH9" s="1092"/>
      <c r="AI9" s="1092"/>
      <c r="AJ9" s="1092"/>
      <c r="AK9" s="1598"/>
      <c r="AL9" s="2650"/>
      <c r="AM9" s="2448"/>
      <c r="AN9" s="2650"/>
      <c r="AO9" s="2448"/>
      <c r="AP9" s="666"/>
      <c r="AQ9" s="2594" t="s">
        <v>448</v>
      </c>
      <c r="AS9" s="841"/>
      <c r="AT9" s="841"/>
      <c r="AU9" s="841"/>
      <c r="AV9" s="841"/>
      <c r="AW9" s="1496">
        <v>0</v>
      </c>
    </row>
    <row customHeight="1" ht="14.25" hidden="1">
      <c r="A10" s="1608"/>
      <c r="B10" s="1608"/>
      <c r="C10" s="1608"/>
      <c r="D10" s="1608"/>
      <c r="E10" s="2631"/>
      <c r="F10" s="2631"/>
      <c r="G10" s="2631"/>
      <c r="H10" s="2631"/>
      <c r="I10" s="2442"/>
      <c r="J10" s="2442"/>
      <c r="K10" s="2442"/>
      <c r="L10" s="2468"/>
      <c r="M10" s="1651"/>
      <c r="N10" s="850"/>
      <c r="O10" s="668"/>
      <c r="P10" s="668"/>
      <c r="Q10" s="2598"/>
      <c r="R10" s="2598"/>
      <c r="S10" s="2598"/>
      <c r="T10" s="698"/>
      <c r="U10" s="1683"/>
      <c r="V10" s="641"/>
      <c r="W10" s="641"/>
      <c r="X10" s="666"/>
      <c r="Y10" s="666"/>
      <c r="Z10" s="666"/>
      <c r="AA10" s="666"/>
      <c r="AB10" s="1747" t="str">
        <f>AC8&amp;"-"&amp;AE8</f>
        <v>-</v>
      </c>
      <c r="AC10" s="2650"/>
      <c r="AD10" s="2448"/>
      <c r="AE10" s="2650"/>
      <c r="AF10" s="2448"/>
      <c r="AG10" s="1723"/>
      <c r="AH10" s="666"/>
      <c r="AI10" s="666"/>
      <c r="AJ10" s="666"/>
      <c r="AK10" s="669" t="str">
        <f>AL8&amp;"-"&amp;AN8</f>
        <v>-</v>
      </c>
      <c r="AL10" s="2650"/>
      <c r="AM10" s="2448"/>
      <c r="AN10" s="2650"/>
      <c r="AO10" s="2448"/>
      <c r="AP10" s="666"/>
      <c r="AQ10" s="2595"/>
      <c r="AS10" s="841"/>
      <c r="AT10" s="841" t="str">
        <f>IF(V10="","",V10)</f>
        <v/>
      </c>
      <c r="AU10" s="841"/>
      <c r="AV10" s="841"/>
      <c r="AW10" s="1496">
        <v>0</v>
      </c>
    </row>
    <row customHeight="1" ht="11.25" hidden="1">
      <c r="A11" s="1608"/>
      <c r="B11" s="1608"/>
      <c r="C11" s="1608"/>
      <c r="D11" s="1608"/>
      <c r="E11" s="2631"/>
      <c r="F11" s="2631"/>
      <c r="G11" s="2631"/>
      <c r="H11" s="2631"/>
      <c r="I11" s="2442"/>
      <c r="J11" s="2442"/>
      <c r="K11" s="2468"/>
      <c r="L11" s="1608"/>
      <c r="M11" s="1651"/>
      <c r="N11" s="850"/>
      <c r="O11" s="668"/>
      <c r="P11" s="668"/>
      <c r="Q11" s="2598"/>
      <c r="R11" s="2598"/>
      <c r="S11" s="2598"/>
      <c r="T11" s="698"/>
      <c r="U11" s="1619"/>
      <c r="V11" s="629" t="s">
        <v>449</v>
      </c>
      <c r="W11" s="1733"/>
      <c r="X11" s="1734"/>
      <c r="Y11" s="1734"/>
      <c r="Z11" s="1734"/>
      <c r="AA11" s="1734"/>
      <c r="AB11" s="1735"/>
      <c r="AC11" s="2650"/>
      <c r="AD11" s="2448"/>
      <c r="AE11" s="2650"/>
      <c r="AF11" s="2448"/>
      <c r="AG11" s="1734"/>
      <c r="AH11" s="1734"/>
      <c r="AI11" s="1734"/>
      <c r="AJ11" s="1734"/>
      <c r="AK11" s="1735"/>
      <c r="AL11" s="2650"/>
      <c r="AM11" s="2448"/>
      <c r="AN11" s="2650"/>
      <c r="AO11" s="2448"/>
      <c r="AP11" s="1736"/>
      <c r="AQ11" s="2595"/>
      <c r="AS11" s="841"/>
      <c r="AT11" s="841"/>
      <c r="AU11" s="841"/>
      <c r="AV11" s="841"/>
      <c r="AW11" s="1496">
        <v>0</v>
      </c>
    </row>
    <row customHeight="1" ht="15" hidden="1">
      <c r="A12" s="1608"/>
      <c r="B12" s="1608"/>
      <c r="C12" s="1608"/>
      <c r="D12" s="1608"/>
      <c r="E12" s="2631"/>
      <c r="F12" s="2631"/>
      <c r="G12" s="2631"/>
      <c r="H12" s="2631"/>
      <c r="I12" s="2442"/>
      <c r="J12" s="2468"/>
      <c r="K12" s="1608"/>
      <c r="L12" s="1608"/>
      <c r="M12" s="1651"/>
      <c r="N12" s="850"/>
      <c r="O12" s="668"/>
      <c r="Q12" s="2598"/>
      <c r="R12" s="2598"/>
      <c r="S12" s="1672"/>
      <c r="T12" s="697"/>
      <c r="U12" s="1619"/>
      <c r="V12" s="628" t="s">
        <v>406</v>
      </c>
      <c r="W12" s="708"/>
      <c r="X12" s="708"/>
      <c r="Y12" s="708"/>
      <c r="Z12" s="708"/>
      <c r="AA12" s="708"/>
      <c r="AB12" s="708"/>
      <c r="AC12" s="1749"/>
      <c r="AD12" s="1749"/>
      <c r="AE12" s="1749"/>
      <c r="AF12" s="1749"/>
      <c r="AG12" s="708"/>
      <c r="AH12" s="708"/>
      <c r="AI12" s="708"/>
      <c r="AJ12" s="708"/>
      <c r="AK12" s="708"/>
      <c r="AL12" s="708"/>
      <c r="AM12" s="708"/>
      <c r="AN12" s="708"/>
      <c r="AO12" s="708"/>
      <c r="AP12" s="665"/>
      <c r="AQ12" s="2596"/>
      <c r="AS12" s="841"/>
      <c r="AT12" s="841" t="str">
        <f>IF(V12="","",V12)</f>
        <v>Добавить вид теплоносителя (параметры теплоносителя)</v>
      </c>
      <c r="AU12" s="841"/>
      <c r="AV12" s="841"/>
      <c r="AW12" s="1496">
        <v>0</v>
      </c>
    </row>
    <row customHeight="1" ht="11.25" hidden="1">
      <c r="A13" s="1608"/>
      <c r="B13" s="1608"/>
      <c r="C13" s="1608"/>
      <c r="D13" s="1608"/>
      <c r="E13" s="2631"/>
      <c r="F13" s="2631"/>
      <c r="G13" s="2631"/>
      <c r="H13" s="2631"/>
      <c r="I13" s="2468"/>
      <c r="J13" s="1608"/>
      <c r="K13" s="1608"/>
      <c r="L13" s="1608"/>
      <c r="M13" s="1651"/>
      <c r="N13" s="850"/>
      <c r="Q13" s="2598"/>
      <c r="R13" s="1672"/>
      <c r="S13" s="1672"/>
      <c r="T13" s="697"/>
      <c r="U13" s="1619"/>
      <c r="V13" s="706" t="s">
        <v>407</v>
      </c>
      <c r="W13" s="708"/>
      <c r="X13" s="708"/>
      <c r="Y13" s="708"/>
      <c r="Z13" s="708"/>
      <c r="AA13" s="708"/>
      <c r="AB13" s="708"/>
      <c r="AC13" s="708"/>
      <c r="AD13" s="708"/>
      <c r="AE13" s="708"/>
      <c r="AF13" s="707"/>
      <c r="AG13" s="708"/>
      <c r="AH13" s="708"/>
      <c r="AI13" s="708"/>
      <c r="AJ13" s="708"/>
      <c r="AK13" s="708"/>
      <c r="AL13" s="708"/>
      <c r="AM13" s="708"/>
      <c r="AN13" s="708"/>
      <c r="AO13" s="707"/>
      <c r="AP13" s="708"/>
      <c r="AQ13" s="644"/>
      <c r="AS13" s="841"/>
      <c r="AT13" s="841" t="str">
        <f>IF(V13="","",V13)</f>
        <v>Добавить группу потребителей</v>
      </c>
      <c r="AU13" s="841"/>
      <c r="AV13" s="841"/>
      <c r="AW13" s="1496">
        <v>0</v>
      </c>
    </row>
    <row customHeight="1" ht="14.25" hidden="1">
      <c r="A14" s="1608"/>
      <c r="B14" s="1608"/>
      <c r="C14" s="1608"/>
      <c r="D14" s="1608"/>
      <c r="E14" s="2631"/>
      <c r="F14" s="2631"/>
      <c r="G14" s="2631"/>
      <c r="H14" s="2630"/>
      <c r="I14" s="1608"/>
      <c r="J14" s="1608"/>
      <c r="K14" s="1608"/>
      <c r="L14" s="1608"/>
      <c r="M14" s="1651"/>
      <c r="N14" s="1029"/>
      <c r="O14" s="1029"/>
      <c r="P14" s="850"/>
      <c r="Q14" s="701"/>
      <c r="R14" s="716"/>
      <c r="S14" s="696"/>
      <c r="T14" s="701"/>
      <c r="U14" s="1727"/>
      <c r="V14" s="1728"/>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30"/>
      <c r="AS14" s="841"/>
      <c r="AT14" s="841" t="str">
        <f>IF(V14="","",V14)</f>
        <v/>
      </c>
      <c r="AU14" s="841"/>
      <c r="AV14" s="841"/>
      <c r="AW14" s="1496">
        <v>0</v>
      </c>
    </row>
    <row s="17316" customFormat="1" customHeight="1" ht="14.25" hidden="1">
      <c r="A15" s="1715"/>
      <c r="B15" s="1715"/>
      <c r="C15" s="1715"/>
      <c r="D15" s="1715"/>
      <c r="E15" s="2631"/>
      <c r="F15" s="2631"/>
      <c r="G15" s="2630"/>
      <c r="H15" s="1715"/>
      <c r="I15" s="1715"/>
      <c r="J15" s="1715"/>
      <c r="K15" s="1715"/>
      <c r="L15" s="1715"/>
      <c r="M15" s="1718"/>
      <c r="N15" s="1719"/>
      <c r="O15" s="1719"/>
      <c r="P15" s="692"/>
      <c r="Q15" s="1657"/>
      <c r="R15" s="1658"/>
      <c r="S15" s="1657"/>
      <c r="T15" s="1657"/>
      <c r="U15" s="1659"/>
      <c r="V15" s="1660" t="s">
        <v>409</v>
      </c>
      <c r="W15" s="1661"/>
      <c r="X15" s="1661"/>
      <c r="Y15" s="1661"/>
      <c r="Z15" s="1661"/>
      <c r="AA15" s="1661"/>
      <c r="AB15" s="1661"/>
      <c r="AC15" s="1661"/>
      <c r="AD15" s="1661"/>
      <c r="AE15" s="1661"/>
      <c r="AF15" s="1661"/>
      <c r="AG15" s="1661"/>
      <c r="AH15" s="1661"/>
      <c r="AI15" s="1661"/>
      <c r="AJ15" s="1661"/>
      <c r="AK15" s="1661"/>
      <c r="AL15" s="1661"/>
      <c r="AM15" s="1661"/>
      <c r="AN15" s="1661"/>
      <c r="AO15" s="1661"/>
      <c r="AP15" s="1661"/>
      <c r="AQ15" s="1661"/>
      <c r="AS15" s="1130"/>
      <c r="AT15" s="1130" t="str">
        <f>IF(V15="","",V15)</f>
        <v>Добавить источник для дифференциации</v>
      </c>
      <c r="AU15" s="1130"/>
      <c r="AV15" s="1130"/>
      <c r="AW15" s="859">
        <v>0</v>
      </c>
    </row>
    <row s="17316" customFormat="1" customHeight="1" ht="14.25" hidden="1">
      <c r="A16" s="1715"/>
      <c r="B16" s="1715"/>
      <c r="C16" s="1715"/>
      <c r="D16" s="1715"/>
      <c r="E16" s="2631"/>
      <c r="F16" s="2630"/>
      <c r="G16" s="1715"/>
      <c r="H16" s="1715"/>
      <c r="I16" s="1715"/>
      <c r="J16" s="1715"/>
      <c r="K16" s="1715"/>
      <c r="L16" s="1715"/>
      <c r="M16" s="1718"/>
      <c r="N16" s="1720"/>
      <c r="O16" s="1720"/>
      <c r="P16" s="692"/>
      <c r="Q16" s="1657"/>
      <c r="R16" s="1658"/>
      <c r="S16" s="1657"/>
      <c r="T16" s="1657"/>
      <c r="U16" s="1663"/>
      <c r="V16" s="1664" t="s">
        <v>410</v>
      </c>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S16" s="1130"/>
      <c r="AT16" s="1130" t="str">
        <f>IF(V16="","",V16)</f>
        <v>Добавить централизованную систему для дифференциации</v>
      </c>
      <c r="AU16" s="1130"/>
      <c r="AV16" s="1130"/>
      <c r="AW16" s="859">
        <v>0</v>
      </c>
    </row>
    <row s="17316" customFormat="1" customHeight="1" ht="14.25" hidden="1">
      <c r="A17" s="1715"/>
      <c r="B17" s="1715"/>
      <c r="C17" s="1715"/>
      <c r="D17" s="1715"/>
      <c r="E17" s="2630"/>
      <c r="F17" s="1715"/>
      <c r="G17" s="1715"/>
      <c r="H17" s="1715"/>
      <c r="I17" s="1715"/>
      <c r="J17" s="1715"/>
      <c r="K17" s="1715"/>
      <c r="L17" s="1715"/>
      <c r="M17" s="1718"/>
      <c r="N17" s="1720"/>
      <c r="O17" s="1720"/>
      <c r="P17" s="692"/>
      <c r="Q17" s="1657"/>
      <c r="R17" s="1658"/>
      <c r="S17" s="1657"/>
      <c r="T17" s="1657"/>
      <c r="U17" s="1663"/>
      <c r="V17" s="1666" t="s">
        <v>411</v>
      </c>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S17" s="1130"/>
      <c r="AT17" s="1130" t="str">
        <f>IF(V17="","",V17)</f>
        <v>Добавить территорию для дифференциации</v>
      </c>
      <c r="AU17" s="1130"/>
      <c r="AV17" s="1130"/>
      <c r="AW17" s="859">
        <v>0</v>
      </c>
    </row>
    <row customHeight="1" ht="14.25" hidden="1">
      <c r="AF18" s="668"/>
      <c r="AO18" s="668"/>
      <c r="AW18" s="1496">
        <v>0</v>
      </c>
    </row>
    <row customHeight="1" ht="14.25" hidden="1">
      <c r="AG19" s="1701"/>
      <c r="AH19" s="1701"/>
      <c r="AI19" s="1701"/>
      <c r="AJ19" s="1701"/>
      <c r="AK19" s="1702"/>
      <c r="AL19" s="2608"/>
      <c r="AM19" s="2609" t="s">
        <v>65</v>
      </c>
      <c r="AN19" s="2608"/>
      <c r="AO19" s="2609" t="s">
        <v>65</v>
      </c>
      <c r="AW19" s="1496">
        <v>0</v>
      </c>
    </row>
    <row customHeight="1" ht="14.25" hidden="1">
      <c r="AG20" s="1701"/>
      <c r="AH20" s="1701"/>
      <c r="AI20" s="1701"/>
      <c r="AJ20" s="1701"/>
      <c r="AK20" s="1702"/>
      <c r="AL20" s="2608"/>
      <c r="AM20" s="2609"/>
      <c r="AN20" s="2608"/>
      <c r="AO20" s="2609"/>
      <c r="AW20" s="1496">
        <v>0</v>
      </c>
    </row>
    <row customHeight="1" ht="14.25" hidden="1">
      <c r="AG21" s="1701"/>
      <c r="AH21" s="1701"/>
      <c r="AI21" s="1701"/>
      <c r="AJ21" s="1701"/>
      <c r="AK21" s="1702"/>
      <c r="AL21" s="2608"/>
      <c r="AM21" s="2609"/>
      <c r="AN21" s="2608"/>
      <c r="AO21" s="2609"/>
      <c r="AW21" s="1496">
        <v>0</v>
      </c>
    </row>
    <row customHeight="1" ht="14.25" hidden="1">
      <c r="AG22" s="1701"/>
      <c r="AH22" s="1701"/>
      <c r="AI22" s="1701"/>
      <c r="AJ22" s="1701"/>
      <c r="AK22" s="669" t="str">
        <f>AL19&amp;"-"&amp;AN19</f>
        <v>-</v>
      </c>
      <c r="AL22" s="2609"/>
      <c r="AM22" s="2609"/>
      <c r="AN22" s="2609"/>
      <c r="AO22" s="2609"/>
      <c r="AW22" s="1496">
        <v>0</v>
      </c>
    </row>
    <row customHeight="1" ht="14.25" hidden="1">
      <c r="AO23" s="668"/>
      <c r="AW23" s="1496">
        <v>0</v>
      </c>
    </row>
    <row s="17315" customFormat="1" customHeight="1" ht="22.5" hidden="1">
      <c r="A24" s="1496"/>
      <c r="B24" s="1496"/>
      <c r="C24" s="1496"/>
      <c r="D24" s="1496"/>
      <c r="E24" s="1496"/>
      <c r="F24" s="1496"/>
      <c r="G24" s="1496"/>
      <c r="H24" s="1496"/>
      <c r="I24" s="1496"/>
      <c r="J24" s="1496"/>
      <c r="K24" s="1496"/>
      <c r="L24" s="1496"/>
      <c r="M24" s="1668"/>
      <c r="N24" s="1669"/>
      <c r="O24" s="1669"/>
      <c r="P24" s="1686" t="s">
        <v>412</v>
      </c>
      <c r="Q24" s="1703"/>
      <c r="R24" s="1712"/>
      <c r="S24" s="1712"/>
      <c r="T24" s="1712"/>
      <c r="U24" s="1070"/>
      <c r="AC24" s="1708"/>
      <c r="AE24" s="1708"/>
      <c r="AF24" s="1707"/>
      <c r="AL24" s="1708"/>
      <c r="AN24" s="1708"/>
      <c r="AO24" s="1707"/>
      <c r="AR24" s="852"/>
      <c r="AS24" s="852"/>
      <c r="AT24" s="852"/>
      <c r="AU24" s="852"/>
      <c r="AV24" s="852"/>
      <c r="AW24" s="1501">
        <v>0</v>
      </c>
    </row>
    <row s="17315" customFormat="1" customHeight="1" ht="14.25" hidden="1">
      <c r="A25" s="1496"/>
      <c r="B25" s="1496"/>
      <c r="C25" s="1496"/>
      <c r="D25" s="1496"/>
      <c r="E25" s="1496"/>
      <c r="F25" s="1496"/>
      <c r="G25" s="1496"/>
      <c r="H25" s="1496"/>
      <c r="I25" s="1496"/>
      <c r="J25" s="1496"/>
      <c r="K25" s="1496"/>
      <c r="L25" s="1496"/>
      <c r="M25" s="1668"/>
      <c r="N25" s="1669"/>
      <c r="O25" s="1669"/>
      <c r="P25" s="1669"/>
      <c r="Q25" s="1703"/>
      <c r="R25" s="1712"/>
      <c r="S25" s="1712"/>
      <c r="T25" s="1712"/>
      <c r="U25" s="1070"/>
      <c r="AF25" s="1707"/>
      <c r="AO25" s="1707"/>
      <c r="AR25" s="852"/>
      <c r="AS25" s="852"/>
      <c r="AT25" s="852"/>
      <c r="AU25" s="852"/>
      <c r="AV25" s="852"/>
      <c r="AW25" s="1501">
        <v>0</v>
      </c>
    </row>
    <row s="17315" customFormat="1" customHeight="1" ht="14.25" hidden="1">
      <c r="A26" s="1496"/>
      <c r="B26" s="1496"/>
      <c r="C26" s="1496"/>
      <c r="D26" s="1496"/>
      <c r="E26" s="1496"/>
      <c r="F26" s="1496"/>
      <c r="G26" s="1496"/>
      <c r="H26" s="1496"/>
      <c r="I26" s="1496"/>
      <c r="J26" s="1496"/>
      <c r="K26" s="1496"/>
      <c r="L26" s="1496"/>
      <c r="M26" s="1668"/>
      <c r="N26" s="1669"/>
      <c r="O26" s="1669"/>
      <c r="P26" s="1651" t="s">
        <v>413</v>
      </c>
      <c r="Q26" s="1703"/>
      <c r="R26" s="1712"/>
      <c r="S26" s="1712"/>
      <c r="T26" s="1712"/>
      <c r="U26" s="1070"/>
      <c r="V26" s="1501" t="s">
        <v>414</v>
      </c>
      <c r="AD26" s="527" t="s">
        <v>415</v>
      </c>
      <c r="AF26" s="527" t="s">
        <v>416</v>
      </c>
      <c r="AG26" s="1501" t="s">
        <v>414</v>
      </c>
      <c r="AM26" s="527" t="s">
        <v>417</v>
      </c>
      <c r="AO26" s="527" t="s">
        <v>416</v>
      </c>
      <c r="AR26" s="852"/>
      <c r="AS26" s="852"/>
      <c r="AT26" s="852"/>
      <c r="AU26" s="852"/>
      <c r="AV26" s="852"/>
      <c r="AW26" s="1501">
        <v>0</v>
      </c>
    </row>
    <row customHeight="1" ht="14.25" hidden="1">
      <c r="P27" s="1651"/>
      <c r="AW27" s="1496">
        <v>0</v>
      </c>
    </row>
    <row customHeight="1" ht="14.25" hidden="1">
      <c r="P28" s="1651"/>
      <c r="AW28" s="1496">
        <v>0</v>
      </c>
    </row>
    <row customHeight="1" ht="14.699999999999998">
      <c r="R29" s="717"/>
      <c r="S29" s="717"/>
      <c r="T29" s="717"/>
      <c r="U29" s="1616"/>
      <c r="V29" s="704"/>
      <c r="W29" s="704"/>
      <c r="X29" s="850"/>
      <c r="Y29" s="850"/>
      <c r="Z29" s="850"/>
      <c r="AA29" s="850"/>
      <c r="AB29" s="850"/>
      <c r="AC29" s="850"/>
      <c r="AD29" s="850"/>
      <c r="AE29" s="850"/>
      <c r="AF29" s="850"/>
      <c r="AG29" s="850"/>
      <c r="AH29" s="850"/>
      <c r="AI29" s="850"/>
      <c r="AJ29" s="850"/>
      <c r="AK29" s="850"/>
      <c r="AL29" s="850"/>
      <c r="AM29" s="850"/>
      <c r="AN29" s="850"/>
      <c r="AO29" s="850"/>
      <c r="AW29" s="1496">
        <v>14</v>
      </c>
    </row>
    <row customHeight="1" ht="56.699999999999996">
      <c r="R30" s="717"/>
      <c r="S30" s="717"/>
      <c r="T30" s="717"/>
      <c r="U30" s="258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89"/>
      <c r="W30" s="2589"/>
      <c r="X30" s="2589"/>
      <c r="Y30" s="2589"/>
      <c r="Z30" s="2589"/>
      <c r="AA30" s="2589"/>
      <c r="AB30" s="2589"/>
      <c r="AC30" s="2589"/>
      <c r="AD30" s="2589"/>
      <c r="AE30" s="2589"/>
      <c r="AF30" s="2589"/>
      <c r="AG30" s="2589"/>
      <c r="AH30" s="2589"/>
      <c r="AI30" s="2589"/>
      <c r="AJ30" s="2589"/>
      <c r="AK30" s="2589"/>
      <c r="AL30" s="2589"/>
      <c r="AM30" s="2589"/>
      <c r="AN30" s="2589"/>
      <c r="AO30" s="1584"/>
      <c r="AW30" s="1496">
        <v>54</v>
      </c>
    </row>
    <row customHeight="1" ht="14.699999999999998">
      <c r="R31" s="717"/>
      <c r="S31" s="717"/>
      <c r="T31" s="717"/>
      <c r="U31" s="2590" t="str">
        <f>IF(org=0,"Не определено",org)</f>
        <v>АО "ДГК"</v>
      </c>
      <c r="V31" s="2590"/>
      <c r="W31" s="2590"/>
      <c r="X31" s="2590"/>
      <c r="Y31" s="2590"/>
      <c r="Z31" s="2590"/>
      <c r="AA31" s="2590"/>
      <c r="AB31" s="2590"/>
      <c r="AC31" s="2590"/>
      <c r="AD31" s="2590"/>
      <c r="AE31" s="2590"/>
      <c r="AF31" s="2590"/>
      <c r="AG31" s="2590"/>
      <c r="AH31" s="2590"/>
      <c r="AI31" s="2590"/>
      <c r="AJ31" s="2590"/>
      <c r="AK31" s="2590"/>
      <c r="AL31" s="2590"/>
      <c r="AM31" s="2590"/>
      <c r="AN31" s="2590"/>
      <c r="AO31" s="1584"/>
      <c r="AW31" s="1496">
        <v>14</v>
      </c>
    </row>
    <row customHeight="1" ht="14.25" hidden="1">
      <c r="R32" s="717"/>
      <c r="S32" s="717"/>
      <c r="T32" s="717"/>
      <c r="U32" s="1616"/>
      <c r="V32" s="704"/>
      <c r="W32" s="704"/>
      <c r="X32" s="663"/>
      <c r="Y32" s="663"/>
      <c r="Z32" s="663"/>
      <c r="AA32" s="663"/>
      <c r="AB32" s="663"/>
      <c r="AC32" s="663"/>
      <c r="AD32" s="663"/>
      <c r="AE32" s="663"/>
      <c r="AF32" s="663"/>
      <c r="AG32" s="663"/>
      <c r="AH32" s="663"/>
      <c r="AI32" s="663"/>
      <c r="AJ32" s="663"/>
      <c r="AK32" s="663"/>
      <c r="AL32" s="663"/>
      <c r="AM32" s="663"/>
      <c r="AN32" s="663"/>
      <c r="AO32" s="663"/>
      <c r="AP32" s="850"/>
      <c r="AW32" s="1496">
        <v>0</v>
      </c>
    </row>
    <row s="17442" customFormat="1" customHeight="1" ht="25.5" hidden="1">
      <c r="A33" s="1589"/>
      <c r="B33" s="1589"/>
      <c r="C33" s="1589"/>
      <c r="D33" s="1589"/>
      <c r="E33" s="1589"/>
      <c r="F33" s="1589"/>
      <c r="G33" s="1589"/>
      <c r="H33" s="1589"/>
      <c r="I33" s="1589"/>
      <c r="J33" s="1589"/>
      <c r="K33" s="1589"/>
      <c r="L33" s="1589"/>
      <c r="M33" s="1721"/>
      <c r="N33" s="1589"/>
      <c r="O33" s="1589"/>
      <c r="P33" s="1589"/>
      <c r="U33" s="2591" t="s">
        <v>41</v>
      </c>
      <c r="V33" s="2591"/>
      <c r="W33" s="1713"/>
      <c r="X33" s="2592" t="str">
        <f>IF(TITLE_NAME_OR_PR_CHANGE="",IF(TITLE_NAME_OR_PR="","",TITLE_NAME_OR_PR),TITLE_NAME_OR_PR_CHANGE)</f>
        <v/>
      </c>
      <c r="Y33" s="2592"/>
      <c r="Z33" s="2592"/>
      <c r="AA33" s="2592"/>
      <c r="AB33" s="2592"/>
      <c r="AC33" s="2592"/>
      <c r="AD33" s="2592"/>
      <c r="AE33" s="2592"/>
      <c r="AF33" s="667"/>
      <c r="AG33" s="2592" t="str">
        <f>IF(TITLE_NAME_OR_PR_CHANGE="",IF(TITLE_NAME_OR_PR="","",TITLE_NAME_OR_PR),TITLE_NAME_OR_PR_CHANGE)</f>
        <v/>
      </c>
      <c r="AH33" s="2592"/>
      <c r="AI33" s="2592"/>
      <c r="AJ33" s="2592"/>
      <c r="AK33" s="2592"/>
      <c r="AL33" s="2592"/>
      <c r="AM33" s="2592"/>
      <c r="AN33" s="2592"/>
      <c r="AO33" s="667"/>
      <c r="AP33" s="667"/>
      <c r="AQ33" s="621"/>
      <c r="AR33" s="709"/>
      <c r="AS33" s="709"/>
      <c r="AT33" s="709"/>
      <c r="AU33" s="709"/>
      <c r="AV33" s="709"/>
      <c r="AW33" s="759">
        <v>0</v>
      </c>
    </row>
    <row s="17442" customFormat="1" customHeight="1" ht="18.75" hidden="1">
      <c r="A34" s="1589"/>
      <c r="B34" s="1589"/>
      <c r="C34" s="1589"/>
      <c r="D34" s="1589"/>
      <c r="E34" s="1589"/>
      <c r="F34" s="1589"/>
      <c r="G34" s="1589"/>
      <c r="H34" s="1589"/>
      <c r="I34" s="1589"/>
      <c r="J34" s="1589"/>
      <c r="K34" s="1589"/>
      <c r="L34" s="1589"/>
      <c r="M34" s="1721"/>
      <c r="N34" s="1589"/>
      <c r="O34" s="1589"/>
      <c r="P34" s="1589"/>
      <c r="U34" s="2591" t="s">
        <v>418</v>
      </c>
      <c r="V34" s="2591"/>
      <c r="W34" s="1713"/>
      <c r="X34" s="2605" t="str">
        <f>IF(TITLE_DATE_PR_CHANGE="",IF(TITLE_DATE_PR="","",TITLE_DATE_PR),TITLE_DATE_PR_CHANGE)</f>
        <v/>
      </c>
      <c r="Y34" s="2605"/>
      <c r="Z34" s="2605"/>
      <c r="AA34" s="2605"/>
      <c r="AB34" s="2605"/>
      <c r="AC34" s="2605"/>
      <c r="AD34" s="2605"/>
      <c r="AE34" s="2605"/>
      <c r="AF34" s="667"/>
      <c r="AG34" s="2605" t="str">
        <f>IF(TITLE_DATE_PR_CHANGE="",IF(TITLE_DATE_PR="","",TITLE_DATE_PR),TITLE_DATE_PR_CHANGE)</f>
        <v/>
      </c>
      <c r="AH34" s="2605"/>
      <c r="AI34" s="2605"/>
      <c r="AJ34" s="2605"/>
      <c r="AK34" s="2605"/>
      <c r="AL34" s="2605"/>
      <c r="AM34" s="2605"/>
      <c r="AN34" s="2605"/>
      <c r="AO34" s="667"/>
      <c r="AP34" s="667"/>
      <c r="AQ34" s="621"/>
      <c r="AR34" s="709"/>
      <c r="AS34" s="709"/>
      <c r="AT34" s="709"/>
      <c r="AU34" s="709"/>
      <c r="AV34" s="709"/>
      <c r="AW34" s="759">
        <v>0</v>
      </c>
    </row>
    <row s="17442" customFormat="1" customHeight="1" ht="18.75" hidden="1">
      <c r="A35" s="1589"/>
      <c r="B35" s="1589"/>
      <c r="C35" s="1589"/>
      <c r="D35" s="1589"/>
      <c r="E35" s="1589"/>
      <c r="F35" s="1589"/>
      <c r="G35" s="1589"/>
      <c r="H35" s="1589"/>
      <c r="I35" s="1589"/>
      <c r="J35" s="1589"/>
      <c r="K35" s="1589"/>
      <c r="L35" s="1589"/>
      <c r="M35" s="1721"/>
      <c r="N35" s="1589"/>
      <c r="O35" s="1589"/>
      <c r="P35" s="1589"/>
      <c r="U35" s="2591" t="s">
        <v>419</v>
      </c>
      <c r="V35" s="2591"/>
      <c r="W35" s="1713"/>
      <c r="X35" s="2592" t="str">
        <f>IF(TITLE_NUMBER_PR_CHANGE="",IF(TITLE_NUMBER_PR="","",TITLE_NUMBER_PR),TITLE_NUMBER_PR_CHANGE)</f>
        <v/>
      </c>
      <c r="Y35" s="2592"/>
      <c r="Z35" s="2592"/>
      <c r="AA35" s="2592"/>
      <c r="AB35" s="2592"/>
      <c r="AC35" s="2592"/>
      <c r="AD35" s="2592"/>
      <c r="AE35" s="2592"/>
      <c r="AF35" s="667"/>
      <c r="AG35" s="2592" t="str">
        <f>IF(TITLE_NUMBER_PR_CHANGE="",IF(TITLE_NUMBER_PR="","",TITLE_NUMBER_PR),TITLE_NUMBER_PR_CHANGE)</f>
        <v/>
      </c>
      <c r="AH35" s="2592"/>
      <c r="AI35" s="2592"/>
      <c r="AJ35" s="2592"/>
      <c r="AK35" s="2592"/>
      <c r="AL35" s="2592"/>
      <c r="AM35" s="2592"/>
      <c r="AN35" s="2592"/>
      <c r="AO35" s="667"/>
      <c r="AP35" s="667"/>
      <c r="AQ35" s="621"/>
      <c r="AR35" s="709"/>
      <c r="AS35" s="709"/>
      <c r="AT35" s="709"/>
      <c r="AU35" s="709"/>
      <c r="AV35" s="709"/>
      <c r="AW35" s="759">
        <v>0</v>
      </c>
    </row>
    <row s="17442" customFormat="1" customHeight="1" ht="18.75" hidden="1">
      <c r="A36" s="1589"/>
      <c r="B36" s="1589"/>
      <c r="C36" s="1589"/>
      <c r="D36" s="1589"/>
      <c r="E36" s="1589"/>
      <c r="F36" s="1589"/>
      <c r="G36" s="1589"/>
      <c r="H36" s="1589"/>
      <c r="I36" s="1589"/>
      <c r="J36" s="1589"/>
      <c r="K36" s="1589"/>
      <c r="L36" s="1589"/>
      <c r="M36" s="1721"/>
      <c r="N36" s="1589"/>
      <c r="O36" s="1589"/>
      <c r="P36" s="1589"/>
      <c r="U36" s="2591" t="s">
        <v>42</v>
      </c>
      <c r="V36" s="2591"/>
      <c r="W36" s="1713"/>
      <c r="X36" s="2592" t="str">
        <f>IF(TITLE_IST_PUB_CHANGE="",IF(TITLE_IST_PUB="","",TITLE_IST_PUB),TITLE_IST_PUB_CHANGE)</f>
        <v/>
      </c>
      <c r="Y36" s="2592"/>
      <c r="Z36" s="2592"/>
      <c r="AA36" s="2592"/>
      <c r="AB36" s="2592"/>
      <c r="AC36" s="2592"/>
      <c r="AD36" s="2592"/>
      <c r="AE36" s="2592"/>
      <c r="AF36" s="667"/>
      <c r="AG36" s="2592" t="str">
        <f>IF(TITLE_IST_PUB_CHANGE="",IF(TITLE_IST_PUB="","",TITLE_IST_PUB),TITLE_IST_PUB_CHANGE)</f>
        <v/>
      </c>
      <c r="AH36" s="2592"/>
      <c r="AI36" s="2592"/>
      <c r="AJ36" s="2592"/>
      <c r="AK36" s="2592"/>
      <c r="AL36" s="2592"/>
      <c r="AM36" s="2592"/>
      <c r="AN36" s="2592"/>
      <c r="AO36" s="667"/>
      <c r="AP36" s="667"/>
      <c r="AQ36" s="621"/>
      <c r="AR36" s="709"/>
      <c r="AS36" s="709"/>
      <c r="AT36" s="709"/>
      <c r="AU36" s="709"/>
      <c r="AV36" s="709"/>
      <c r="AW36" s="759">
        <v>0</v>
      </c>
    </row>
    <row customHeight="1" ht="14.25" hidden="1">
      <c r="R37" s="717"/>
      <c r="S37" s="717"/>
      <c r="T37" s="717"/>
      <c r="U37" s="1616"/>
      <c r="V37" s="704"/>
      <c r="W37" s="704"/>
      <c r="X37" s="663"/>
      <c r="Y37" s="663"/>
      <c r="Z37" s="663"/>
      <c r="AA37" s="663"/>
      <c r="AB37" s="663"/>
      <c r="AC37" s="663"/>
      <c r="AD37" s="663"/>
      <c r="AE37" s="663"/>
      <c r="AF37" s="663"/>
      <c r="AG37" s="663"/>
      <c r="AH37" s="663"/>
      <c r="AI37" s="663"/>
      <c r="AJ37" s="663"/>
      <c r="AK37" s="663"/>
      <c r="AL37" s="663"/>
      <c r="AM37" s="663"/>
      <c r="AN37" s="663"/>
      <c r="AO37" s="663"/>
      <c r="AP37" s="850"/>
      <c r="AW37" s="1496">
        <v>0</v>
      </c>
    </row>
    <row s="17442" customFormat="1" customHeight="1" ht="18.75" hidden="1">
      <c r="A38" s="1589"/>
      <c r="B38" s="1589"/>
      <c r="C38" s="1589"/>
      <c r="D38" s="1589"/>
      <c r="E38" s="1589"/>
      <c r="F38" s="1589"/>
      <c r="G38" s="1589"/>
      <c r="H38" s="1589"/>
      <c r="I38" s="1589"/>
      <c r="J38" s="1589"/>
      <c r="K38" s="1589"/>
      <c r="L38" s="1589"/>
      <c r="M38" s="1721"/>
      <c r="N38" s="1589"/>
      <c r="O38" s="1589"/>
      <c r="P38" s="1589"/>
      <c r="U38" s="2591" t="s">
        <v>420</v>
      </c>
      <c r="V38" s="2591"/>
      <c r="W38" s="1713"/>
      <c r="X38" s="2605" t="str">
        <f>IF(TITLE_DATE_PR_CHANGE="",IF(TITLE_DATE_PR="","",TITLE_DATE_PR),TITLE_DATE_PR_CHANGE)</f>
        <v/>
      </c>
      <c r="Y38" s="2605"/>
      <c r="Z38" s="2605"/>
      <c r="AA38" s="2605"/>
      <c r="AB38" s="2605"/>
      <c r="AC38" s="2605"/>
      <c r="AD38" s="2605"/>
      <c r="AE38" s="2605"/>
      <c r="AF38" s="667"/>
      <c r="AG38" s="2605" t="str">
        <f>IF(TITLE_DATE_PR_CHANGE="",IF(TITLE_DATE_PR="","",TITLE_DATE_PR),TITLE_DATE_PR_CHANGE)</f>
        <v/>
      </c>
      <c r="AH38" s="2605"/>
      <c r="AI38" s="2605"/>
      <c r="AJ38" s="2605"/>
      <c r="AK38" s="2605"/>
      <c r="AL38" s="2605"/>
      <c r="AM38" s="2605"/>
      <c r="AN38" s="2605"/>
      <c r="AO38" s="667"/>
      <c r="AP38" s="667"/>
      <c r="AQ38" s="621"/>
      <c r="AR38" s="709"/>
      <c r="AS38" s="709"/>
      <c r="AT38" s="709"/>
      <c r="AU38" s="709"/>
      <c r="AV38" s="709"/>
      <c r="AW38" s="759">
        <v>0</v>
      </c>
    </row>
    <row s="17442" customFormat="1" customHeight="1" ht="18.75" hidden="1">
      <c r="A39" s="1589"/>
      <c r="B39" s="1589"/>
      <c r="C39" s="1589"/>
      <c r="D39" s="1589"/>
      <c r="E39" s="1589"/>
      <c r="F39" s="1589"/>
      <c r="G39" s="1589"/>
      <c r="H39" s="1589"/>
      <c r="I39" s="1589"/>
      <c r="J39" s="1589"/>
      <c r="K39" s="1589"/>
      <c r="L39" s="1589"/>
      <c r="M39" s="1721"/>
      <c r="N39" s="1589"/>
      <c r="O39" s="1589"/>
      <c r="P39" s="1589"/>
      <c r="U39" s="2591" t="s">
        <v>421</v>
      </c>
      <c r="V39" s="2591"/>
      <c r="W39" s="1713"/>
      <c r="X39" s="2592" t="str">
        <f>IF(TITLE_NUMBER_PR_CHANGE="",IF(TITLE_NUMBER_PR="","",TITLE_NUMBER_PR),TITLE_NUMBER_PR_CHANGE)</f>
        <v/>
      </c>
      <c r="Y39" s="2592"/>
      <c r="Z39" s="2592"/>
      <c r="AA39" s="2592"/>
      <c r="AB39" s="2592"/>
      <c r="AC39" s="2592"/>
      <c r="AD39" s="2592"/>
      <c r="AE39" s="2592"/>
      <c r="AF39" s="667"/>
      <c r="AG39" s="2592" t="str">
        <f>IF(TITLE_NUMBER_PR_CHANGE="",IF(TITLE_NUMBER_PR="","",TITLE_NUMBER_PR),TITLE_NUMBER_PR_CHANGE)</f>
        <v/>
      </c>
      <c r="AH39" s="2592"/>
      <c r="AI39" s="2592"/>
      <c r="AJ39" s="2592"/>
      <c r="AK39" s="2592"/>
      <c r="AL39" s="2592"/>
      <c r="AM39" s="2592"/>
      <c r="AN39" s="2592"/>
      <c r="AO39" s="667"/>
      <c r="AP39" s="667"/>
      <c r="AQ39" s="621"/>
      <c r="AR39" s="709"/>
      <c r="AS39" s="709"/>
      <c r="AT39" s="709"/>
      <c r="AU39" s="709"/>
      <c r="AV39" s="709"/>
      <c r="AW39" s="759">
        <v>0</v>
      </c>
    </row>
    <row s="17442" customFormat="1" customHeight="1" ht="0">
      <c r="A40" s="1589"/>
      <c r="B40" s="1589"/>
      <c r="C40" s="1589"/>
      <c r="D40" s="1589"/>
      <c r="E40" s="1589"/>
      <c r="F40" s="1589"/>
      <c r="G40" s="1589"/>
      <c r="H40" s="1589"/>
      <c r="I40" s="1589"/>
      <c r="J40" s="1589"/>
      <c r="K40" s="1589"/>
      <c r="L40" s="1589"/>
      <c r="M40" s="1721"/>
      <c r="N40" s="1589"/>
      <c r="O40" s="1589"/>
      <c r="P40" s="1589"/>
      <c r="U40" s="664"/>
      <c r="V40" s="664"/>
      <c r="W40" s="1681"/>
      <c r="X40" s="667"/>
      <c r="Y40" s="667"/>
      <c r="Z40" s="667"/>
      <c r="AA40" s="667"/>
      <c r="AB40" s="667"/>
      <c r="AC40" s="667"/>
      <c r="AD40" s="667"/>
      <c r="AE40" s="667"/>
      <c r="AF40" s="619" t="s">
        <v>422</v>
      </c>
      <c r="AG40" s="667"/>
      <c r="AH40" s="667"/>
      <c r="AI40" s="667"/>
      <c r="AJ40" s="667"/>
      <c r="AK40" s="667"/>
      <c r="AL40" s="667"/>
      <c r="AM40" s="667"/>
      <c r="AN40" s="667"/>
      <c r="AO40" s="619" t="s">
        <v>422</v>
      </c>
      <c r="AR40" s="709"/>
      <c r="AS40" s="709"/>
      <c r="AT40" s="709"/>
      <c r="AU40" s="709"/>
      <c r="AV40" s="709"/>
      <c r="AW40" s="759">
        <v>0</v>
      </c>
    </row>
    <row customHeight="1" ht="14.699999999999998">
      <c r="R41" s="717"/>
      <c r="S41" s="717"/>
      <c r="T41" s="717"/>
      <c r="U41" s="1616"/>
      <c r="V41" s="704"/>
      <c r="W41" s="1585"/>
      <c r="X41" s="2593"/>
      <c r="Y41" s="2593"/>
      <c r="Z41" s="2593"/>
      <c r="AA41" s="2593"/>
      <c r="AB41" s="2593"/>
      <c r="AC41" s="2593"/>
      <c r="AD41" s="2593"/>
      <c r="AE41" s="2593"/>
      <c r="AF41" s="2593"/>
      <c r="AG41" s="2593"/>
      <c r="AH41" s="2593"/>
      <c r="AI41" s="2593"/>
      <c r="AJ41" s="2593"/>
      <c r="AK41" s="2593"/>
      <c r="AL41" s="2593"/>
      <c r="AM41" s="2593"/>
      <c r="AN41" s="2593"/>
      <c r="AO41" s="2593"/>
      <c r="AW41" s="1496">
        <v>14</v>
      </c>
    </row>
    <row customHeight="1" ht="14.699999999999998">
      <c r="R42" s="717"/>
      <c r="S42" s="717"/>
      <c r="T42" s="717"/>
      <c r="U42" s="2468" t="s">
        <v>295</v>
      </c>
      <c r="V42" s="2468"/>
      <c r="W42" s="2468"/>
      <c r="X42" s="2468"/>
      <c r="Y42" s="2468"/>
      <c r="Z42" s="2468"/>
      <c r="AA42" s="2468"/>
      <c r="AB42" s="2468"/>
      <c r="AC42" s="2468"/>
      <c r="AD42" s="2468"/>
      <c r="AE42" s="2468"/>
      <c r="AF42" s="2468"/>
      <c r="AG42" s="2468"/>
      <c r="AH42" s="2468"/>
      <c r="AI42" s="2468"/>
      <c r="AJ42" s="2468"/>
      <c r="AK42" s="2468"/>
      <c r="AL42" s="2468"/>
      <c r="AM42" s="2468"/>
      <c r="AN42" s="2468"/>
      <c r="AO42" s="2468"/>
      <c r="AP42" s="2468"/>
      <c r="AQ42" s="2468" t="s">
        <v>296</v>
      </c>
      <c r="AW42" s="1496">
        <v>14</v>
      </c>
    </row>
    <row customHeight="1" ht="14.699999999999998">
      <c r="R43" s="717"/>
      <c r="S43" s="717"/>
      <c r="T43" s="717"/>
      <c r="U43" s="2614" t="s">
        <v>88</v>
      </c>
      <c r="V43" s="2550" t="s">
        <v>423</v>
      </c>
      <c r="W43" s="642"/>
      <c r="X43" s="2615" t="s">
        <v>424</v>
      </c>
      <c r="Y43" s="2632"/>
      <c r="Z43" s="2632"/>
      <c r="AA43" s="2632"/>
      <c r="AB43" s="2632"/>
      <c r="AC43" s="2616"/>
      <c r="AD43" s="2616"/>
      <c r="AE43" s="2617"/>
      <c r="AF43" s="2618" t="s">
        <v>425</v>
      </c>
      <c r="AG43" s="2615" t="s">
        <v>424</v>
      </c>
      <c r="AH43" s="2632"/>
      <c r="AI43" s="2632"/>
      <c r="AJ43" s="2632"/>
      <c r="AK43" s="2632"/>
      <c r="AL43" s="2616"/>
      <c r="AM43" s="2616"/>
      <c r="AN43" s="2617"/>
      <c r="AO43" s="2618" t="s">
        <v>426</v>
      </c>
      <c r="AP43" s="2621" t="s">
        <v>427</v>
      </c>
      <c r="AQ43" s="2468"/>
      <c r="AW43" s="1496">
        <v>14</v>
      </c>
    </row>
    <row customHeight="1" ht="35.699999999999996">
      <c r="R44" s="717"/>
      <c r="S44" s="717"/>
      <c r="T44" s="717"/>
      <c r="U44" s="2614"/>
      <c r="V44" s="2550"/>
      <c r="W44" s="1372"/>
      <c r="X44" s="2635" t="s">
        <v>450</v>
      </c>
      <c r="Y44" s="2653" t="s">
        <v>451</v>
      </c>
      <c r="Z44" s="2653"/>
      <c r="AA44" s="2653"/>
      <c r="AB44" s="2653"/>
      <c r="AC44" s="2635" t="s">
        <v>431</v>
      </c>
      <c r="AD44" s="2952"/>
      <c r="AE44" s="2655"/>
      <c r="AF44" s="2619"/>
      <c r="AG44" s="2635" t="s">
        <v>450</v>
      </c>
      <c r="AH44" s="2653" t="s">
        <v>451</v>
      </c>
      <c r="AI44" s="2653"/>
      <c r="AJ44" s="2653"/>
      <c r="AK44" s="2653"/>
      <c r="AL44" s="2635" t="s">
        <v>431</v>
      </c>
      <c r="AM44" s="2952"/>
      <c r="AN44" s="2655"/>
      <c r="AO44" s="2619"/>
      <c r="AP44" s="2622"/>
      <c r="AQ44" s="2468"/>
      <c r="AW44" s="1496">
        <v>34</v>
      </c>
    </row>
    <row customHeight="1" ht="14.699999999999998">
      <c r="R45" s="717"/>
      <c r="S45" s="717"/>
      <c r="T45" s="717"/>
      <c r="U45" s="2614"/>
      <c r="V45" s="2550"/>
      <c r="W45" s="1372"/>
      <c r="X45" s="2666"/>
      <c r="Y45" s="2658" t="s">
        <v>452</v>
      </c>
      <c r="Z45" s="2611" t="s">
        <v>453</v>
      </c>
      <c r="AA45" s="2661"/>
      <c r="AB45" s="2612"/>
      <c r="AC45" s="2636"/>
      <c r="AD45" s="2953"/>
      <c r="AE45" s="2657"/>
      <c r="AF45" s="2619"/>
      <c r="AG45" s="2666"/>
      <c r="AH45" s="2658" t="s">
        <v>452</v>
      </c>
      <c r="AI45" s="2611" t="s">
        <v>453</v>
      </c>
      <c r="AJ45" s="2661"/>
      <c r="AK45" s="2612"/>
      <c r="AL45" s="2636"/>
      <c r="AM45" s="2953"/>
      <c r="AN45" s="2657"/>
      <c r="AO45" s="2619"/>
      <c r="AP45" s="2622"/>
      <c r="AQ45" s="2468"/>
      <c r="AW45" s="1496">
        <v>14</v>
      </c>
    </row>
    <row customHeight="1" ht="27.299999999999997">
      <c r="R46" s="717"/>
      <c r="S46" s="717"/>
      <c r="T46" s="717"/>
      <c r="U46" s="2614"/>
      <c r="V46" s="2550"/>
      <c r="W46" s="1372"/>
      <c r="X46" s="2666"/>
      <c r="Y46" s="2659"/>
      <c r="Z46" s="2658" t="s">
        <v>454</v>
      </c>
      <c r="AA46" s="2611" t="s">
        <v>455</v>
      </c>
      <c r="AB46" s="2612"/>
      <c r="AC46" s="2658" t="s">
        <v>441</v>
      </c>
      <c r="AD46" s="2662" t="s">
        <v>442</v>
      </c>
      <c r="AE46" s="2663"/>
      <c r="AF46" s="2619"/>
      <c r="AG46" s="2666"/>
      <c r="AH46" s="2659"/>
      <c r="AI46" s="2658" t="s">
        <v>454</v>
      </c>
      <c r="AJ46" s="2611" t="s">
        <v>455</v>
      </c>
      <c r="AK46" s="2612"/>
      <c r="AL46" s="2658" t="s">
        <v>441</v>
      </c>
      <c r="AM46" s="2662" t="s">
        <v>442</v>
      </c>
      <c r="AN46" s="2663"/>
      <c r="AO46" s="2619"/>
      <c r="AP46" s="2622"/>
      <c r="AQ46" s="2468"/>
      <c r="AW46" s="1496">
        <v>26</v>
      </c>
    </row>
    <row customHeight="1" ht="65.25">
      <c r="A47" s="1600"/>
      <c r="B47" s="1600" t="s">
        <v>132</v>
      </c>
      <c r="C47" s="1600" t="s">
        <v>133</v>
      </c>
      <c r="D47" s="1600" t="s">
        <v>134</v>
      </c>
      <c r="E47" s="1651" t="s">
        <v>432</v>
      </c>
      <c r="F47" s="1651" t="s">
        <v>433</v>
      </c>
      <c r="G47" s="1651" t="s">
        <v>434</v>
      </c>
      <c r="H47" s="1651" t="s">
        <v>435</v>
      </c>
      <c r="I47" s="1651" t="s">
        <v>436</v>
      </c>
      <c r="J47" s="1651" t="s">
        <v>437</v>
      </c>
      <c r="K47" s="1651" t="s">
        <v>438</v>
      </c>
      <c r="L47" s="1651" t="s">
        <v>456</v>
      </c>
      <c r="M47" s="1651" t="s">
        <v>413</v>
      </c>
      <c r="R47" s="717"/>
      <c r="S47" s="717"/>
      <c r="T47" s="717"/>
      <c r="U47" s="2614"/>
      <c r="V47" s="2550"/>
      <c r="W47" s="643"/>
      <c r="X47" s="2636"/>
      <c r="Y47" s="2660"/>
      <c r="Z47" s="2660"/>
      <c r="AA47" s="1563" t="s">
        <v>457</v>
      </c>
      <c r="AB47" s="1563" t="s">
        <v>458</v>
      </c>
      <c r="AC47" s="2660"/>
      <c r="AD47" s="2664"/>
      <c r="AE47" s="2665"/>
      <c r="AF47" s="2620"/>
      <c r="AG47" s="2636"/>
      <c r="AH47" s="2660"/>
      <c r="AI47" s="2660"/>
      <c r="AJ47" s="1563" t="s">
        <v>457</v>
      </c>
      <c r="AK47" s="1563" t="s">
        <v>458</v>
      </c>
      <c r="AL47" s="2660"/>
      <c r="AM47" s="2664"/>
      <c r="AN47" s="2665"/>
      <c r="AO47" s="2620"/>
      <c r="AP47" s="2623"/>
      <c r="AQ47" s="2468"/>
      <c r="AW47" s="1496">
        <v>62</v>
      </c>
    </row>
    <row s="17832" customFormat="1" customHeight="1" ht="11.25" hidden="1">
      <c r="A48" s="1600"/>
      <c r="B48" s="1600"/>
      <c r="C48" s="1600"/>
      <c r="D48" s="1600"/>
      <c r="E48" s="1600"/>
      <c r="F48" s="1600"/>
      <c r="G48" s="1600"/>
      <c r="H48" s="1600"/>
      <c r="I48" s="1600"/>
      <c r="J48" s="1600"/>
      <c r="K48" s="1600"/>
      <c r="L48" s="1600"/>
      <c r="M48" s="1651"/>
      <c r="N48" s="1669"/>
      <c r="O48" s="1669"/>
      <c r="P48" s="1669"/>
      <c r="Q48" s="1587"/>
      <c r="R48" s="1588"/>
      <c r="S48" s="1595">
        <v>1</v>
      </c>
      <c r="T48" s="1595"/>
      <c r="U48" s="1618" t="s">
        <v>106</v>
      </c>
      <c r="V48" s="1596" t="s">
        <v>107</v>
      </c>
      <c r="W48" s="1586" t="str">
        <f>OFFSET(W48,0,-1)</f>
        <v>2</v>
      </c>
      <c r="X48" s="1676">
        <f>OFFSET(X48,0,-1)+1</f>
        <v>3</v>
      </c>
      <c r="Y48" s="1682"/>
      <c r="Z48" s="1682"/>
      <c r="AA48" s="1682">
        <f>OFFSET(AA48,0,-1)+1</f>
        <v>1</v>
      </c>
      <c r="AB48" s="1682">
        <f>OFFSET(AB48,0,-1)+1</f>
        <v>2</v>
      </c>
      <c r="AC48" s="1676">
        <f>OFFSET(AC48,0,-1)+1</f>
        <v>3</v>
      </c>
      <c r="AD48" s="2613">
        <f>OFFSET(AD48,0,-1)+1</f>
        <v>4</v>
      </c>
      <c r="AE48" s="2613"/>
      <c r="AF48" s="1676">
        <f>OFFSET(AF48,0,-2)+1</f>
        <v>5</v>
      </c>
      <c r="AG48" s="1676">
        <f>OFFSET(AG48,0,-1)+1</f>
        <v>6</v>
      </c>
      <c r="AH48" s="1676"/>
      <c r="AI48" s="1676"/>
      <c r="AJ48" s="1676">
        <f>OFFSET(AJ48,0,-1)+1</f>
        <v>1</v>
      </c>
      <c r="AK48" s="1676">
        <f>OFFSET(AK48,0,-1)+1</f>
        <v>2</v>
      </c>
      <c r="AL48" s="1676">
        <f>OFFSET(AL48,0,-1)+1</f>
        <v>3</v>
      </c>
      <c r="AM48" s="2613">
        <f>OFFSET(AM48,0,-1)+1</f>
        <v>4</v>
      </c>
      <c r="AN48" s="2613"/>
      <c r="AO48" s="1676">
        <f>OFFSET(AO48,0,-2)+1</f>
        <v>5</v>
      </c>
      <c r="AP48" s="1586">
        <f>OFFSET(AP48,0,-1)</f>
        <v>5</v>
      </c>
      <c r="AQ48" s="1676">
        <f>OFFSET(AQ48,0,-1)+1</f>
        <v>6</v>
      </c>
      <c r="AR48" s="852"/>
      <c r="AS48" s="852"/>
      <c r="AT48" s="852"/>
      <c r="AU48" s="852"/>
      <c r="AV48" s="852"/>
      <c r="AW48" s="837">
        <v>0</v>
      </c>
    </row>
    <row customHeight="1" ht="22.049999999999997">
      <c r="A49" s="1608" t="s">
        <v>171</v>
      </c>
      <c r="B49" s="1608"/>
      <c r="C49" s="1608"/>
      <c r="D49" s="1608"/>
      <c r="E49" s="2630">
        <v>1</v>
      </c>
      <c r="F49" s="1608"/>
      <c r="G49" s="1608"/>
      <c r="H49" s="1608"/>
      <c r="I49" s="1608"/>
      <c r="J49" s="1608"/>
      <c r="K49" s="1608"/>
      <c r="L49" s="1608"/>
      <c r="M49" s="1651"/>
      <c r="N49" s="1029"/>
      <c r="O49" s="1029"/>
      <c r="P49" s="1029"/>
      <c r="Q49" s="702"/>
      <c r="R49" s="701"/>
      <c r="S49" s="701"/>
      <c r="T49" s="696"/>
      <c r="U49" s="1677">
        <f>INDEX(PT_DIFFERENTIATION_NUM_NTAR,MATCH(A49,PT_DIFFERENTIATION_NTAR_ID,0))</f>
        <v>0</v>
      </c>
      <c r="V49" s="639" t="s">
        <v>120</v>
      </c>
      <c r="W49" s="641"/>
      <c r="X49" s="2583"/>
      <c r="Y49" s="2584"/>
      <c r="Z49" s="2584"/>
      <c r="AA49" s="2584"/>
      <c r="AB49" s="2584"/>
      <c r="AC49" s="2584"/>
      <c r="AD49" s="2584"/>
      <c r="AE49" s="2584"/>
      <c r="AF49" s="2585"/>
      <c r="AG49" s="2583" t="str">
        <f>INDEX(PT_DIFFERENTIATION_NTAR,MATCH(A49,PT_DIFFERENTIATION_NTAR_ID,0))</f>
        <v/>
      </c>
      <c r="AH49" s="2584"/>
      <c r="AI49" s="2584"/>
      <c r="AJ49" s="2584"/>
      <c r="AK49" s="2584"/>
      <c r="AL49" s="2584"/>
      <c r="AM49" s="2584"/>
      <c r="AN49" s="2584"/>
      <c r="AO49" s="2584"/>
      <c r="AP49" s="2585"/>
      <c r="AQ49" s="159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841"/>
      <c r="AT49" s="841" t="str">
        <f>IF(V49="","",V49)</f>
        <v>Наименование тарифа</v>
      </c>
      <c r="AU49" s="841"/>
      <c r="AV49" s="841"/>
      <c r="AW49" s="1496">
        <v>21</v>
      </c>
    </row>
    <row customHeight="1" ht="22.049999999999997">
      <c r="A50" s="1608" t="s">
        <v>171</v>
      </c>
      <c r="B50" s="1608" t="s">
        <v>172</v>
      </c>
      <c r="C50" s="1608"/>
      <c r="D50" s="1608"/>
      <c r="E50" s="2631"/>
      <c r="F50" s="2630">
        <v>1</v>
      </c>
      <c r="G50" s="1608"/>
      <c r="H50" s="1608"/>
      <c r="I50" s="1608"/>
      <c r="J50" s="1608"/>
      <c r="K50" s="1608"/>
      <c r="L50" s="1608"/>
      <c r="M50" s="1651"/>
      <c r="N50" s="1029"/>
      <c r="O50" s="1029"/>
      <c r="P50" s="1029"/>
      <c r="Q50" s="1673"/>
      <c r="R50" s="693"/>
      <c r="S50" s="850"/>
      <c r="T50" s="694"/>
      <c r="U50" s="1677" t="str">
        <f>INDEX(PT_DIFFERENTIATION_NUM_TER,MATCH(B50,PT_DIFFERENTIATION_TER_ID,0))</f>
        <v>.</v>
      </c>
      <c r="V50" s="649" t="s">
        <v>392</v>
      </c>
      <c r="W50" s="641"/>
      <c r="X50" s="2583"/>
      <c r="Y50" s="2584"/>
      <c r="Z50" s="2584"/>
      <c r="AA50" s="2584"/>
      <c r="AB50" s="2584"/>
      <c r="AC50" s="2584"/>
      <c r="AD50" s="2584"/>
      <c r="AE50" s="2584"/>
      <c r="AF50" s="2585"/>
      <c r="AG50" s="2583" t="str">
        <f>INDEX(PT_DIFFERENTIATION_TER,MATCH(B50,PT_DIFFERENTIATION_TER_ID,0))</f>
        <v/>
      </c>
      <c r="AH50" s="2584"/>
      <c r="AI50" s="2584"/>
      <c r="AJ50" s="2584"/>
      <c r="AK50" s="2584"/>
      <c r="AL50" s="2584"/>
      <c r="AM50" s="2584"/>
      <c r="AN50" s="2584"/>
      <c r="AO50" s="2584"/>
      <c r="AP50" s="2585"/>
      <c r="AQ50" s="1599" t="s">
        <v>393</v>
      </c>
      <c r="AS50" s="841"/>
      <c r="AT50" s="841" t="str">
        <f>IF(V50="","",V50)</f>
        <v>Территория действия тарифа</v>
      </c>
      <c r="AU50" s="841"/>
      <c r="AV50" s="841"/>
      <c r="AW50" s="1496">
        <v>21</v>
      </c>
    </row>
    <row customHeight="1" ht="24">
      <c r="A51" s="1608" t="s">
        <v>171</v>
      </c>
      <c r="B51" s="1608" t="s">
        <v>172</v>
      </c>
      <c r="C51" s="1608" t="s">
        <v>173</v>
      </c>
      <c r="D51" s="1608"/>
      <c r="E51" s="2631"/>
      <c r="F51" s="2631"/>
      <c r="G51" s="2630">
        <v>1</v>
      </c>
      <c r="H51" s="1608"/>
      <c r="I51" s="1608"/>
      <c r="J51" s="1608"/>
      <c r="K51" s="1608"/>
      <c r="L51" s="1608"/>
      <c r="M51" s="1651"/>
      <c r="N51" s="1029"/>
      <c r="O51" s="1029"/>
      <c r="P51" s="1029"/>
      <c r="Q51" s="695"/>
      <c r="R51" s="693"/>
      <c r="S51" s="850"/>
      <c r="T51" s="694"/>
      <c r="U51" s="1677" t="str">
        <f>INDEX(PT_DIFFERENTIATION_NUM_CS,MATCH(C51,PT_DIFFERENTIATION_CS_ID,0))</f>
        <v>..</v>
      </c>
      <c r="V51" s="650" t="s">
        <v>394</v>
      </c>
      <c r="W51" s="641"/>
      <c r="X51" s="2583"/>
      <c r="Y51" s="2584"/>
      <c r="Z51" s="2584"/>
      <c r="AA51" s="2584"/>
      <c r="AB51" s="2584"/>
      <c r="AC51" s="2584"/>
      <c r="AD51" s="2584"/>
      <c r="AE51" s="2584"/>
      <c r="AF51" s="2585"/>
      <c r="AG51" s="2583" t="str">
        <f>INDEX(PT_DIFFERENTIATION_CS,MATCH(C51,PT_DIFFERENTIATION_CS_ID,0))</f>
        <v/>
      </c>
      <c r="AH51" s="2584"/>
      <c r="AI51" s="2584"/>
      <c r="AJ51" s="2584"/>
      <c r="AK51" s="2584"/>
      <c r="AL51" s="2584"/>
      <c r="AM51" s="2584"/>
      <c r="AN51" s="2584"/>
      <c r="AO51" s="2584"/>
      <c r="AP51" s="2585"/>
      <c r="AQ51" s="1599" t="s">
        <v>395</v>
      </c>
      <c r="AS51" s="841"/>
      <c r="AT51" s="841" t="str">
        <f>IF(V51="","",V51)</f>
        <v>Наименование системы теплоснабжения </v>
      </c>
      <c r="AU51" s="841"/>
      <c r="AV51" s="841"/>
      <c r="AW51" s="1496">
        <v>23</v>
      </c>
    </row>
    <row customHeight="1" ht="22.049999999999997">
      <c r="A52" s="1608" t="s">
        <v>171</v>
      </c>
      <c r="B52" s="1608" t="s">
        <v>172</v>
      </c>
      <c r="C52" s="1608" t="s">
        <v>173</v>
      </c>
      <c r="D52" s="1608" t="s">
        <v>174</v>
      </c>
      <c r="E52" s="2631"/>
      <c r="F52" s="2631"/>
      <c r="G52" s="2631"/>
      <c r="H52" s="2651">
        <v>1</v>
      </c>
      <c r="I52" s="1608"/>
      <c r="J52" s="1608"/>
      <c r="K52" s="1608"/>
      <c r="L52" s="1608"/>
      <c r="M52" s="1651"/>
      <c r="N52" s="1029"/>
      <c r="O52" s="1029"/>
      <c r="P52" s="1029"/>
      <c r="Q52" s="695"/>
      <c r="R52" s="693"/>
      <c r="S52" s="850"/>
      <c r="T52" s="694"/>
      <c r="U52" s="1677" t="str">
        <f>INDEX(PT_DIFFERENTIATION_NUM_IST_TE,MATCH(D52,PT_DIFFERENTIATION_IST_TE_ID,0))</f>
        <v>...</v>
      </c>
      <c r="V52" s="651" t="s">
        <v>396</v>
      </c>
      <c r="W52" s="641"/>
      <c r="X52" s="2583"/>
      <c r="Y52" s="2584"/>
      <c r="Z52" s="2584"/>
      <c r="AA52" s="2584"/>
      <c r="AB52" s="2584"/>
      <c r="AC52" s="2584"/>
      <c r="AD52" s="2584"/>
      <c r="AE52" s="2584"/>
      <c r="AF52" s="2585"/>
      <c r="AG52" s="2583" t="str">
        <f>INDEX(PT_DIFFERENTIATION_IST_TE,MATCH(D52,PT_DIFFERENTIATION_IST_TE_ID,0))</f>
        <v/>
      </c>
      <c r="AH52" s="2584"/>
      <c r="AI52" s="2584"/>
      <c r="AJ52" s="2584"/>
      <c r="AK52" s="2584"/>
      <c r="AL52" s="2584"/>
      <c r="AM52" s="2584"/>
      <c r="AN52" s="2584"/>
      <c r="AO52" s="2584"/>
      <c r="AP52" s="2585"/>
      <c r="AQ52" s="1599" t="s">
        <v>397</v>
      </c>
      <c r="AS52" s="841"/>
      <c r="AT52" s="841" t="str">
        <f>IF(V52="","",V52)</f>
        <v>Источник тепловой энергии  </v>
      </c>
      <c r="AU52" s="841"/>
      <c r="AV52" s="841"/>
      <c r="AW52" s="1496">
        <v>21</v>
      </c>
    </row>
    <row s="17316" customFormat="1" customHeight="1" ht="0">
      <c r="A53" s="1716" t="s">
        <v>171</v>
      </c>
      <c r="B53" s="1716" t="s">
        <v>172</v>
      </c>
      <c r="C53" s="1716" t="s">
        <v>173</v>
      </c>
      <c r="D53" s="1716" t="s">
        <v>174</v>
      </c>
      <c r="E53" s="2631"/>
      <c r="F53" s="2631"/>
      <c r="G53" s="2631"/>
      <c r="H53" s="2652"/>
      <c r="I53" s="2468" t="str">
        <f>U52&amp;".1"</f>
        <v>....1</v>
      </c>
      <c r="J53" s="1716"/>
      <c r="K53" s="1716"/>
      <c r="L53" s="1716"/>
      <c r="M53" s="1722" t="s">
        <v>398</v>
      </c>
      <c r="N53" s="1587"/>
      <c r="O53" s="1587"/>
      <c r="P53" s="1587"/>
      <c r="Q53" s="2598">
        <v>1</v>
      </c>
      <c r="R53" s="1672"/>
      <c r="S53" s="1672"/>
      <c r="T53" s="697"/>
      <c r="U53" s="1383"/>
      <c r="V53" s="1724"/>
      <c r="W53" s="1725"/>
      <c r="X53" s="2637"/>
      <c r="Y53" s="2638"/>
      <c r="Z53" s="2638"/>
      <c r="AA53" s="2638"/>
      <c r="AB53" s="2638"/>
      <c r="AC53" s="2638"/>
      <c r="AD53" s="2638"/>
      <c r="AE53" s="2638"/>
      <c r="AF53" s="2639"/>
      <c r="AG53" s="2637"/>
      <c r="AH53" s="2638"/>
      <c r="AI53" s="2638"/>
      <c r="AJ53" s="2638"/>
      <c r="AK53" s="2638"/>
      <c r="AL53" s="2638"/>
      <c r="AM53" s="2638"/>
      <c r="AN53" s="2638"/>
      <c r="AO53" s="2638"/>
      <c r="AP53" s="2639"/>
      <c r="AQ53" s="1726"/>
      <c r="AS53" s="841"/>
      <c r="AT53" s="841" t="str">
        <f>IF(V53="","",V53)</f>
        <v/>
      </c>
      <c r="AU53" s="841"/>
      <c r="AV53" s="841"/>
      <c r="AW53" s="852">
        <v>0</v>
      </c>
    </row>
    <row customHeight="1" ht="22.049999999999997">
      <c r="A54" s="1608" t="s">
        <v>171</v>
      </c>
      <c r="B54" s="1608" t="s">
        <v>172</v>
      </c>
      <c r="C54" s="1608" t="s">
        <v>173</v>
      </c>
      <c r="D54" s="1608" t="s">
        <v>174</v>
      </c>
      <c r="E54" s="2631"/>
      <c r="F54" s="2631"/>
      <c r="G54" s="2631"/>
      <c r="H54" s="2652"/>
      <c r="I54" s="2442"/>
      <c r="J54" s="2468" t="str">
        <f>I53&amp;".1"</f>
        <v>....1.1</v>
      </c>
      <c r="K54" s="1608"/>
      <c r="L54" s="1608"/>
      <c r="M54" s="1651" t="s">
        <v>401</v>
      </c>
      <c r="Q54" s="2598"/>
      <c r="R54" s="2598">
        <v>1</v>
      </c>
      <c r="S54" s="859"/>
      <c r="T54" s="698"/>
      <c r="U54" s="1677" t="str">
        <f>$J54</f>
        <v>....1.1</v>
      </c>
      <c r="V54" s="627" t="s">
        <v>402</v>
      </c>
      <c r="W54" s="641"/>
      <c r="X54" s="2586"/>
      <c r="Y54" s="2587"/>
      <c r="Z54" s="2587"/>
      <c r="AA54" s="2587"/>
      <c r="AB54" s="2587"/>
      <c r="AC54" s="2576"/>
      <c r="AD54" s="2576"/>
      <c r="AE54" s="2576"/>
      <c r="AF54" s="2649"/>
      <c r="AG54" s="2586"/>
      <c r="AH54" s="2587"/>
      <c r="AI54" s="2587"/>
      <c r="AJ54" s="2587"/>
      <c r="AK54" s="2587"/>
      <c r="AL54" s="2587"/>
      <c r="AM54" s="2587"/>
      <c r="AN54" s="2587"/>
      <c r="AO54" s="2587"/>
      <c r="AP54" s="2588"/>
      <c r="AQ54" s="1599" t="s">
        <v>403</v>
      </c>
      <c r="AS54" s="841"/>
      <c r="AT54" s="841" t="str">
        <f>IF(V54="","",V54)</f>
        <v>Группа потребителей</v>
      </c>
      <c r="AU54" s="841"/>
      <c r="AV54" s="841"/>
      <c r="AW54" s="1496">
        <v>21</v>
      </c>
    </row>
    <row customHeight="1" ht="22.049999999999997">
      <c r="A55" s="1608" t="s">
        <v>171</v>
      </c>
      <c r="B55" s="1608" t="s">
        <v>172</v>
      </c>
      <c r="C55" s="1608" t="s">
        <v>173</v>
      </c>
      <c r="D55" s="1608" t="s">
        <v>174</v>
      </c>
      <c r="E55" s="2631"/>
      <c r="F55" s="2631"/>
      <c r="G55" s="2631"/>
      <c r="H55" s="2652"/>
      <c r="I55" s="2442"/>
      <c r="J55" s="2442"/>
      <c r="K55" s="2468" t="str">
        <f>J54&amp;".1"</f>
        <v>....1.1.1</v>
      </c>
      <c r="L55" s="480"/>
      <c r="M55" s="1651" t="s">
        <v>404</v>
      </c>
      <c r="Q55" s="2598"/>
      <c r="R55" s="2598"/>
      <c r="S55" s="859">
        <v>1</v>
      </c>
      <c r="T55" s="698"/>
      <c r="U55" s="1677" t="str">
        <f>$K55</f>
        <v>....1.1.1</v>
      </c>
      <c r="V55" s="1688"/>
      <c r="W55" s="641"/>
      <c r="X55" s="1092"/>
      <c r="Y55" s="1092"/>
      <c r="Z55" s="1092"/>
      <c r="AA55" s="1092"/>
      <c r="AB55" s="1746"/>
      <c r="AC55" s="2606"/>
      <c r="AD55" s="2448" t="s">
        <v>65</v>
      </c>
      <c r="AE55" s="2606"/>
      <c r="AF55" s="2448" t="s">
        <v>65</v>
      </c>
      <c r="AG55" s="1748"/>
      <c r="AH55" s="1092"/>
      <c r="AI55" s="1092"/>
      <c r="AJ55" s="1092"/>
      <c r="AK55" s="1598"/>
      <c r="AL55" s="2606"/>
      <c r="AM55" s="2448" t="s">
        <v>65</v>
      </c>
      <c r="AN55" s="2606"/>
      <c r="AO55" s="2448" t="s">
        <v>65</v>
      </c>
      <c r="AP55" s="1689"/>
      <c r="AQ55" s="1648" t="s">
        <v>447</v>
      </c>
      <c r="AR55" s="852">
        <f>STRCHECKDATE(X57:AP57)</f>
      </c>
      <c r="AS55" s="841"/>
      <c r="AT55" s="841" t="str">
        <f>IF(V55="","",V55)</f>
        <v/>
      </c>
      <c r="AU55" s="841"/>
      <c r="AV55" s="841"/>
      <c r="AW55" s="1496">
        <v>21</v>
      </c>
    </row>
    <row customHeight="1" ht="11.549999999999999">
      <c r="A56" s="1608" t="s">
        <v>171</v>
      </c>
      <c r="B56" s="1608" t="s">
        <v>172</v>
      </c>
      <c r="C56" s="1608" t="s">
        <v>173</v>
      </c>
      <c r="D56" s="1608" t="s">
        <v>174</v>
      </c>
      <c r="E56" s="2631"/>
      <c r="F56" s="2631"/>
      <c r="G56" s="2631"/>
      <c r="H56" s="2652"/>
      <c r="I56" s="2442"/>
      <c r="J56" s="2442"/>
      <c r="K56" s="2442"/>
      <c r="L56" s="2468" t="str">
        <f>K55&amp;".1"</f>
        <v>....1.1.1.1</v>
      </c>
      <c r="M56" s="1651"/>
      <c r="Q56" s="2598"/>
      <c r="R56" s="2598"/>
      <c r="S56" s="859">
        <v>1</v>
      </c>
      <c r="T56" s="698"/>
      <c r="U56" s="1677" t="str">
        <f>$L56</f>
        <v>....1.1.1.1</v>
      </c>
      <c r="V56" s="1732"/>
      <c r="W56" s="641"/>
      <c r="X56" s="666"/>
      <c r="Y56" s="1092"/>
      <c r="Z56" s="1092"/>
      <c r="AA56" s="1092"/>
      <c r="AB56" s="1746"/>
      <c r="AC56" s="2650"/>
      <c r="AD56" s="2448"/>
      <c r="AE56" s="2650"/>
      <c r="AF56" s="2448"/>
      <c r="AG56" s="1748"/>
      <c r="AH56" s="1092"/>
      <c r="AI56" s="1092"/>
      <c r="AJ56" s="1092"/>
      <c r="AK56" s="1598"/>
      <c r="AL56" s="2650"/>
      <c r="AM56" s="2448"/>
      <c r="AN56" s="2650"/>
      <c r="AO56" s="2448"/>
      <c r="AP56" s="1689"/>
      <c r="AQ56" s="2594" t="s">
        <v>448</v>
      </c>
      <c r="AR56" s="852">
        <f>STRCHECKDATE(X58:AP58)</f>
      </c>
      <c r="AS56" s="841"/>
      <c r="AT56" s="841" t="str">
        <f>IF(V56="","",V56)</f>
        <v/>
      </c>
      <c r="AU56" s="841"/>
      <c r="AV56" s="841"/>
      <c r="AW56" s="1496">
        <v>11</v>
      </c>
    </row>
    <row customHeight="1" ht="0">
      <c r="A57" s="1608" t="s">
        <v>171</v>
      </c>
      <c r="B57" s="1608" t="s">
        <v>172</v>
      </c>
      <c r="C57" s="1608" t="s">
        <v>173</v>
      </c>
      <c r="D57" s="1608" t="s">
        <v>174</v>
      </c>
      <c r="E57" s="2631"/>
      <c r="F57" s="2631"/>
      <c r="G57" s="2631"/>
      <c r="H57" s="2652"/>
      <c r="I57" s="2442"/>
      <c r="J57" s="2442"/>
      <c r="K57" s="2442"/>
      <c r="L57" s="2468"/>
      <c r="M57" s="1651"/>
      <c r="Q57" s="2598"/>
      <c r="R57" s="2598"/>
      <c r="S57" s="859"/>
      <c r="T57" s="698"/>
      <c r="U57" s="1683"/>
      <c r="V57" s="641"/>
      <c r="W57" s="641"/>
      <c r="X57" s="666"/>
      <c r="Y57" s="666"/>
      <c r="Z57" s="666"/>
      <c r="AA57" s="666"/>
      <c r="AB57" s="1747" t="str">
        <f>AC55&amp;"-"&amp;AE55</f>
        <v>-</v>
      </c>
      <c r="AC57" s="2650"/>
      <c r="AD57" s="2448"/>
      <c r="AE57" s="2650"/>
      <c r="AF57" s="2448"/>
      <c r="AG57" s="1723"/>
      <c r="AH57" s="666"/>
      <c r="AI57" s="666"/>
      <c r="AJ57" s="666"/>
      <c r="AK57" s="669" t="str">
        <f>AL55&amp;"-"&amp;AN55</f>
        <v>-</v>
      </c>
      <c r="AL57" s="2650"/>
      <c r="AM57" s="2448"/>
      <c r="AN57" s="2650"/>
      <c r="AO57" s="2448"/>
      <c r="AP57" s="1690"/>
      <c r="AQ57" s="2595"/>
      <c r="AS57" s="841"/>
      <c r="AT57" s="841" t="str">
        <f>IF(V57="","",V57)</f>
        <v/>
      </c>
      <c r="AU57" s="841"/>
      <c r="AV57" s="841"/>
      <c r="AW57" s="1496">
        <v>0</v>
      </c>
    </row>
    <row customHeight="1" ht="11.549999999999999">
      <c r="A58" s="1608" t="s">
        <v>171</v>
      </c>
      <c r="B58" s="1608" t="s">
        <v>172</v>
      </c>
      <c r="C58" s="1608" t="s">
        <v>173</v>
      </c>
      <c r="D58" s="1608" t="s">
        <v>174</v>
      </c>
      <c r="E58" s="2631"/>
      <c r="F58" s="2631"/>
      <c r="G58" s="2631"/>
      <c r="H58" s="2652"/>
      <c r="I58" s="2442"/>
      <c r="J58" s="2442"/>
      <c r="K58" s="2468"/>
      <c r="L58" s="1608"/>
      <c r="M58" s="1651"/>
      <c r="Q58" s="2598"/>
      <c r="R58" s="2598"/>
      <c r="S58" s="1672"/>
      <c r="T58" s="697"/>
      <c r="U58" s="1619"/>
      <c r="V58" s="629" t="s">
        <v>449</v>
      </c>
      <c r="W58" s="708"/>
      <c r="X58" s="708"/>
      <c r="Y58" s="708"/>
      <c r="Z58" s="708"/>
      <c r="AA58" s="708"/>
      <c r="AB58" s="708"/>
      <c r="AC58" s="2650"/>
      <c r="AD58" s="2448"/>
      <c r="AE58" s="2650"/>
      <c r="AF58" s="2448"/>
      <c r="AG58" s="708"/>
      <c r="AH58" s="708"/>
      <c r="AI58" s="708"/>
      <c r="AJ58" s="708"/>
      <c r="AK58" s="708"/>
      <c r="AL58" s="2650"/>
      <c r="AM58" s="2448"/>
      <c r="AN58" s="2650"/>
      <c r="AO58" s="2448"/>
      <c r="AP58" s="665"/>
      <c r="AQ58" s="2595"/>
      <c r="AS58" s="841"/>
      <c r="AT58" s="841" t="str">
        <f>IF(V58="","",V58)</f>
        <v>Добавить наименование поставщика</v>
      </c>
      <c r="AU58" s="841"/>
      <c r="AV58" s="841"/>
      <c r="AW58" s="1496">
        <v>11</v>
      </c>
    </row>
    <row customHeight="1" ht="11.549999999999999">
      <c r="A59" s="1608" t="s">
        <v>171</v>
      </c>
      <c r="B59" s="1608" t="s">
        <v>172</v>
      </c>
      <c r="C59" s="1608" t="s">
        <v>173</v>
      </c>
      <c r="D59" s="1608" t="s">
        <v>174</v>
      </c>
      <c r="E59" s="2631"/>
      <c r="F59" s="2631"/>
      <c r="G59" s="2631"/>
      <c r="H59" s="2652"/>
      <c r="I59" s="2442"/>
      <c r="J59" s="2468"/>
      <c r="K59" s="1608"/>
      <c r="L59" s="1608"/>
      <c r="M59" s="1651"/>
      <c r="Q59" s="2598"/>
      <c r="R59" s="2598"/>
      <c r="S59" s="1672"/>
      <c r="T59" s="697"/>
      <c r="U59" s="1619"/>
      <c r="V59" s="628" t="s">
        <v>406</v>
      </c>
      <c r="W59" s="708"/>
      <c r="X59" s="708"/>
      <c r="Y59" s="708"/>
      <c r="Z59" s="708"/>
      <c r="AA59" s="708"/>
      <c r="AB59" s="708"/>
      <c r="AC59" s="1749"/>
      <c r="AD59" s="1749"/>
      <c r="AE59" s="1749"/>
      <c r="AF59" s="1749"/>
      <c r="AG59" s="708"/>
      <c r="AH59" s="708"/>
      <c r="AI59" s="708"/>
      <c r="AJ59" s="708"/>
      <c r="AK59" s="708"/>
      <c r="AL59" s="708"/>
      <c r="AM59" s="708"/>
      <c r="AN59" s="708"/>
      <c r="AO59" s="708"/>
      <c r="AP59" s="665"/>
      <c r="AQ59" s="2596"/>
      <c r="AS59" s="841"/>
      <c r="AT59" s="841" t="str">
        <f>IF(V59="","",V59)</f>
        <v>Добавить вид теплоносителя (параметры теплоносителя)</v>
      </c>
      <c r="AU59" s="841"/>
      <c r="AV59" s="841"/>
      <c r="AW59" s="1496">
        <v>11</v>
      </c>
    </row>
    <row customHeight="1" ht="11.549999999999999">
      <c r="A60" s="1608" t="s">
        <v>171</v>
      </c>
      <c r="B60" s="1608" t="s">
        <v>172</v>
      </c>
      <c r="C60" s="1608" t="s">
        <v>173</v>
      </c>
      <c r="D60" s="1608" t="s">
        <v>174</v>
      </c>
      <c r="E60" s="2631"/>
      <c r="F60" s="2631"/>
      <c r="G60" s="2631"/>
      <c r="H60" s="2652"/>
      <c r="I60" s="2468"/>
      <c r="J60" s="1608"/>
      <c r="K60" s="1608"/>
      <c r="L60" s="1608"/>
      <c r="M60" s="1651"/>
      <c r="Q60" s="2598"/>
      <c r="R60" s="1672"/>
      <c r="S60" s="1672"/>
      <c r="T60" s="697"/>
      <c r="U60" s="1619"/>
      <c r="V60" s="706" t="s">
        <v>407</v>
      </c>
      <c r="W60" s="708"/>
      <c r="X60" s="708"/>
      <c r="Y60" s="708"/>
      <c r="Z60" s="708"/>
      <c r="AA60" s="708"/>
      <c r="AB60" s="708"/>
      <c r="AC60" s="708"/>
      <c r="AD60" s="708"/>
      <c r="AE60" s="708"/>
      <c r="AF60" s="707"/>
      <c r="AG60" s="708"/>
      <c r="AH60" s="708"/>
      <c r="AI60" s="708"/>
      <c r="AJ60" s="708"/>
      <c r="AK60" s="708"/>
      <c r="AL60" s="708"/>
      <c r="AM60" s="708"/>
      <c r="AN60" s="708"/>
      <c r="AO60" s="707"/>
      <c r="AP60" s="708"/>
      <c r="AQ60" s="644"/>
      <c r="AS60" s="841"/>
      <c r="AT60" s="841" t="str">
        <f>IF(V60="","",V60)</f>
        <v>Добавить группу потребителей</v>
      </c>
      <c r="AU60" s="841"/>
      <c r="AV60" s="841"/>
      <c r="AW60" s="1496">
        <v>11</v>
      </c>
    </row>
    <row customHeight="1" ht="0">
      <c r="A61" s="1608" t="s">
        <v>171</v>
      </c>
      <c r="B61" s="1608" t="s">
        <v>172</v>
      </c>
      <c r="C61" s="1608" t="s">
        <v>173</v>
      </c>
      <c r="D61" s="1608" t="s">
        <v>174</v>
      </c>
      <c r="E61" s="2631"/>
      <c r="F61" s="2631"/>
      <c r="G61" s="2631"/>
      <c r="H61" s="2651"/>
      <c r="I61" s="1608"/>
      <c r="J61" s="1608"/>
      <c r="K61" s="1608"/>
      <c r="L61" s="1608"/>
      <c r="M61" s="1651"/>
      <c r="N61" s="1029"/>
      <c r="O61" s="1029"/>
      <c r="P61" s="850"/>
      <c r="Q61" s="701"/>
      <c r="R61" s="716"/>
      <c r="S61" s="696"/>
      <c r="T61" s="701"/>
      <c r="U61" s="1727"/>
      <c r="V61" s="1728"/>
      <c r="W61" s="1729"/>
      <c r="X61" s="1729"/>
      <c r="Y61" s="1729"/>
      <c r="Z61" s="1729"/>
      <c r="AA61" s="1729"/>
      <c r="AB61" s="1729"/>
      <c r="AC61" s="1729"/>
      <c r="AD61" s="1729"/>
      <c r="AE61" s="1729"/>
      <c r="AF61" s="1729"/>
      <c r="AG61" s="1729"/>
      <c r="AH61" s="1729"/>
      <c r="AI61" s="1729"/>
      <c r="AJ61" s="1729"/>
      <c r="AK61" s="1729"/>
      <c r="AL61" s="1729"/>
      <c r="AM61" s="1729"/>
      <c r="AN61" s="1729"/>
      <c r="AO61" s="1729"/>
      <c r="AP61" s="1729"/>
      <c r="AQ61" s="1730"/>
      <c r="AS61" s="841"/>
      <c r="AT61" s="841" t="str">
        <f>IF(V61="","",V61)</f>
        <v/>
      </c>
      <c r="AU61" s="841"/>
      <c r="AV61" s="841"/>
      <c r="AW61" s="1496">
        <v>0</v>
      </c>
    </row>
    <row s="17316" customFormat="1" customHeight="1" ht="0">
      <c r="A62" s="1716" t="s">
        <v>171</v>
      </c>
      <c r="B62" s="1716" t="s">
        <v>172</v>
      </c>
      <c r="C62" s="1716" t="s">
        <v>173</v>
      </c>
      <c r="D62" s="1715"/>
      <c r="E62" s="2631"/>
      <c r="F62" s="2631"/>
      <c r="G62" s="2630"/>
      <c r="H62" s="1715"/>
      <c r="I62" s="1715"/>
      <c r="J62" s="1715"/>
      <c r="K62" s="1715"/>
      <c r="L62" s="1715"/>
      <c r="M62" s="1718"/>
      <c r="N62" s="1719"/>
      <c r="O62" s="1719"/>
      <c r="P62" s="692"/>
      <c r="Q62" s="1657"/>
      <c r="R62" s="1658"/>
      <c r="S62" s="1657"/>
      <c r="T62" s="1657"/>
      <c r="U62" s="1663"/>
      <c r="V62" s="1666" t="s">
        <v>409</v>
      </c>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S62" s="1130"/>
      <c r="AT62" s="1130" t="str">
        <f>IF(V62="","",V62)</f>
        <v>Добавить источник для дифференциации</v>
      </c>
      <c r="AU62" s="1130"/>
      <c r="AV62" s="1130"/>
      <c r="AW62" s="859">
        <v>0</v>
      </c>
    </row>
    <row s="17316" customFormat="1" customHeight="1" ht="0">
      <c r="A63" s="1716" t="s">
        <v>171</v>
      </c>
      <c r="B63" s="1716" t="s">
        <v>172</v>
      </c>
      <c r="C63" s="1715"/>
      <c r="D63" s="1715"/>
      <c r="E63" s="2631"/>
      <c r="F63" s="2630"/>
      <c r="G63" s="1715"/>
      <c r="H63" s="1715"/>
      <c r="I63" s="1715"/>
      <c r="J63" s="1715"/>
      <c r="K63" s="1715"/>
      <c r="L63" s="1715"/>
      <c r="M63" s="1718"/>
      <c r="N63" s="1720"/>
      <c r="O63" s="1720"/>
      <c r="P63" s="692"/>
      <c r="Q63" s="1657"/>
      <c r="R63" s="1658"/>
      <c r="S63" s="1657"/>
      <c r="T63" s="1657"/>
      <c r="U63" s="1663"/>
      <c r="V63" s="1666" t="s">
        <v>410</v>
      </c>
      <c r="W63" s="1665"/>
      <c r="X63" s="1665"/>
      <c r="Y63" s="1665"/>
      <c r="Z63" s="1665"/>
      <c r="AA63" s="1665"/>
      <c r="AB63" s="1665"/>
      <c r="AC63" s="1665"/>
      <c r="AD63" s="1665"/>
      <c r="AE63" s="1665"/>
      <c r="AF63" s="1665"/>
      <c r="AG63" s="1665"/>
      <c r="AH63" s="1665"/>
      <c r="AI63" s="1665"/>
      <c r="AJ63" s="1665"/>
      <c r="AK63" s="1665"/>
      <c r="AL63" s="1665"/>
      <c r="AM63" s="1665"/>
      <c r="AN63" s="1665"/>
      <c r="AO63" s="1665"/>
      <c r="AP63" s="1665"/>
      <c r="AQ63" s="1665"/>
      <c r="AS63" s="1130"/>
      <c r="AT63" s="1130" t="str">
        <f>IF(V63="","",V63)</f>
        <v>Добавить централизованную систему для дифференциации</v>
      </c>
      <c r="AU63" s="1130"/>
      <c r="AV63" s="1130"/>
      <c r="AW63" s="859">
        <v>0</v>
      </c>
    </row>
    <row s="17316" customFormat="1" customHeight="1" ht="0">
      <c r="A64" s="1716" t="s">
        <v>171</v>
      </c>
      <c r="B64" s="1716"/>
      <c r="C64" s="1716"/>
      <c r="D64" s="1716"/>
      <c r="E64" s="2630"/>
      <c r="F64" s="1716"/>
      <c r="G64" s="1716"/>
      <c r="H64" s="1716"/>
      <c r="I64" s="1716"/>
      <c r="J64" s="1716"/>
      <c r="K64" s="1716"/>
      <c r="L64" s="1716"/>
      <c r="M64" s="1722"/>
      <c r="N64" s="1720"/>
      <c r="O64" s="1720"/>
      <c r="P64" s="692"/>
      <c r="Q64" s="721"/>
      <c r="R64" s="1685"/>
      <c r="S64" s="721"/>
      <c r="T64" s="721"/>
      <c r="U64" s="1663"/>
      <c r="V64" s="1666" t="s">
        <v>411</v>
      </c>
      <c r="W64" s="1665"/>
      <c r="X64" s="1665"/>
      <c r="Y64" s="1665"/>
      <c r="Z64" s="1665"/>
      <c r="AA64" s="1665"/>
      <c r="AB64" s="1665"/>
      <c r="AC64" s="1665"/>
      <c r="AD64" s="1665"/>
      <c r="AE64" s="1665"/>
      <c r="AF64" s="1665"/>
      <c r="AG64" s="1665"/>
      <c r="AH64" s="1665"/>
      <c r="AI64" s="1665"/>
      <c r="AJ64" s="1665"/>
      <c r="AK64" s="1665"/>
      <c r="AL64" s="1665"/>
      <c r="AM64" s="1665"/>
      <c r="AN64" s="1665"/>
      <c r="AO64" s="1665"/>
      <c r="AP64" s="1665"/>
      <c r="AQ64" s="1665"/>
      <c r="AS64" s="841"/>
      <c r="AT64" s="841" t="str">
        <f>IF(V64="","",V64)</f>
        <v>Добавить территорию для дифференциации</v>
      </c>
      <c r="AU64" s="841"/>
      <c r="AV64" s="841"/>
      <c r="AW64" s="852">
        <v>0</v>
      </c>
    </row>
    <row s="17316" customFormat="1" customHeight="1" ht="4.2">
      <c r="A65" s="1715"/>
      <c r="B65" s="1715"/>
      <c r="C65" s="1715"/>
      <c r="D65" s="1715"/>
      <c r="E65" s="1716"/>
      <c r="F65" s="1715"/>
      <c r="G65" s="1715"/>
      <c r="H65" s="1715"/>
      <c r="I65" s="1715"/>
      <c r="J65" s="1715"/>
      <c r="K65" s="1715"/>
      <c r="L65" s="1715"/>
      <c r="M65" s="1718"/>
      <c r="N65" s="1720"/>
      <c r="O65" s="1720"/>
      <c r="P65" s="692"/>
      <c r="Q65" s="1657"/>
      <c r="R65" s="1658"/>
      <c r="S65" s="1657"/>
      <c r="T65" s="1657"/>
      <c r="U65" s="1663"/>
      <c r="V65" s="1666" t="s">
        <v>443</v>
      </c>
      <c r="W65" s="1665"/>
      <c r="X65" s="1665"/>
      <c r="Y65" s="1665"/>
      <c r="Z65" s="1665"/>
      <c r="AA65" s="1665"/>
      <c r="AB65" s="1665"/>
      <c r="AC65" s="1665"/>
      <c r="AD65" s="1665"/>
      <c r="AE65" s="1665"/>
      <c r="AF65" s="1665"/>
      <c r="AG65" s="1665"/>
      <c r="AH65" s="1665"/>
      <c r="AI65" s="1665"/>
      <c r="AJ65" s="1665"/>
      <c r="AK65" s="1665"/>
      <c r="AL65" s="1665"/>
      <c r="AM65" s="1665"/>
      <c r="AN65" s="1665"/>
      <c r="AO65" s="1665"/>
      <c r="AP65" s="1665"/>
      <c r="AQ65" s="1665"/>
      <c r="AS65" s="1130"/>
      <c r="AT65" s="1130" t="str">
        <f>IF(V65="","",V65)</f>
        <v>Добавить наименование тарифа</v>
      </c>
      <c r="AU65" s="1130"/>
      <c r="AV65" s="1130"/>
      <c r="AW65" s="859">
        <v>4</v>
      </c>
    </row>
    <row customHeight="1" ht="11.549999999999999">
      <c r="N66" s="1496"/>
      <c r="O66" s="1496"/>
      <c r="P66" s="850"/>
      <c r="Q66" s="1496"/>
      <c r="R66" s="1496"/>
      <c r="S66" s="1496"/>
      <c r="T66" s="1496"/>
      <c r="U66" s="1496"/>
      <c r="AR66" s="1496"/>
      <c r="AS66" s="1496"/>
      <c r="AT66" s="1496"/>
      <c r="AU66" s="1496"/>
      <c r="AV66" s="1496"/>
      <c r="AW66" s="1496">
        <v>11</v>
      </c>
    </row>
    <row customHeight="1" ht="35.699999999999996">
      <c r="P67" s="850"/>
      <c r="U67" s="1594"/>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W67" s="1496">
        <v>34</v>
      </c>
    </row>
    <row customHeight="1" ht="21">
      <c r="P68" s="850"/>
      <c r="V68" s="2626"/>
      <c r="W68" s="2626"/>
      <c r="X68" s="2626"/>
      <c r="Y68" s="2626"/>
      <c r="Z68" s="2626"/>
      <c r="AA68" s="2626"/>
      <c r="AB68" s="2626"/>
      <c r="AC68" s="2626"/>
      <c r="AD68" s="2626"/>
      <c r="AE68" s="2626"/>
      <c r="AF68" s="2626"/>
      <c r="AG68" s="2626"/>
      <c r="AH68" s="2626"/>
      <c r="AI68" s="2626"/>
      <c r="AJ68" s="2626"/>
      <c r="AK68" s="2626"/>
      <c r="AL68" s="2626"/>
      <c r="AM68" s="2626"/>
      <c r="AN68" s="2626"/>
      <c r="AO68" s="2626"/>
      <c r="AP68" s="2626"/>
      <c r="AQ68" s="2626"/>
      <c r="AW68" s="1496">
        <v>20</v>
      </c>
    </row>
    <row customHeight="1" ht="14.699999999999998">
      <c r="P69" s="850"/>
      <c r="AW69" s="1496">
        <v>14</v>
      </c>
    </row>
    <row customHeight="1" ht="28.5">
      <c r="P70" s="850"/>
      <c r="V70" s="2626"/>
      <c r="W70" s="2626"/>
      <c r="X70" s="2626"/>
      <c r="Y70" s="2626"/>
      <c r="Z70" s="2626"/>
      <c r="AA70" s="2626"/>
      <c r="AB70" s="2626"/>
      <c r="AC70" s="2626"/>
      <c r="AD70" s="2626"/>
      <c r="AE70" s="2626"/>
      <c r="AF70" s="2626"/>
      <c r="AG70" s="2626"/>
      <c r="AH70" s="2626"/>
      <c r="AI70" s="2626"/>
      <c r="AJ70" s="2626"/>
      <c r="AK70" s="2626"/>
      <c r="AL70" s="2626"/>
      <c r="AM70" s="2626"/>
      <c r="AN70" s="2626"/>
      <c r="AO70" s="2626"/>
      <c r="AP70" s="2626"/>
      <c r="AQ70" s="2626"/>
      <c r="AW70" s="1496">
        <v>27</v>
      </c>
    </row>
    <row customHeight="1" ht="18.75">
      <c r="P71" s="850"/>
      <c r="V71" s="2626"/>
      <c r="W71" s="2626"/>
      <c r="X71" s="2626"/>
      <c r="Y71" s="2626"/>
      <c r="Z71" s="2626"/>
      <c r="AA71" s="2626"/>
      <c r="AB71" s="2626"/>
      <c r="AC71" s="2626"/>
      <c r="AD71" s="2626"/>
      <c r="AE71" s="2626"/>
      <c r="AF71" s="2626"/>
      <c r="AG71" s="2626"/>
      <c r="AH71" s="2626"/>
      <c r="AI71" s="2626"/>
      <c r="AJ71" s="2626"/>
      <c r="AK71" s="2626"/>
      <c r="AL71" s="2626"/>
      <c r="AM71" s="2626"/>
      <c r="AN71" s="2626"/>
      <c r="AO71" s="2626"/>
      <c r="AP71" s="2626"/>
      <c r="AQ71" s="2626"/>
      <c r="AW71" s="1496">
        <v>18</v>
      </c>
    </row>
    <row customHeight="1" ht="22.5" hidden="1">
      <c r="A72" s="1496" t="s">
        <v>82</v>
      </c>
      <c r="B72" s="1496">
        <v>0</v>
      </c>
      <c r="C72" s="1496">
        <v>0</v>
      </c>
      <c r="D72" s="1496">
        <v>0</v>
      </c>
      <c r="E72" s="1496">
        <v>0</v>
      </c>
      <c r="F72" s="1496">
        <v>0</v>
      </c>
      <c r="G72" s="1496">
        <v>0</v>
      </c>
      <c r="H72" s="1496">
        <v>0</v>
      </c>
      <c r="I72" s="1496">
        <v>0</v>
      </c>
      <c r="J72" s="1496">
        <v>0</v>
      </c>
      <c r="K72" s="1496">
        <v>0</v>
      </c>
      <c r="L72" s="1496">
        <v>0</v>
      </c>
      <c r="M72" s="1668">
        <v>0</v>
      </c>
      <c r="N72" s="1669">
        <v>0</v>
      </c>
      <c r="O72" s="1669">
        <v>0</v>
      </c>
      <c r="P72" s="1669">
        <v>0</v>
      </c>
      <c r="Q72" s="1669">
        <v>0</v>
      </c>
      <c r="R72" s="685">
        <v>3</v>
      </c>
      <c r="S72" s="685">
        <v>3</v>
      </c>
      <c r="T72" s="685">
        <v>3</v>
      </c>
      <c r="U72" s="922">
        <v>12</v>
      </c>
      <c r="V72" s="1496">
        <v>31</v>
      </c>
      <c r="W72" s="1496">
        <v>0</v>
      </c>
      <c r="X72" s="1496">
        <v>0</v>
      </c>
      <c r="Y72" s="1496">
        <v>0</v>
      </c>
      <c r="Z72" s="1496">
        <v>0</v>
      </c>
      <c r="AA72" s="1496">
        <v>0</v>
      </c>
      <c r="AB72" s="1496">
        <v>0</v>
      </c>
      <c r="AC72" s="1496">
        <v>0</v>
      </c>
      <c r="AD72" s="1496">
        <v>0</v>
      </c>
      <c r="AE72" s="1496">
        <v>0</v>
      </c>
      <c r="AF72" s="1496">
        <v>0</v>
      </c>
      <c r="AG72" s="1496">
        <v>21</v>
      </c>
      <c r="AH72" s="1496">
        <v>21</v>
      </c>
      <c r="AI72" s="1496">
        <v>21</v>
      </c>
      <c r="AJ72" s="1496">
        <v>21</v>
      </c>
      <c r="AK72" s="1496">
        <v>21</v>
      </c>
      <c r="AL72" s="1496">
        <v>11</v>
      </c>
      <c r="AM72" s="1496">
        <v>3</v>
      </c>
      <c r="AN72" s="1496">
        <v>11</v>
      </c>
      <c r="AO72" s="1496">
        <v>8</v>
      </c>
      <c r="AP72" s="1496">
        <v>4</v>
      </c>
      <c r="AQ72" s="1496">
        <v>115</v>
      </c>
      <c r="AR72" s="852">
        <v>10</v>
      </c>
      <c r="AS72" s="852">
        <v>10</v>
      </c>
      <c r="AT72" s="852">
        <v>10</v>
      </c>
      <c r="AU72" s="852">
        <v>10</v>
      </c>
      <c r="AV72" s="852">
        <v>10</v>
      </c>
      <c r="AW72" s="1496">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CB3451E-12CB-FF7B-F1B3-3FA5DD4981A3}" mc:Ignorable="x14ac xr xr2 xr3">
  <sheetPr>
    <tabColor rgb="FFCCCCFF"/>
  </sheetPr>
  <dimension ref="A1:Q79"/>
  <sheetViews>
    <sheetView topLeftCell="C1" showGridLines="0" zoomScale="90" workbookViewId="0">
      <selection activeCell="I59" sqref="I59"/>
    </sheetView>
  </sheetViews>
  <sheetFormatPr defaultColWidth="9.140625" customHeight="1" defaultRowHeight="11.25"/>
  <cols>
    <col min="1" max="1" style="17310" width="10.7109375" hidden="1" customWidth="1"/>
    <col min="2" max="2" style="17311" width="10.7109375" hidden="1" customWidth="1"/>
    <col min="3" max="3" style="17312" width="3.00390625" customWidth="1"/>
    <col min="4" max="4" style="17239" width="1.00390625" customWidth="1"/>
    <col min="5" max="6" style="17239" width="55.00390625" customWidth="1"/>
    <col min="7" max="7" style="17313" width="1.00390625" customWidth="1"/>
    <col min="8" max="8" style="17239" width="18.00390625" hidden="1" customWidth="1"/>
    <col min="9" max="9" style="17314" width="59.00390625" customWidth="1"/>
    <col min="10" max="10" style="17315" width="52.140625" hidden="1" customWidth="1"/>
    <col min="11" max="11" style="17239" width="8.00390625" customWidth="1"/>
    <col min="12" max="12" style="17239" width="77.00390625" customWidth="1"/>
    <col min="13" max="16" style="17239" width="8.00390625" customWidth="1"/>
    <col min="17" max="17" style="17239" width="12.00390625" hidden="1" customWidth="1"/>
  </cols>
  <sheetData>
    <row s="17196" customFormat="1" customHeight="1" ht="3">
      <c r="A1" s="1124"/>
      <c r="B1" s="582"/>
      <c r="F1" s="583" t="s">
        <v>13</v>
      </c>
      <c r="G1" s="752"/>
      <c r="H1" s="412"/>
      <c r="I1" s="752"/>
      <c r="J1" s="1212"/>
      <c r="Q1" s="583" t="s">
        <v>14</v>
      </c>
    </row>
    <row s="17203" customFormat="1" customHeight="1" ht="14.25">
      <c r="A2" s="1124"/>
      <c r="B2" s="439"/>
      <c r="E2" s="2081" t="str">
        <f>code</f>
        <v>Код отчёта: PP110.OPEN.INFO.INVEST.HEAT.EIAS</v>
      </c>
      <c r="F2" s="610"/>
      <c r="G2" s="586"/>
      <c r="H2" s="586"/>
      <c r="I2" s="586"/>
      <c r="J2" s="1213"/>
      <c r="K2" s="586"/>
      <c r="Q2" s="412">
        <v>14</v>
      </c>
    </row>
    <row customHeight="1" ht="14.699999999999998">
      <c r="E3" s="587" t="str">
        <f>version</f>
        <v>Версия отчёта: 1.1.1</v>
      </c>
      <c r="F3" s="610"/>
      <c r="G3" s="1111"/>
      <c r="H3" s="1111"/>
      <c r="I3" s="1111"/>
      <c r="J3" s="1214"/>
      <c r="K3" s="429"/>
      <c r="Q3" s="415">
        <v>14</v>
      </c>
    </row>
    <row s="17214" customFormat="1" customHeight="1" ht="6.3">
      <c r="A4" s="1125"/>
      <c r="B4" s="573"/>
      <c r="C4" s="574"/>
      <c r="D4" s="575"/>
      <c r="E4" s="584"/>
      <c r="F4" s="585"/>
      <c r="G4" s="1112"/>
      <c r="H4" s="750"/>
      <c r="I4" s="752"/>
      <c r="J4" s="1215"/>
      <c r="Q4" s="577">
        <v>6</v>
      </c>
    </row>
    <row customHeight="1" ht="39.75">
      <c r="D5" s="416"/>
      <c r="E5" s="2436" t="str">
        <f>NameTemplatesInTitle</f>
        <v>Информация об инвестиционных программах регулируемой организации в области теплоснабжения</v>
      </c>
      <c r="F5" s="2437"/>
      <c r="G5" s="1113"/>
      <c r="J5" s="1216"/>
      <c r="Q5" s="415">
        <v>38</v>
      </c>
    </row>
    <row s="17214" customFormat="1" customHeight="1" ht="6.3">
      <c r="A6" s="1125"/>
      <c r="B6" s="573"/>
      <c r="C6" s="574"/>
      <c r="D6" s="575"/>
      <c r="E6" s="578"/>
      <c r="F6" s="579"/>
      <c r="G6" s="1113"/>
      <c r="H6" s="750"/>
      <c r="I6" s="752"/>
      <c r="J6" s="1215"/>
      <c r="Q6" s="577">
        <v>6</v>
      </c>
    </row>
    <row customHeight="1" ht="21">
      <c r="D7" s="416"/>
      <c r="E7" s="732" t="s">
        <v>15</v>
      </c>
      <c r="F7" s="556" t="s">
        <v>16</v>
      </c>
      <c r="G7" s="1113"/>
      <c r="Q7" s="415">
        <v>20</v>
      </c>
    </row>
    <row s="17214" customFormat="1" customHeight="1" ht="6.3">
      <c r="A8" s="1126"/>
      <c r="B8" s="573"/>
      <c r="C8" s="574"/>
      <c r="D8" s="580"/>
      <c r="E8" s="578"/>
      <c r="F8" s="581"/>
      <c r="G8" s="418"/>
      <c r="H8" s="750"/>
      <c r="I8" s="752"/>
      <c r="J8" s="1218"/>
      <c r="Q8" s="577">
        <v>6</v>
      </c>
    </row>
    <row s="17239" customFormat="1" customHeight="1" ht="19.5" hidden="1">
      <c r="A9" s="1125"/>
      <c r="B9" s="439"/>
      <c r="C9" s="749"/>
      <c r="D9" s="751"/>
      <c r="E9" s="1506" t="s">
        <v>17</v>
      </c>
      <c r="F9" s="2262"/>
      <c r="G9" s="1113"/>
      <c r="I9" s="2241" t="str">
        <f>IF(TITLE_STRUCTURE_INFO_ROIV="","","раскрывается "&amp;INDEX(ROIV_INFO_COMMENT,MATCH(TITLE_STRUCTURE_INFO_ROIV,ROIV_INFO_LIST,0)))</f>
        <v/>
      </c>
      <c r="J9" s="1217"/>
      <c r="Q9" s="750">
        <v>0</v>
      </c>
    </row>
    <row s="17214" customFormat="1" customHeight="1" ht="24" hidden="1">
      <c r="A10" s="1126"/>
      <c r="B10" s="767"/>
      <c r="C10" s="768"/>
      <c r="D10" s="580"/>
      <c r="E10" s="1506" t="s">
        <v>18</v>
      </c>
      <c r="F10" s="2407" t="s">
        <v>19</v>
      </c>
      <c r="G10" s="418"/>
      <c r="H10" s="750"/>
      <c r="I10" s="752"/>
      <c r="J10" s="1218"/>
      <c r="Q10" s="771">
        <v>24</v>
      </c>
    </row>
    <row customHeight="1" ht="22.5" hidden="1">
      <c r="A11" s="2439" t="s">
        <v>20</v>
      </c>
      <c r="D11" s="416"/>
      <c r="E11" s="1506" t="s">
        <v>21</v>
      </c>
      <c r="F11" s="2073" t="s">
        <v>22</v>
      </c>
      <c r="G11" s="418"/>
      <c r="H11" s="1114" t="s">
        <v>23</v>
      </c>
      <c r="J11" s="1217" t="s">
        <v>24</v>
      </c>
      <c r="Q11" s="415">
        <v>0</v>
      </c>
    </row>
    <row customHeight="1" ht="22.5" hidden="1">
      <c r="A12" s="2439"/>
      <c r="D12" s="416"/>
      <c r="E12" s="1506" t="s">
        <v>25</v>
      </c>
      <c r="F12" s="2073"/>
      <c r="G12" s="414"/>
      <c r="J12" s="1217" t="s">
        <v>26</v>
      </c>
      <c r="Q12" s="415">
        <v>0</v>
      </c>
    </row>
    <row s="17239" customFormat="1" customHeight="1" ht="22.5" hidden="1">
      <c r="A13" s="1129" t="s">
        <v>27</v>
      </c>
      <c r="B13" s="439"/>
      <c r="C13" s="749"/>
      <c r="D13" s="751"/>
      <c r="E13" s="2116" t="s">
        <v>28</v>
      </c>
      <c r="F13" s="2073" t="s">
        <v>22</v>
      </c>
      <c r="G13" s="418"/>
      <c r="H13" s="1111"/>
      <c r="I13" s="752"/>
      <c r="J13" s="2117" t="s">
        <v>29</v>
      </c>
      <c r="Q13" s="750">
        <v>0</v>
      </c>
    </row>
    <row s="17239" customFormat="1" customHeight="1" ht="27">
      <c r="A14" s="1129" t="s">
        <v>30</v>
      </c>
      <c r="B14" s="439"/>
      <c r="C14" s="749"/>
      <c r="D14" s="751"/>
      <c r="E14" s="1506" t="s">
        <v>31</v>
      </c>
      <c r="F14" s="3077">
        <v>2025</v>
      </c>
      <c r="G14" s="418"/>
      <c r="H14" s="1111"/>
      <c r="I14" s="752"/>
      <c r="J14" s="1217" t="s">
        <v>32</v>
      </c>
      <c r="Q14" s="750">
        <v>0</v>
      </c>
    </row>
    <row s="17239" customFormat="1" customHeight="1" ht="19.5" hidden="1">
      <c r="A15" s="1129" t="s">
        <v>33</v>
      </c>
      <c r="B15" s="439"/>
      <c r="C15" s="749"/>
      <c r="D15" s="751"/>
      <c r="E15" s="1506" t="s">
        <v>34</v>
      </c>
      <c r="F15" s="2108"/>
      <c r="G15" s="418"/>
      <c r="H15" s="1111"/>
      <c r="I15" s="752"/>
      <c r="J15" s="1217" t="s">
        <v>35</v>
      </c>
      <c r="Q15" s="750">
        <v>0</v>
      </c>
    </row>
    <row s="17214" customFormat="1" customHeight="1" ht="6.3">
      <c r="A16" s="1126"/>
      <c r="B16" s="573"/>
      <c r="C16" s="574"/>
      <c r="D16" s="580"/>
      <c r="E16" s="578"/>
      <c r="F16" s="581"/>
      <c r="G16" s="418"/>
      <c r="H16" s="750"/>
      <c r="I16" s="752"/>
      <c r="J16" s="1215"/>
      <c r="Q16" s="577">
        <v>6</v>
      </c>
    </row>
    <row customHeight="1" ht="21">
      <c r="D17" s="416"/>
      <c r="E17" s="732" t="s">
        <v>36</v>
      </c>
      <c r="F17" s="557" t="s">
        <v>37</v>
      </c>
      <c r="G17" s="414"/>
      <c r="H17" s="1114" t="s">
        <v>23</v>
      </c>
      <c r="Q17" s="415">
        <v>20</v>
      </c>
    </row>
    <row customHeight="1" ht="25.5" hidden="1">
      <c r="D18" s="416"/>
      <c r="E18" s="2116" t="s">
        <v>38</v>
      </c>
      <c r="F18" s="2074"/>
      <c r="G18" s="414"/>
      <c r="I18" s="1115"/>
      <c r="J18" s="2438" t="s">
        <v>39</v>
      </c>
      <c r="Q18" s="415">
        <v>0</v>
      </c>
    </row>
    <row customHeight="1" ht="25.5" hidden="1">
      <c r="D19" s="416"/>
      <c r="E19" s="150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74"/>
      <c r="G19" s="414"/>
      <c r="I19" s="1115"/>
      <c r="J19" s="2438"/>
      <c r="Q19" s="415">
        <v>0</v>
      </c>
    </row>
    <row customHeight="1" ht="22.5" hidden="1">
      <c r="D20" s="416"/>
      <c r="E20" s="417"/>
      <c r="F20" s="611" t="str">
        <f>"Первичное "&amp;IF(TEMPLATE_GROUP="P","установление тарифов","предложение по тарифам")</f>
        <v>Первичное предложение по тарифам</v>
      </c>
      <c r="G20" s="414"/>
      <c r="I20" s="735"/>
      <c r="J20" s="1216" t="s">
        <v>40</v>
      </c>
      <c r="Q20" s="415">
        <v>0</v>
      </c>
    </row>
    <row customHeight="1" ht="19.5" hidden="1">
      <c r="D21" s="416"/>
      <c r="E21" s="732" t="str">
        <f>"Дата "&amp;IF(TEMPLATE_GROUP="P","документа","подачи заявления")&amp;" об утверждении тарифов"</f>
        <v>Дата подачи заявления об утверждении тарифов</v>
      </c>
      <c r="F21" s="2073"/>
      <c r="G21" s="414"/>
      <c r="I21" s="1116"/>
      <c r="Q21" s="415">
        <v>0</v>
      </c>
    </row>
    <row customHeight="1" ht="19.5" hidden="1">
      <c r="D22" s="416"/>
      <c r="E22" s="732" t="str">
        <f>"Номер "&amp;IF(TEMPLATE_GROUP="P","документа","подачи заявления")&amp;" об утверждении тарифов"</f>
        <v>Номер подачи заявления об утверждении тарифов</v>
      </c>
      <c r="F22" s="557"/>
      <c r="G22" s="414"/>
      <c r="I22" s="1116"/>
      <c r="Q22" s="415">
        <v>0</v>
      </c>
    </row>
    <row customHeight="1" ht="22.5" hidden="1">
      <c r="D23" s="416"/>
      <c r="E23" s="732" t="s">
        <v>41</v>
      </c>
      <c r="F23" s="557"/>
      <c r="G23" s="414"/>
      <c r="Q23" s="415">
        <v>0</v>
      </c>
    </row>
    <row customHeight="1" ht="19.5" hidden="1">
      <c r="D24" s="416"/>
      <c r="E24" s="732" t="s">
        <v>42</v>
      </c>
      <c r="F24" s="557"/>
      <c r="G24" s="414"/>
      <c r="Q24" s="415">
        <v>0</v>
      </c>
    </row>
    <row customHeight="1" ht="22.5" hidden="1">
      <c r="D25" s="416"/>
      <c r="E25" s="417"/>
      <c r="F25" s="611" t="str">
        <f>"Изменение "&amp;IF(TEMPLATE_GROUP="P","тарифов","предложения по тарифам")</f>
        <v>Изменение предложения по тарифам</v>
      </c>
      <c r="G25" s="414"/>
      <c r="J25" s="1216" t="s">
        <v>43</v>
      </c>
      <c r="Q25" s="415">
        <v>0</v>
      </c>
    </row>
    <row customHeight="1" ht="19.5" hidden="1">
      <c r="D26" s="416"/>
      <c r="E26" s="732" t="str">
        <f>"Дата "&amp;IF(TEMPLATE_GROUP="P","принятия решения","подачи заявления")&amp;" об изменении тарифов"</f>
        <v>Дата подачи заявления об изменении тарифов</v>
      </c>
      <c r="F26" s="2074"/>
      <c r="G26" s="414"/>
      <c r="Q26" s="415">
        <v>0</v>
      </c>
    </row>
    <row customHeight="1" ht="19.5" hidden="1">
      <c r="D27" s="416"/>
      <c r="E27" s="1506" t="str">
        <f>"Номер "&amp;IF(TEMPLATE_GROUP="P","принятия решения","заявления")&amp;" об изменении тарифов"</f>
        <v>Номер заявления об изменении тарифов</v>
      </c>
      <c r="F27" s="559"/>
      <c r="G27" s="414"/>
      <c r="Q27" s="415">
        <v>0</v>
      </c>
    </row>
    <row customHeight="1" ht="24.75" hidden="1">
      <c r="D28" s="416"/>
      <c r="E28" s="732" t="s">
        <v>44</v>
      </c>
      <c r="F28" s="559"/>
      <c r="G28" s="414"/>
      <c r="Q28" s="415">
        <v>0</v>
      </c>
    </row>
    <row customHeight="1" ht="19.5" hidden="1">
      <c r="D29" s="416"/>
      <c r="E29" s="732" t="s">
        <v>42</v>
      </c>
      <c r="F29" s="559"/>
      <c r="G29" s="414"/>
      <c r="Q29" s="415">
        <v>0</v>
      </c>
    </row>
    <row s="17214" customFormat="1" customHeight="1" ht="6.3">
      <c r="A30" s="1126"/>
      <c r="B30" s="573"/>
      <c r="C30" s="574"/>
      <c r="D30" s="580"/>
      <c r="E30" s="578"/>
      <c r="F30" s="581"/>
      <c r="G30" s="418"/>
      <c r="H30" s="750"/>
      <c r="I30" s="752"/>
      <c r="J30" s="1215"/>
      <c r="Q30" s="577">
        <v>6</v>
      </c>
    </row>
    <row customHeight="1" ht="21">
      <c r="C31" s="419"/>
      <c r="D31" s="420"/>
      <c r="E31" s="732" t="str">
        <f>"Наименование "&amp;IF(TEMPLATE_GROUP="ROIV","органа тарифного регулирования","ЮЛ / ИП")</f>
        <v>Наименование ЮЛ / ИП</v>
      </c>
      <c r="F31" s="558" t="s">
        <v>45</v>
      </c>
      <c r="G31" s="1117"/>
      <c r="Q31" s="415">
        <v>20</v>
      </c>
    </row>
    <row customHeight="1" ht="21" hidden="1">
      <c r="C32" s="419"/>
      <c r="D32" s="420"/>
      <c r="E32" s="733" t="s">
        <v>46</v>
      </c>
      <c r="F32" s="558"/>
      <c r="G32" s="1117"/>
      <c r="Q32" s="415">
        <v>20</v>
      </c>
    </row>
    <row customHeight="1" ht="21">
      <c r="C33" s="419"/>
      <c r="D33" s="420"/>
      <c r="E33" s="732" t="s">
        <v>47</v>
      </c>
      <c r="F33" s="558" t="s">
        <v>48</v>
      </c>
      <c r="G33" s="1117"/>
      <c r="Q33" s="415">
        <v>20</v>
      </c>
    </row>
    <row customHeight="1" ht="21">
      <c r="C34" s="419"/>
      <c r="D34" s="420"/>
      <c r="E34" s="732" t="s">
        <v>49</v>
      </c>
      <c r="F34" s="558" t="s">
        <v>50</v>
      </c>
      <c r="G34" s="1117"/>
      <c r="H34" s="421"/>
      <c r="Q34" s="415">
        <v>20</v>
      </c>
    </row>
    <row s="17214" customFormat="1" customHeight="1" ht="11.549999999999999">
      <c r="A35" s="1126"/>
      <c r="B35" s="573"/>
      <c r="C35" s="574"/>
      <c r="D35" s="580"/>
      <c r="E35" s="578"/>
      <c r="F35" s="581"/>
      <c r="G35" s="418"/>
      <c r="H35" s="750"/>
      <c r="I35" s="752"/>
      <c r="J35" s="1215"/>
      <c r="Q35" s="577">
        <v>11</v>
      </c>
    </row>
    <row customHeight="1" ht="19.5">
      <c r="A36" s="1220"/>
      <c r="D36" s="420"/>
      <c r="E36" s="732" t="s">
        <v>51</v>
      </c>
      <c r="F36" s="3095" t="s">
        <v>52</v>
      </c>
      <c r="G36" s="418"/>
      <c r="Q36" s="415">
        <v>0</v>
      </c>
    </row>
    <row customHeight="1" ht="21">
      <c r="A37" s="1220"/>
      <c r="D37" s="420"/>
      <c r="E37" s="732" t="s">
        <v>53</v>
      </c>
      <c r="F37" s="3095" t="s">
        <v>54</v>
      </c>
      <c r="G37" s="418"/>
      <c r="Q37" s="415">
        <v>20</v>
      </c>
    </row>
    <row s="17214" customFormat="1" customHeight="1" ht="6.3">
      <c r="A38" s="1126"/>
      <c r="B38" s="573"/>
      <c r="C38" s="574"/>
      <c r="D38" s="575"/>
      <c r="E38" s="576"/>
      <c r="F38" s="1394"/>
      <c r="G38" s="414"/>
      <c r="H38" s="750"/>
      <c r="I38" s="752"/>
      <c r="J38" s="1217"/>
      <c r="Q38" s="577">
        <v>6</v>
      </c>
    </row>
    <row customHeight="1" ht="36.75">
      <c r="A39" s="1126"/>
      <c r="D39" s="416"/>
      <c r="E39" s="732" t="s">
        <v>55</v>
      </c>
      <c r="F39" s="1051" t="s">
        <v>19</v>
      </c>
      <c r="G39" s="414"/>
      <c r="H39" s="1114" t="s">
        <v>23</v>
      </c>
      <c r="Q39" s="415">
        <v>35</v>
      </c>
    </row>
    <row s="17214" customFormat="1" customHeight="1" ht="6" hidden="1">
      <c r="A40" s="1125"/>
      <c r="B40" s="767"/>
      <c r="C40" s="768"/>
      <c r="D40" s="769"/>
      <c r="E40" s="770"/>
      <c r="F40" s="1394"/>
      <c r="G40" s="414"/>
      <c r="H40" s="750"/>
      <c r="I40" s="752"/>
      <c r="J40" s="1217"/>
      <c r="Q40" s="771">
        <v>6</v>
      </c>
    </row>
    <row s="17239" customFormat="1" customHeight="1" ht="26.25" hidden="1">
      <c r="A41" s="1129" t="s">
        <v>27</v>
      </c>
      <c r="B41" s="754"/>
      <c r="C41" s="749"/>
      <c r="D41" s="751"/>
      <c r="E41" s="73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051" t="s">
        <v>19</v>
      </c>
      <c r="G41" s="414"/>
      <c r="I41" s="752"/>
      <c r="J41" s="1217"/>
      <c r="Q41" s="750">
        <v>0</v>
      </c>
    </row>
    <row s="17214" customFormat="1" customHeight="1" ht="6" hidden="1">
      <c r="A42" s="1125"/>
      <c r="B42" s="767"/>
      <c r="C42" s="768"/>
      <c r="D42" s="769"/>
      <c r="E42" s="770"/>
      <c r="F42" s="1394"/>
      <c r="G42" s="414"/>
      <c r="H42" s="750"/>
      <c r="I42" s="752"/>
      <c r="J42" s="1215"/>
      <c r="Q42" s="771">
        <v>0</v>
      </c>
    </row>
    <row s="17239" customFormat="1" customHeight="1" ht="27" hidden="1">
      <c r="A43" s="1125"/>
      <c r="B43" s="754"/>
      <c r="C43" s="749"/>
      <c r="D43" s="751"/>
      <c r="E43" s="732" t="s">
        <v>56</v>
      </c>
      <c r="F43" s="1051" t="s">
        <v>19</v>
      </c>
      <c r="G43" s="414"/>
      <c r="I43" s="752"/>
      <c r="J43" s="1217"/>
      <c r="Q43" s="750">
        <v>0</v>
      </c>
    </row>
    <row s="17239" customFormat="1" customHeight="1" ht="27" hidden="1">
      <c r="A44" s="1125"/>
      <c r="B44" s="754"/>
      <c r="C44" s="749"/>
      <c r="D44" s="751"/>
      <c r="E44" s="1506" t="s">
        <v>57</v>
      </c>
      <c r="F44" s="2229"/>
      <c r="G44" s="414"/>
      <c r="I44" s="752"/>
      <c r="J44" s="1217"/>
      <c r="Q44" s="750">
        <v>0</v>
      </c>
    </row>
    <row s="17214" customFormat="1" customHeight="1" ht="6" hidden="1">
      <c r="A45" s="1125"/>
      <c r="B45" s="767"/>
      <c r="C45" s="768"/>
      <c r="D45" s="769"/>
      <c r="E45" s="770"/>
      <c r="F45" s="1394"/>
      <c r="G45" s="414"/>
      <c r="H45" s="750"/>
      <c r="I45" s="752"/>
      <c r="J45" s="1217"/>
      <c r="Q45" s="771">
        <v>0</v>
      </c>
    </row>
    <row s="17214" customFormat="1" customHeight="1" ht="24.75" hidden="1">
      <c r="A46" s="1125"/>
      <c r="B46" s="767"/>
      <c r="C46" s="768"/>
      <c r="D46" s="769"/>
      <c r="E46" s="1506" t="s">
        <v>58</v>
      </c>
      <c r="F46" s="1051" t="s">
        <v>19</v>
      </c>
      <c r="G46" s="414"/>
      <c r="H46" s="750"/>
      <c r="I46" s="752"/>
      <c r="J46" s="1217"/>
      <c r="Q46" s="771">
        <v>0</v>
      </c>
    </row>
    <row s="17239" customFormat="1" customHeight="1" ht="24.75" hidden="1">
      <c r="A47" s="1125"/>
      <c r="B47" s="754"/>
      <c r="C47" s="749"/>
      <c r="D47" s="751"/>
      <c r="E47" s="1506" t="s">
        <v>59</v>
      </c>
      <c r="F47" s="1051" t="s">
        <v>19</v>
      </c>
      <c r="G47" s="414"/>
      <c r="I47" s="752"/>
      <c r="J47" s="1217"/>
      <c r="Q47" s="750">
        <v>0</v>
      </c>
    </row>
    <row s="17214" customFormat="1" customHeight="1" ht="6" hidden="1">
      <c r="A48" s="1125"/>
      <c r="B48" s="573"/>
      <c r="C48" s="574"/>
      <c r="D48" s="575"/>
      <c r="E48" s="576"/>
      <c r="F48" s="1394"/>
      <c r="G48" s="414"/>
      <c r="H48" s="750"/>
      <c r="I48" s="752"/>
      <c r="J48" s="1217"/>
      <c r="Q48" s="577">
        <v>0</v>
      </c>
    </row>
    <row customHeight="1" ht="29.25" hidden="1">
      <c r="B49" s="489"/>
      <c r="D49" s="416"/>
      <c r="E49" s="73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051"/>
      <c r="G49" s="414"/>
      <c r="Q49" s="415">
        <v>0</v>
      </c>
    </row>
    <row s="17214" customFormat="1" customHeight="1" ht="6" hidden="1">
      <c r="A50" s="1126"/>
      <c r="B50" s="767"/>
      <c r="C50" s="768"/>
      <c r="D50" s="580"/>
      <c r="E50" s="578"/>
      <c r="F50" s="581"/>
      <c r="G50" s="418"/>
      <c r="H50" s="750"/>
      <c r="I50" s="752"/>
      <c r="J50" s="1217"/>
      <c r="Q50" s="771">
        <v>0</v>
      </c>
    </row>
    <row s="17239" customFormat="1" customHeight="1" ht="28.5" hidden="1">
      <c r="A51" s="1127"/>
      <c r="B51" s="754"/>
      <c r="C51" s="871"/>
      <c r="D51" s="872"/>
      <c r="E51" s="732" t="s">
        <v>60</v>
      </c>
      <c r="F51" s="1051" t="s">
        <v>19</v>
      </c>
      <c r="G51" s="873"/>
      <c r="I51" s="875"/>
      <c r="J51" s="1219"/>
      <c r="P51" s="876"/>
      <c r="Q51" s="874">
        <v>0</v>
      </c>
    </row>
    <row s="17214" customFormat="1" customHeight="1" ht="6" hidden="1">
      <c r="A52" s="1126"/>
      <c r="B52" s="767"/>
      <c r="C52" s="768"/>
      <c r="D52" s="580"/>
      <c r="E52" s="578"/>
      <c r="F52" s="581"/>
      <c r="G52" s="418"/>
      <c r="H52" s="750"/>
      <c r="I52" s="752"/>
      <c r="J52" s="1215"/>
      <c r="Q52" s="771">
        <v>0</v>
      </c>
    </row>
    <row s="17239" customFormat="1" customHeight="1" ht="27" hidden="1">
      <c r="A53" s="1127"/>
      <c r="B53" s="754"/>
      <c r="C53" s="871"/>
      <c r="D53" s="872"/>
      <c r="E53" s="732" t="s">
        <v>61</v>
      </c>
      <c r="F53" s="1389" t="s">
        <v>19</v>
      </c>
      <c r="G53" s="873"/>
      <c r="I53" s="875"/>
      <c r="J53" s="1219"/>
      <c r="P53" s="876"/>
      <c r="Q53" s="874">
        <v>0</v>
      </c>
    </row>
    <row s="17239" customFormat="1" customHeight="1" ht="27" hidden="1">
      <c r="A54" s="1127"/>
      <c r="B54" s="754"/>
      <c r="C54" s="871"/>
      <c r="D54" s="872"/>
      <c r="E54" s="732" t="s">
        <v>62</v>
      </c>
      <c r="F54" s="2115"/>
      <c r="G54" s="873"/>
      <c r="I54" s="875"/>
      <c r="J54" s="1219"/>
      <c r="P54" s="876"/>
      <c r="Q54" s="874">
        <v>0</v>
      </c>
    </row>
    <row s="17214" customFormat="1" customHeight="1" ht="6" hidden="1">
      <c r="A55" s="1126"/>
      <c r="B55" s="767"/>
      <c r="C55" s="768"/>
      <c r="D55" s="580"/>
      <c r="E55" s="578"/>
      <c r="F55" s="581"/>
      <c r="G55" s="418"/>
      <c r="H55" s="750"/>
      <c r="I55" s="752"/>
      <c r="J55" s="1215"/>
      <c r="Q55" s="771">
        <v>0</v>
      </c>
    </row>
    <row s="17239" customFormat="1" customHeight="1" ht="25.5" hidden="1">
      <c r="A56" s="1127"/>
      <c r="B56" s="754"/>
      <c r="C56" s="871"/>
      <c r="D56" s="872"/>
      <c r="E56" s="732" t="s">
        <v>63</v>
      </c>
      <c r="F56" s="1389" t="s">
        <v>19</v>
      </c>
      <c r="G56" s="873"/>
      <c r="I56" s="875"/>
      <c r="J56" s="1219"/>
      <c r="P56" s="876"/>
      <c r="Q56" s="874">
        <v>0</v>
      </c>
    </row>
    <row s="17214" customFormat="1" customHeight="1" ht="6" hidden="1">
      <c r="A57" s="1126"/>
      <c r="B57" s="767"/>
      <c r="C57" s="768"/>
      <c r="D57" s="580"/>
      <c r="E57" s="578"/>
      <c r="F57" s="581"/>
      <c r="G57" s="418"/>
      <c r="H57" s="750"/>
      <c r="I57" s="752"/>
      <c r="J57" s="1215"/>
      <c r="Q57" s="771">
        <v>0</v>
      </c>
    </row>
    <row s="17239" customFormat="1" customHeight="1" ht="15" hidden="1">
      <c r="A58" s="1127"/>
      <c r="B58" s="754"/>
      <c r="C58" s="871"/>
      <c r="D58" s="872"/>
      <c r="E58" s="732" t="s">
        <v>64</v>
      </c>
      <c r="F58" s="1389" t="s">
        <v>65</v>
      </c>
      <c r="G58" s="873"/>
      <c r="I58" s="875"/>
      <c r="J58" s="1219"/>
      <c r="P58" s="876"/>
      <c r="Q58" s="874">
        <v>0</v>
      </c>
    </row>
    <row s="17239" customFormat="1" customHeight="1" ht="75">
      <c r="A59" s="1127"/>
      <c r="B59" s="754"/>
      <c r="C59" s="871"/>
      <c r="D59" s="872"/>
      <c r="E59" s="73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530" t="s">
        <v>65</v>
      </c>
      <c r="G59" s="873"/>
      <c r="I59" s="875"/>
      <c r="J59" s="1219"/>
      <c r="P59" s="876"/>
      <c r="Q59" s="874">
        <v>0</v>
      </c>
    </row>
    <row s="17239" customFormat="1" customHeight="1" ht="15">
      <c r="A60" s="1127"/>
      <c r="B60" s="754"/>
      <c r="C60" s="871"/>
      <c r="D60" s="872"/>
      <c r="E60" s="1506" t="s">
        <v>66</v>
      </c>
      <c r="F60" s="3095" t="s">
        <v>67</v>
      </c>
      <c r="G60" s="873"/>
      <c r="I60" s="875"/>
      <c r="J60" s="1219"/>
      <c r="P60" s="876"/>
      <c r="Q60" s="874">
        <v>0</v>
      </c>
    </row>
    <row s="17214" customFormat="1" customHeight="1" ht="6" hidden="1">
      <c r="A61" s="1126"/>
      <c r="B61" s="767"/>
      <c r="C61" s="768"/>
      <c r="D61" s="769"/>
      <c r="E61" s="770"/>
      <c r="F61" s="1394"/>
      <c r="G61" s="414"/>
      <c r="H61" s="750"/>
      <c r="I61" s="752"/>
      <c r="J61" s="1217"/>
      <c r="Q61" s="771">
        <v>0</v>
      </c>
    </row>
    <row s="17239" customFormat="1" customHeight="1" ht="33.75" hidden="1">
      <c r="A62" s="1126"/>
      <c r="B62" s="439"/>
      <c r="C62" s="749"/>
      <c r="D62" s="751"/>
      <c r="E62" s="1506" t="s">
        <v>68</v>
      </c>
      <c r="F62" s="2012" t="s">
        <v>65</v>
      </c>
      <c r="G62" s="414"/>
      <c r="H62" s="1114" t="s">
        <v>23</v>
      </c>
      <c r="I62" s="752"/>
      <c r="J62" s="1217"/>
      <c r="Q62" s="750">
        <v>0</v>
      </c>
    </row>
    <row s="17214" customFormat="1" customHeight="1" ht="6.3">
      <c r="A63" s="1126"/>
      <c r="B63" s="573"/>
      <c r="C63" s="574"/>
      <c r="D63" s="580"/>
      <c r="E63" s="578"/>
      <c r="F63" s="581"/>
      <c r="G63" s="418"/>
      <c r="H63" s="750"/>
      <c r="I63" s="752"/>
      <c r="J63" s="1215"/>
      <c r="Q63" s="577">
        <v>6</v>
      </c>
    </row>
    <row customHeight="1" ht="21">
      <c r="A64" s="1128"/>
      <c r="B64" s="440"/>
      <c r="D64" s="423"/>
      <c r="E64" s="732" t="s">
        <v>69</v>
      </c>
      <c r="F64" s="557" t="s">
        <v>70</v>
      </c>
      <c r="G64" s="418"/>
      <c r="Q64" s="415">
        <v>20</v>
      </c>
    </row>
    <row customHeight="1" ht="21">
      <c r="A65" s="1128"/>
      <c r="B65" s="440"/>
      <c r="D65" s="423"/>
      <c r="E65" s="732" t="s">
        <v>71</v>
      </c>
      <c r="F65" s="557" t="s">
        <v>72</v>
      </c>
      <c r="G65" s="418"/>
      <c r="Q65" s="415">
        <v>20</v>
      </c>
    </row>
    <row customHeight="1" ht="36.75">
      <c r="D66" s="416"/>
      <c r="E66" s="734" t="s">
        <v>73</v>
      </c>
      <c r="F66" s="1395"/>
      <c r="G66" s="414"/>
      <c r="Q66" s="415">
        <v>35</v>
      </c>
    </row>
    <row customHeight="1" ht="21">
      <c r="A67" s="1128"/>
      <c r="D67" s="751"/>
      <c r="E67" s="732" t="s">
        <v>74</v>
      </c>
      <c r="F67" s="612" t="s">
        <v>75</v>
      </c>
      <c r="G67" s="418"/>
      <c r="Q67" s="415">
        <v>20</v>
      </c>
    </row>
    <row customHeight="1" ht="21">
      <c r="A68" s="1128"/>
      <c r="B68" s="440"/>
      <c r="D68" s="423"/>
      <c r="E68" s="732" t="s">
        <v>76</v>
      </c>
      <c r="F68" s="612" t="s">
        <v>77</v>
      </c>
      <c r="G68" s="418"/>
      <c r="Q68" s="415">
        <v>20</v>
      </c>
    </row>
    <row customHeight="1" ht="21">
      <c r="A69" s="1128"/>
      <c r="B69" s="440"/>
      <c r="D69" s="423"/>
      <c r="E69" s="732" t="s">
        <v>78</v>
      </c>
      <c r="F69" s="612" t="s">
        <v>79</v>
      </c>
      <c r="G69" s="418"/>
      <c r="Q69" s="415">
        <v>20</v>
      </c>
    </row>
    <row customHeight="1" ht="21">
      <c r="D70" s="751"/>
      <c r="E70" s="732" t="s">
        <v>80</v>
      </c>
      <c r="F70" s="3122" t="s">
        <v>81</v>
      </c>
      <c r="G70" s="414"/>
      <c r="Q70" s="415">
        <v>20</v>
      </c>
    </row>
    <row customHeight="1" ht="21">
      <c r="A71" s="1128"/>
      <c r="D71" s="414"/>
      <c r="F71" s="474"/>
      <c r="G71" s="418"/>
      <c r="Q71" s="415">
        <v>20</v>
      </c>
    </row>
    <row customHeight="1" ht="21">
      <c r="A72" s="1128"/>
      <c r="B72" s="440"/>
      <c r="D72" s="423"/>
      <c r="E72" s="422"/>
      <c r="F72" s="1374" t="s">
        <v>13</v>
      </c>
      <c r="G72" s="418"/>
      <c r="Q72" s="415">
        <v>20</v>
      </c>
    </row>
    <row customHeight="1" ht="21">
      <c r="A73" s="1128"/>
      <c r="B73" s="440"/>
      <c r="D73" s="423"/>
      <c r="E73" s="422"/>
      <c r="F73" s="475"/>
      <c r="G73" s="418"/>
      <c r="Q73" s="415">
        <v>20</v>
      </c>
    </row>
    <row customHeight="1" ht="21">
      <c r="A74" s="1128"/>
      <c r="B74" s="440"/>
      <c r="D74" s="423"/>
      <c r="E74" s="427"/>
      <c r="F74" s="475"/>
      <c r="G74" s="418"/>
      <c r="Q74" s="415">
        <v>20</v>
      </c>
    </row>
    <row customHeight="1" ht="21">
      <c r="A75" s="1128"/>
      <c r="B75" s="440"/>
      <c r="D75" s="423"/>
      <c r="E75" s="422"/>
      <c r="F75" s="475"/>
      <c r="G75" s="418"/>
      <c r="Q75" s="415">
        <v>20</v>
      </c>
    </row>
    <row customHeight="1" ht="11.549999999999999">
      <c r="Q76" s="415">
        <v>11</v>
      </c>
    </row>
    <row customHeight="1" ht="11.549999999999999">
      <c r="Q77" s="415">
        <v>11</v>
      </c>
    </row>
    <row customHeight="1" ht="11.549999999999999">
      <c r="E78" s="731"/>
      <c r="F78" s="731"/>
      <c r="G78" s="731"/>
      <c r="H78" s="731"/>
      <c r="I78" s="731"/>
      <c r="Q78" s="415">
        <v>11</v>
      </c>
    </row>
    <row customHeight="1" ht="11.25" hidden="1">
      <c r="A79" s="1125" t="s">
        <v>82</v>
      </c>
      <c r="B79" s="439">
        <v>0</v>
      </c>
      <c r="C79" s="413">
        <v>3</v>
      </c>
      <c r="D79" s="415">
        <v>1</v>
      </c>
      <c r="E79" s="415">
        <v>55</v>
      </c>
      <c r="F79" s="415">
        <v>54</v>
      </c>
      <c r="G79" s="1112">
        <v>1</v>
      </c>
      <c r="H79" s="750">
        <v>0</v>
      </c>
      <c r="I79" s="752">
        <v>59</v>
      </c>
      <c r="J79" s="1217">
        <v>0</v>
      </c>
      <c r="K79" s="415">
        <v>8</v>
      </c>
      <c r="L79" s="415">
        <v>77</v>
      </c>
      <c r="M79" s="415">
        <v>8</v>
      </c>
      <c r="N79" s="415">
        <v>8</v>
      </c>
      <c r="O79" s="415">
        <v>8</v>
      </c>
      <c r="P79" s="415">
        <v>8</v>
      </c>
      <c r="Q79" s="415">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6A165026-7265-BDE9-2618-391AFBB34C97}"/>
    <hyperlink ref="H17" location="Титульный!H9" display="Как заполнить?" tooltip="Помощь по работе с полями отчётной формы" xr:uid="{56314CCF-8CA5-1D94-110C-D0827CCAE9CD}"/>
    <hyperlink ref="H39" location="Титульный!H9" display="Как заполнить?" tooltip="Помощь по работе с полями отчётной формы" xr:uid="{308057FF-61F2-53FF-7598-A7A9145650AC}"/>
    <hyperlink ref="H62" location="Титульный!H9" display="Как заполнить?" tooltip="Помощь по работе с полями отчётной формы" xr:uid="{8013E158-5A98-6812-9FFC-A23B7EE20FDF}"/>
    <hyperlink ref="F70" r:id="rId4" xr:uid="{2F93E366-05F8-0769-A7DA-3A17BA3F7DF5}"/>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087C6B-D8E1-A636-15E5-2B98B7C0AED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7" width="3.00390625" customWidth="1"/>
    <col min="17" max="17" style="18263" width="3.00390625" customWidth="1"/>
    <col min="18" max="18" style="18079" width="3.00390625" customWidth="1"/>
    <col min="19" max="19" style="18080" width="12.00390625" customWidth="1"/>
    <col min="20" max="20" style="17239" width="31.00390625" customWidth="1"/>
    <col min="21" max="21" style="17239" width="0.140625" customWidth="1"/>
    <col min="22" max="23" style="17239" width="21.7109375" hidden="1" customWidth="1"/>
    <col min="24" max="24" style="17239" width="11.7109375" hidden="1" customWidth="1"/>
    <col min="25" max="25" style="17239" width="3.7109375" hidden="1" customWidth="1"/>
    <col min="26" max="26" style="17239" width="11.7109375" hidden="1" customWidth="1"/>
    <col min="27" max="27" style="17239" width="8.57421875" hidden="1" customWidth="1"/>
    <col min="28" max="28" style="17239" width="5.421875" customWidth="1"/>
    <col min="29" max="30" style="17239" width="3.00390625" customWidth="1"/>
    <col min="31" max="31" style="17239" width="24.00390625" customWidth="1"/>
    <col min="32" max="32" style="17239" width="3.7109375" customWidth="1"/>
    <col min="33" max="34" style="17239" width="3.00390625" customWidth="1"/>
    <col min="35" max="35" style="17239" width="24.00390625" customWidth="1"/>
    <col min="36" max="36" style="17239" width="3.7109375" customWidth="1"/>
    <col min="37" max="38" style="17239" width="3.00390625" customWidth="1"/>
    <col min="39" max="39" style="17239" width="18.00390625" customWidth="1"/>
    <col min="40" max="41" style="17239" width="21.00390625" customWidth="1"/>
    <col min="42" max="42" style="17239" width="11.00390625" customWidth="1"/>
    <col min="43" max="43" style="17239" width="3.7109375" customWidth="1"/>
    <col min="44" max="44" style="17239" width="11.00390625" customWidth="1"/>
    <col min="45" max="45" style="17239" width="8.57421875" hidden="1" customWidth="1"/>
    <col min="46" max="46" style="17239" width="4.00390625" customWidth="1"/>
    <col min="47" max="47" style="17239" width="115.00390625" customWidth="1"/>
    <col min="48" max="52" style="17316" width="10.00390625" customWidth="1"/>
    <col min="53" max="53" style="17239" width="10.57421875" hidden="1"/>
  </cols>
  <sheetData>
    <row customHeight="1" ht="22.5" hidden="1">
      <c r="W1" s="668"/>
      <c r="X1" s="668"/>
      <c r="AO1" s="668"/>
      <c r="AP1" s="668"/>
      <c r="BA1" s="1496" t="s">
        <v>14</v>
      </c>
    </row>
    <row customHeight="1" ht="21" hidden="1">
      <c r="A2" s="1704"/>
      <c r="B2" s="1704"/>
      <c r="C2" s="1704"/>
      <c r="D2" s="1704"/>
      <c r="E2" s="2599">
        <v>1</v>
      </c>
      <c r="F2" s="1704"/>
      <c r="G2" s="1704"/>
      <c r="H2" s="1704"/>
      <c r="I2" s="1704"/>
      <c r="J2" s="1704"/>
      <c r="K2" s="1704"/>
      <c r="L2" s="1705"/>
      <c r="M2" s="1706"/>
      <c r="N2" s="1706"/>
      <c r="O2" s="1706"/>
      <c r="P2" s="1750"/>
      <c r="Q2" s="1214"/>
      <c r="R2" s="696"/>
      <c r="S2" s="1677">
        <f>INDEX(PT_DIFFERENTIATION_NUM_NTAR,MATCH(A2,PT_DIFFERENTIATION_NTAR_ID,0))</f>
      </c>
      <c r="T2" s="639" t="s">
        <v>120</v>
      </c>
      <c r="U2" s="641"/>
      <c r="V2" s="2584"/>
      <c r="W2" s="2584"/>
      <c r="X2" s="2584"/>
      <c r="Y2" s="2584"/>
      <c r="Z2" s="2584"/>
      <c r="AA2" s="2585"/>
      <c r="AB2" s="2583">
        <f>INDEX(PT_DIFFERENTIATION_NTAR,MATCH(A2,PT_DIFFERENTIATION_NTAR_ID,0))</f>
      </c>
      <c r="AC2" s="2584"/>
      <c r="AD2" s="2584"/>
      <c r="AE2" s="2584"/>
      <c r="AF2" s="2584"/>
      <c r="AG2" s="2584"/>
      <c r="AH2" s="2584"/>
      <c r="AI2" s="2584"/>
      <c r="AJ2" s="2584"/>
      <c r="AK2" s="2584"/>
      <c r="AL2" s="2584"/>
      <c r="AM2" s="2584"/>
      <c r="AN2" s="2584"/>
      <c r="AO2" s="2584"/>
      <c r="AP2" s="2584"/>
      <c r="AQ2" s="2584"/>
      <c r="AR2" s="2584"/>
      <c r="AS2" s="2584"/>
      <c r="AT2" s="2585"/>
      <c r="AU2" s="1599" t="s">
        <v>391</v>
      </c>
      <c r="AW2" s="841"/>
      <c r="AX2" s="841" t="str">
        <f>IF(T2="","",T2)</f>
        <v>Наименование тарифа</v>
      </c>
      <c r="AY2" s="841"/>
      <c r="AZ2" s="841"/>
      <c r="BA2" s="1496">
        <v>0</v>
      </c>
    </row>
    <row customHeight="1" ht="21" hidden="1">
      <c r="A3" s="1704"/>
      <c r="B3" s="1704"/>
      <c r="C3" s="1704"/>
      <c r="D3" s="1704"/>
      <c r="E3" s="2600"/>
      <c r="F3" s="2599">
        <v>1</v>
      </c>
      <c r="G3" s="1704"/>
      <c r="H3" s="1704"/>
      <c r="I3" s="1704"/>
      <c r="J3" s="1704"/>
      <c r="K3" s="1704"/>
      <c r="L3" s="1705"/>
      <c r="M3" s="1706"/>
      <c r="N3" s="1706"/>
      <c r="O3" s="1706"/>
      <c r="P3" s="1751"/>
      <c r="Q3" s="1752"/>
      <c r="R3" s="694"/>
      <c r="S3" s="1677">
        <f>INDEX(PT_DIFFERENTIATION_NUM_TER,MATCH(B3,PT_DIFFERENTIATION_TER_ID,0))</f>
      </c>
      <c r="T3" s="649" t="s">
        <v>392</v>
      </c>
      <c r="U3" s="641"/>
      <c r="V3" s="2584"/>
      <c r="W3" s="2584"/>
      <c r="X3" s="2584"/>
      <c r="Y3" s="2584"/>
      <c r="Z3" s="2584"/>
      <c r="AA3" s="2585"/>
      <c r="AB3" s="2583">
        <f>INDEX(PT_DIFFERENTIATION_TER,MATCH(B3,PT_DIFFERENTIATION_TER_ID,0))</f>
      </c>
      <c r="AC3" s="2584"/>
      <c r="AD3" s="2584"/>
      <c r="AE3" s="2584"/>
      <c r="AF3" s="2584"/>
      <c r="AG3" s="2584"/>
      <c r="AH3" s="2584"/>
      <c r="AI3" s="2584"/>
      <c r="AJ3" s="2584"/>
      <c r="AK3" s="2584"/>
      <c r="AL3" s="2584"/>
      <c r="AM3" s="2584"/>
      <c r="AN3" s="2584"/>
      <c r="AO3" s="2584"/>
      <c r="AP3" s="2584"/>
      <c r="AQ3" s="2584"/>
      <c r="AR3" s="2584"/>
      <c r="AS3" s="2584"/>
      <c r="AT3" s="2585"/>
      <c r="AU3" s="1599" t="s">
        <v>393</v>
      </c>
      <c r="AW3" s="841"/>
      <c r="AX3" s="841" t="str">
        <f>IF(T3="","",T3)</f>
        <v>Территория действия тарифа</v>
      </c>
      <c r="AY3" s="841"/>
      <c r="AZ3" s="841"/>
      <c r="BA3" s="1496">
        <v>0</v>
      </c>
    </row>
    <row customHeight="1" ht="22.5" hidden="1">
      <c r="A4" s="1704"/>
      <c r="B4" s="1704"/>
      <c r="C4" s="1704"/>
      <c r="D4" s="1704"/>
      <c r="E4" s="2600"/>
      <c r="F4" s="2600"/>
      <c r="G4" s="2599">
        <v>1</v>
      </c>
      <c r="H4" s="1704"/>
      <c r="I4" s="1704"/>
      <c r="J4" s="1704"/>
      <c r="K4" s="1704"/>
      <c r="L4" s="1705"/>
      <c r="M4" s="1706"/>
      <c r="N4" s="1706"/>
      <c r="O4" s="1706"/>
      <c r="P4" s="1753"/>
      <c r="Q4" s="1752"/>
      <c r="R4" s="694"/>
      <c r="S4" s="1677">
        <f>INDEX(PT_DIFFERENTIATION_NUM_CS,MATCH(C4,PT_DIFFERENTIATION_CS_ID,0))</f>
      </c>
      <c r="T4" s="650" t="s">
        <v>394</v>
      </c>
      <c r="U4" s="641"/>
      <c r="V4" s="2584"/>
      <c r="W4" s="2584"/>
      <c r="X4" s="2584"/>
      <c r="Y4" s="2584"/>
      <c r="Z4" s="2584"/>
      <c r="AA4" s="2585"/>
      <c r="AB4" s="2583">
        <f>INDEX(PT_DIFFERENTIATION_CS,MATCH(C4,PT_DIFFERENTIATION_CS_ID,0))</f>
      </c>
      <c r="AC4" s="2584"/>
      <c r="AD4" s="2584"/>
      <c r="AE4" s="2584"/>
      <c r="AF4" s="2584"/>
      <c r="AG4" s="2584"/>
      <c r="AH4" s="2584"/>
      <c r="AI4" s="2584"/>
      <c r="AJ4" s="2584"/>
      <c r="AK4" s="2584"/>
      <c r="AL4" s="2584"/>
      <c r="AM4" s="2584"/>
      <c r="AN4" s="2584"/>
      <c r="AO4" s="2584"/>
      <c r="AP4" s="2584"/>
      <c r="AQ4" s="2584"/>
      <c r="AR4" s="2584"/>
      <c r="AS4" s="2584"/>
      <c r="AT4" s="2585"/>
      <c r="AU4" s="1599" t="s">
        <v>395</v>
      </c>
      <c r="AW4" s="841"/>
      <c r="AX4" s="841" t="str">
        <f>IF(T4="","",T4)</f>
        <v>Наименование системы теплоснабжения </v>
      </c>
      <c r="AY4" s="841"/>
      <c r="AZ4" s="841"/>
      <c r="BA4" s="1496">
        <v>0</v>
      </c>
    </row>
    <row customHeight="1" ht="21" hidden="1">
      <c r="A5" s="1704"/>
      <c r="B5" s="1704"/>
      <c r="C5" s="1704"/>
      <c r="D5" s="1704"/>
      <c r="E5" s="2600"/>
      <c r="F5" s="2600"/>
      <c r="G5" s="2600"/>
      <c r="H5" s="2599">
        <v>1</v>
      </c>
      <c r="I5" s="1704"/>
      <c r="J5" s="1704"/>
      <c r="K5" s="1704"/>
      <c r="L5" s="1705"/>
      <c r="M5" s="1706"/>
      <c r="N5" s="1706"/>
      <c r="O5" s="1706"/>
      <c r="P5" s="1753"/>
      <c r="Q5" s="1752"/>
      <c r="R5" s="694"/>
      <c r="S5" s="1677">
        <f>INDEX(PT_DIFFERENTIATION_NUM_IST_TE,MATCH(D5,PT_DIFFERENTIATION_IST_TE_ID,0))</f>
      </c>
      <c r="T5" s="651" t="s">
        <v>396</v>
      </c>
      <c r="U5" s="641"/>
      <c r="V5" s="2584"/>
      <c r="W5" s="2584"/>
      <c r="X5" s="2584"/>
      <c r="Y5" s="2584"/>
      <c r="Z5" s="2584"/>
      <c r="AA5" s="2585"/>
      <c r="AB5" s="2583">
        <f>INDEX(PT_DIFFERENTIATION_IST_TE,MATCH(D5,PT_DIFFERENTIATION_IST_TE_ID,0))</f>
      </c>
      <c r="AC5" s="2584"/>
      <c r="AD5" s="2584"/>
      <c r="AE5" s="2584"/>
      <c r="AF5" s="2584"/>
      <c r="AG5" s="2584"/>
      <c r="AH5" s="2584"/>
      <c r="AI5" s="2584"/>
      <c r="AJ5" s="2584"/>
      <c r="AK5" s="2584"/>
      <c r="AL5" s="2584"/>
      <c r="AM5" s="2584"/>
      <c r="AN5" s="2584"/>
      <c r="AO5" s="2584"/>
      <c r="AP5" s="2584"/>
      <c r="AQ5" s="2584"/>
      <c r="AR5" s="2584"/>
      <c r="AS5" s="2584"/>
      <c r="AT5" s="2585"/>
      <c r="AU5" s="1599" t="s">
        <v>397</v>
      </c>
      <c r="AW5" s="841"/>
      <c r="AX5" s="841" t="str">
        <f>IF(T5="","",T5)</f>
        <v>Источник тепловой энергии  </v>
      </c>
      <c r="AY5" s="841"/>
      <c r="AZ5" s="841"/>
      <c r="BA5" s="1496">
        <v>0</v>
      </c>
    </row>
    <row s="17316" customFormat="1" customHeight="1" ht="0.75" hidden="1">
      <c r="A6" s="1684"/>
      <c r="B6" s="1684"/>
      <c r="C6" s="1684"/>
      <c r="D6" s="1684"/>
      <c r="E6" s="2600"/>
      <c r="F6" s="2600"/>
      <c r="G6" s="2600"/>
      <c r="H6" s="2600"/>
      <c r="I6" s="2597">
        <f>S5&amp;".1"</f>
      </c>
      <c r="J6" s="1684"/>
      <c r="K6" s="1684"/>
      <c r="L6" s="1687" t="s">
        <v>398</v>
      </c>
      <c r="M6" s="851"/>
      <c r="N6" s="851"/>
      <c r="O6" s="851"/>
      <c r="P6" s="2598">
        <v>1</v>
      </c>
      <c r="Q6" s="1672"/>
      <c r="R6" s="697"/>
      <c r="S6" s="1383"/>
      <c r="T6" s="1724"/>
      <c r="U6" s="1725"/>
      <c r="V6" s="2638"/>
      <c r="W6" s="2638"/>
      <c r="X6" s="2638"/>
      <c r="Y6" s="2638"/>
      <c r="Z6" s="2638"/>
      <c r="AA6" s="2639"/>
      <c r="AB6" s="2637"/>
      <c r="AC6" s="2638"/>
      <c r="AD6" s="2638"/>
      <c r="AE6" s="2638"/>
      <c r="AF6" s="2638"/>
      <c r="AG6" s="2638"/>
      <c r="AH6" s="2638"/>
      <c r="AI6" s="2638"/>
      <c r="AJ6" s="2638"/>
      <c r="AK6" s="2638"/>
      <c r="AL6" s="2638"/>
      <c r="AM6" s="2638"/>
      <c r="AN6" s="2638"/>
      <c r="AO6" s="2638"/>
      <c r="AP6" s="2638"/>
      <c r="AQ6" s="2638"/>
      <c r="AR6" s="2638"/>
      <c r="AS6" s="2638"/>
      <c r="AT6" s="2639"/>
      <c r="AU6" s="1726"/>
      <c r="AW6" s="841"/>
      <c r="AX6" s="841" t="str">
        <f>IF(T6="","",T6)</f>
        <v/>
      </c>
      <c r="AY6" s="841"/>
      <c r="AZ6" s="841"/>
      <c r="BA6" s="852">
        <v>0</v>
      </c>
    </row>
    <row s="17316" customFormat="1" customHeight="1" ht="0.75" hidden="1">
      <c r="A7" s="1684"/>
      <c r="B7" s="1684"/>
      <c r="C7" s="1684"/>
      <c r="D7" s="1684"/>
      <c r="E7" s="2600"/>
      <c r="F7" s="2600"/>
      <c r="G7" s="2600"/>
      <c r="H7" s="2600"/>
      <c r="I7" s="2627"/>
      <c r="J7" s="2597">
        <f>S5&amp;".1"</f>
      </c>
      <c r="K7" s="1684"/>
      <c r="L7" s="1687"/>
      <c r="M7" s="851"/>
      <c r="N7" s="851"/>
      <c r="O7" s="851"/>
      <c r="P7" s="2598"/>
      <c r="Q7" s="2598">
        <v>1</v>
      </c>
      <c r="R7" s="698"/>
      <c r="S7" s="1383"/>
      <c r="T7" s="1740"/>
      <c r="U7" s="1725"/>
      <c r="V7" s="2638"/>
      <c r="W7" s="2638"/>
      <c r="X7" s="2638"/>
      <c r="Y7" s="2638"/>
      <c r="Z7" s="2638"/>
      <c r="AA7" s="2639"/>
      <c r="AB7" s="2637"/>
      <c r="AC7" s="2638"/>
      <c r="AD7" s="2638"/>
      <c r="AE7" s="2638"/>
      <c r="AF7" s="2638"/>
      <c r="AG7" s="2638"/>
      <c r="AH7" s="2638"/>
      <c r="AI7" s="2638"/>
      <c r="AJ7" s="2638"/>
      <c r="AK7" s="2638"/>
      <c r="AL7" s="2638"/>
      <c r="AM7" s="2638"/>
      <c r="AN7" s="2638"/>
      <c r="AO7" s="2638"/>
      <c r="AP7" s="2638"/>
      <c r="AQ7" s="2638"/>
      <c r="AR7" s="2638"/>
      <c r="AS7" s="2638"/>
      <c r="AT7" s="2639"/>
      <c r="AU7" s="1726"/>
      <c r="AW7" s="841"/>
      <c r="AX7" s="841" t="str">
        <f>IF(T7="","",T7)</f>
        <v/>
      </c>
      <c r="AY7" s="841"/>
      <c r="AZ7" s="841"/>
      <c r="BA7" s="852">
        <v>0</v>
      </c>
    </row>
    <row customHeight="1" ht="21" hidden="1">
      <c r="A8" s="1704"/>
      <c r="B8" s="1704"/>
      <c r="C8" s="1704"/>
      <c r="D8" s="1704"/>
      <c r="E8" s="2600"/>
      <c r="F8" s="2600"/>
      <c r="G8" s="2600"/>
      <c r="H8" s="2600"/>
      <c r="I8" s="2627"/>
      <c r="J8" s="2627"/>
      <c r="K8" s="2597">
        <f>S5&amp;".1"</f>
      </c>
      <c r="L8" s="1705"/>
      <c r="P8" s="2598"/>
      <c r="Q8" s="2598"/>
      <c r="R8" s="2688">
        <v>1</v>
      </c>
      <c r="S8" s="2682">
        <f>$K8</f>
      </c>
      <c r="T8" s="2685"/>
      <c r="U8" s="641"/>
      <c r="V8" s="1092"/>
      <c r="W8" s="1598"/>
      <c r="X8" s="2606"/>
      <c r="Y8" s="2448" t="s">
        <v>65</v>
      </c>
      <c r="Z8" s="2606"/>
      <c r="AA8" s="2448" t="s">
        <v>65</v>
      </c>
      <c r="AB8" s="2448" t="s">
        <v>19</v>
      </c>
      <c r="AC8" s="2667"/>
      <c r="AD8" s="2546">
        <v>1</v>
      </c>
      <c r="AE8" s="2668"/>
      <c r="AF8" s="2448" t="s">
        <v>19</v>
      </c>
      <c r="AG8" s="2667"/>
      <c r="AH8" s="2546">
        <v>1</v>
      </c>
      <c r="AI8" s="2668"/>
      <c r="AJ8" s="2448" t="s">
        <v>19</v>
      </c>
      <c r="AK8" s="652"/>
      <c r="AL8" s="1678">
        <v>1</v>
      </c>
      <c r="AM8" s="1739"/>
      <c r="AN8" s="1092"/>
      <c r="AO8" s="1598"/>
      <c r="AP8" s="2075"/>
      <c r="AQ8" s="1800" t="s">
        <v>65</v>
      </c>
      <c r="AR8" s="2075"/>
      <c r="AS8" s="1800" t="s">
        <v>65</v>
      </c>
      <c r="AT8" s="1689"/>
      <c r="AU8" s="2594" t="s">
        <v>459</v>
      </c>
      <c r="AV8" s="852">
        <f>STRCHECKDATE(V11:AT11)</f>
      </c>
      <c r="AW8" s="841"/>
      <c r="AX8" s="841" t="str">
        <f>IF(T8="","",T8)</f>
        <v/>
      </c>
      <c r="AY8" s="841"/>
      <c r="AZ8" s="841"/>
      <c r="BA8" s="1496">
        <v>0</v>
      </c>
    </row>
    <row customHeight="1" ht="11.25" hidden="1">
      <c r="A9" s="1704"/>
      <c r="B9" s="1704"/>
      <c r="C9" s="1704"/>
      <c r="D9" s="1704"/>
      <c r="E9" s="2600"/>
      <c r="F9" s="2600"/>
      <c r="G9" s="2600"/>
      <c r="H9" s="2600"/>
      <c r="I9" s="2627"/>
      <c r="J9" s="2627"/>
      <c r="K9" s="2597"/>
      <c r="L9" s="1705"/>
      <c r="P9" s="2598"/>
      <c r="Q9" s="2598"/>
      <c r="R9" s="2688"/>
      <c r="S9" s="2683"/>
      <c r="T9" s="2686"/>
      <c r="U9" s="641"/>
      <c r="V9" s="1734"/>
      <c r="W9" s="1738"/>
      <c r="X9" s="2606"/>
      <c r="Y9" s="2448"/>
      <c r="Z9" s="2606"/>
      <c r="AA9" s="2448"/>
      <c r="AB9" s="2448"/>
      <c r="AC9" s="2667"/>
      <c r="AD9" s="2546"/>
      <c r="AE9" s="2668"/>
      <c r="AF9" s="2448"/>
      <c r="AG9" s="2667"/>
      <c r="AH9" s="2546"/>
      <c r="AI9" s="2668"/>
      <c r="AJ9" s="2448"/>
      <c r="AK9" s="657"/>
      <c r="AL9" s="757"/>
      <c r="AM9" s="756" t="s">
        <v>460</v>
      </c>
      <c r="AN9" s="1734"/>
      <c r="AO9" s="1837"/>
      <c r="AP9" s="1734"/>
      <c r="AQ9" s="1734"/>
      <c r="AR9" s="1734"/>
      <c r="AS9" s="1734"/>
      <c r="AT9" s="1731"/>
      <c r="AU9" s="2595"/>
      <c r="AW9" s="841"/>
      <c r="AX9" s="841"/>
      <c r="AY9" s="841"/>
      <c r="AZ9" s="841"/>
      <c r="BA9" s="1496">
        <v>0</v>
      </c>
    </row>
    <row customHeight="1" ht="11.25" hidden="1">
      <c r="A10" s="1704"/>
      <c r="B10" s="1704"/>
      <c r="C10" s="1704"/>
      <c r="D10" s="1704"/>
      <c r="E10" s="2600"/>
      <c r="F10" s="2600"/>
      <c r="G10" s="2600"/>
      <c r="H10" s="2600"/>
      <c r="I10" s="2627"/>
      <c r="J10" s="2627"/>
      <c r="K10" s="2597"/>
      <c r="L10" s="1705"/>
      <c r="P10" s="2598"/>
      <c r="Q10" s="2598"/>
      <c r="R10" s="2688"/>
      <c r="S10" s="2683"/>
      <c r="T10" s="2686"/>
      <c r="U10" s="641"/>
      <c r="V10" s="1734"/>
      <c r="W10" s="1738"/>
      <c r="X10" s="2606"/>
      <c r="Y10" s="2448"/>
      <c r="Z10" s="2606"/>
      <c r="AA10" s="2448"/>
      <c r="AB10" s="2448"/>
      <c r="AC10" s="2667"/>
      <c r="AD10" s="2546"/>
      <c r="AE10" s="2668"/>
      <c r="AF10" s="2448"/>
      <c r="AG10" s="635"/>
      <c r="AH10" s="756"/>
      <c r="AI10" s="756" t="s">
        <v>461</v>
      </c>
      <c r="AJ10" s="1734"/>
      <c r="AK10" s="1734"/>
      <c r="AL10" s="1734"/>
      <c r="AM10" s="1734"/>
      <c r="AN10" s="1734"/>
      <c r="AO10" s="1837"/>
      <c r="AP10" s="1734"/>
      <c r="AQ10" s="1734"/>
      <c r="AR10" s="1734"/>
      <c r="AS10" s="1734"/>
      <c r="AT10" s="1731"/>
      <c r="AU10" s="2595"/>
      <c r="AW10" s="841"/>
      <c r="AX10" s="841"/>
      <c r="AY10" s="841"/>
      <c r="AZ10" s="841"/>
      <c r="BA10" s="1496">
        <v>0</v>
      </c>
    </row>
    <row customHeight="1" ht="11.25" hidden="1">
      <c r="A11" s="1704"/>
      <c r="B11" s="1704"/>
      <c r="C11" s="1704"/>
      <c r="D11" s="1704"/>
      <c r="E11" s="2600"/>
      <c r="F11" s="2600"/>
      <c r="G11" s="2600"/>
      <c r="H11" s="2600"/>
      <c r="I11" s="2627"/>
      <c r="J11" s="2627"/>
      <c r="K11" s="2597"/>
      <c r="L11" s="1705"/>
      <c r="P11" s="2598"/>
      <c r="Q11" s="2598"/>
      <c r="R11" s="2688"/>
      <c r="S11" s="2684"/>
      <c r="T11" s="2687"/>
      <c r="U11" s="641"/>
      <c r="V11" s="1734"/>
      <c r="W11" s="1737" t="str">
        <f>X8&amp;"-"&amp;Z8</f>
        <v>-</v>
      </c>
      <c r="X11" s="2607"/>
      <c r="Y11" s="2448"/>
      <c r="Z11" s="2607"/>
      <c r="AA11" s="2448"/>
      <c r="AB11" s="2448"/>
      <c r="AC11" s="653"/>
      <c r="AD11" s="655"/>
      <c r="AE11" s="756" t="s">
        <v>462</v>
      </c>
      <c r="AF11" s="1734"/>
      <c r="AG11" s="1734"/>
      <c r="AH11" s="1734"/>
      <c r="AI11" s="1734"/>
      <c r="AJ11" s="1734"/>
      <c r="AK11" s="1734"/>
      <c r="AL11" s="1734"/>
      <c r="AM11" s="1734"/>
      <c r="AN11" s="1734"/>
      <c r="AO11" s="1735" t="str">
        <f>AP8&amp;"-"&amp;AR8</f>
        <v>-</v>
      </c>
      <c r="AP11" s="1734"/>
      <c r="AQ11" s="1734"/>
      <c r="AR11" s="1734"/>
      <c r="AS11" s="1734"/>
      <c r="AT11" s="1690"/>
      <c r="AU11" s="2595"/>
      <c r="AW11" s="841"/>
      <c r="AX11" s="841" t="str">
        <f>IF(T11="","",T11)</f>
        <v/>
      </c>
      <c r="AY11" s="841"/>
      <c r="AZ11" s="841"/>
      <c r="BA11" s="1496">
        <v>0</v>
      </c>
    </row>
    <row customHeight="1" ht="11.25" hidden="1">
      <c r="A12" s="1704"/>
      <c r="B12" s="1704"/>
      <c r="C12" s="1704"/>
      <c r="D12" s="1704"/>
      <c r="E12" s="2600"/>
      <c r="F12" s="2600"/>
      <c r="G12" s="2600"/>
      <c r="H12" s="2600"/>
      <c r="I12" s="2627"/>
      <c r="J12" s="2597"/>
      <c r="K12" s="1704"/>
      <c r="L12" s="1705"/>
      <c r="P12" s="2598"/>
      <c r="Q12" s="2598"/>
      <c r="R12" s="697"/>
      <c r="S12" s="1619"/>
      <c r="T12" s="628" t="s">
        <v>463</v>
      </c>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c r="AT12" s="665"/>
      <c r="AU12" s="2596"/>
      <c r="AW12" s="841"/>
      <c r="AX12" s="841" t="str">
        <f>IF(T12="","",T12)</f>
        <v>Добавить строку</v>
      </c>
      <c r="AY12" s="841"/>
      <c r="AZ12" s="841"/>
      <c r="BA12" s="1496">
        <v>0</v>
      </c>
    </row>
    <row s="17316" customFormat="1" customHeight="1" ht="0.75" hidden="1">
      <c r="A13" s="1684"/>
      <c r="B13" s="1684"/>
      <c r="C13" s="1684"/>
      <c r="D13" s="1684"/>
      <c r="E13" s="2600"/>
      <c r="F13" s="2600"/>
      <c r="G13" s="2600"/>
      <c r="H13" s="2600"/>
      <c r="I13" s="2597"/>
      <c r="J13" s="1684"/>
      <c r="K13" s="1684"/>
      <c r="L13" s="1687"/>
      <c r="M13" s="851"/>
      <c r="N13" s="851"/>
      <c r="O13" s="851"/>
      <c r="P13" s="2598"/>
      <c r="Q13" s="1672"/>
      <c r="R13" s="697"/>
      <c r="S13" s="1727"/>
      <c r="T13" s="1728"/>
      <c r="U13" s="1729"/>
      <c r="V13" s="1729"/>
      <c r="W13" s="1729"/>
      <c r="X13" s="1729"/>
      <c r="Y13" s="1729"/>
      <c r="Z13" s="1729"/>
      <c r="AA13" s="1729"/>
      <c r="AB13" s="1729"/>
      <c r="AC13" s="1729"/>
      <c r="AD13" s="1729"/>
      <c r="AE13" s="1729"/>
      <c r="AF13" s="1729"/>
      <c r="AG13" s="1729"/>
      <c r="AH13" s="1729"/>
      <c r="AI13" s="1729"/>
      <c r="AJ13" s="1729"/>
      <c r="AK13" s="1729"/>
      <c r="AL13" s="1729"/>
      <c r="AM13" s="1729"/>
      <c r="AN13" s="1729"/>
      <c r="AO13" s="1729"/>
      <c r="AP13" s="1729"/>
      <c r="AQ13" s="1729"/>
      <c r="AR13" s="1729"/>
      <c r="AS13" s="1729"/>
      <c r="AT13" s="1729"/>
      <c r="AU13" s="1730"/>
      <c r="AW13" s="841"/>
      <c r="AX13" s="841" t="str">
        <f>IF(T13="","",T13)</f>
        <v/>
      </c>
      <c r="AY13" s="841"/>
      <c r="AZ13" s="841"/>
      <c r="BA13" s="852">
        <v>0</v>
      </c>
    </row>
    <row s="17316" customFormat="1" customHeight="1" ht="0.75" hidden="1">
      <c r="A14" s="1684"/>
      <c r="B14" s="1684"/>
      <c r="C14" s="1684"/>
      <c r="D14" s="1684"/>
      <c r="E14" s="2600"/>
      <c r="F14" s="2600"/>
      <c r="G14" s="2600"/>
      <c r="H14" s="2599"/>
      <c r="I14" s="1684"/>
      <c r="J14" s="1684"/>
      <c r="K14" s="1684"/>
      <c r="L14" s="1687"/>
      <c r="M14" s="1656"/>
      <c r="N14" s="1656"/>
      <c r="O14" s="859"/>
      <c r="P14" s="721"/>
      <c r="Q14" s="1685"/>
      <c r="R14" s="1742"/>
      <c r="S14" s="1727"/>
      <c r="T14" s="1728"/>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1729"/>
      <c r="AU14" s="1730"/>
      <c r="AW14" s="841"/>
      <c r="AX14" s="841" t="str">
        <f>IF(T14="","",T14)</f>
        <v/>
      </c>
      <c r="AY14" s="841"/>
      <c r="AZ14" s="841"/>
      <c r="BA14" s="852">
        <v>0</v>
      </c>
    </row>
    <row s="17316" customFormat="1" customHeight="1" ht="0.75" hidden="1">
      <c r="A15" s="1684"/>
      <c r="B15" s="1684"/>
      <c r="C15" s="1684"/>
      <c r="D15" s="1655"/>
      <c r="E15" s="2600"/>
      <c r="F15" s="2600"/>
      <c r="G15" s="2599"/>
      <c r="H15" s="1655"/>
      <c r="I15" s="1655"/>
      <c r="J15" s="1655"/>
      <c r="K15" s="1655"/>
      <c r="L15" s="1680"/>
      <c r="M15" s="1656"/>
      <c r="N15" s="1656"/>
      <c r="P15" s="1657"/>
      <c r="Q15" s="1658"/>
      <c r="R15" s="1657"/>
      <c r="S15" s="1663"/>
      <c r="T15" s="1666" t="s">
        <v>409</v>
      </c>
      <c r="U15" s="1665"/>
      <c r="V15" s="1665"/>
      <c r="W15" s="1665"/>
      <c r="X15" s="1665"/>
      <c r="Y15" s="1665"/>
      <c r="Z15" s="1665"/>
      <c r="AA15" s="1665"/>
      <c r="AB15" s="1665"/>
      <c r="AC15" s="1665"/>
      <c r="AD15" s="1665"/>
      <c r="AE15" s="1665"/>
      <c r="AF15" s="1665"/>
      <c r="AG15" s="1665"/>
      <c r="AH15" s="1665"/>
      <c r="AI15" s="1665"/>
      <c r="AJ15" s="1665"/>
      <c r="AK15" s="1665"/>
      <c r="AL15" s="1665"/>
      <c r="AM15" s="1665"/>
      <c r="AN15" s="1665"/>
      <c r="AO15" s="1665"/>
      <c r="AP15" s="1665"/>
      <c r="AQ15" s="1665"/>
      <c r="AR15" s="1665"/>
      <c r="AS15" s="1665"/>
      <c r="AT15" s="1665"/>
      <c r="AU15" s="1665"/>
      <c r="AW15" s="1130"/>
      <c r="AX15" s="1130" t="str">
        <f>IF(T15="","",T15)</f>
        <v>Добавить источник для дифференциации</v>
      </c>
      <c r="AY15" s="1130"/>
      <c r="AZ15" s="1130"/>
      <c r="BA15" s="859">
        <v>0</v>
      </c>
    </row>
    <row s="17316" customFormat="1" customHeight="1" ht="0.75" hidden="1">
      <c r="A16" s="1684"/>
      <c r="B16" s="1684"/>
      <c r="C16" s="1655"/>
      <c r="D16" s="1655"/>
      <c r="E16" s="2600"/>
      <c r="F16" s="2599"/>
      <c r="G16" s="1655"/>
      <c r="H16" s="1655"/>
      <c r="I16" s="1655"/>
      <c r="J16" s="1655"/>
      <c r="K16" s="1655"/>
      <c r="L16" s="1680"/>
      <c r="M16" s="1662"/>
      <c r="N16" s="1662"/>
      <c r="P16" s="1657"/>
      <c r="Q16" s="1658"/>
      <c r="R16" s="1657"/>
      <c r="S16" s="1663"/>
      <c r="T16" s="1666" t="s">
        <v>410</v>
      </c>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W16" s="1130"/>
      <c r="AX16" s="1130" t="str">
        <f>IF(T16="","",T16)</f>
        <v>Добавить централизованную систему для дифференциации</v>
      </c>
      <c r="AY16" s="1130"/>
      <c r="AZ16" s="1130"/>
      <c r="BA16" s="859">
        <v>0</v>
      </c>
    </row>
    <row s="17316" customFormat="1" customHeight="1" ht="0.75" hidden="1">
      <c r="A17" s="1684"/>
      <c r="B17" s="1684"/>
      <c r="C17" s="1684"/>
      <c r="D17" s="1684"/>
      <c r="E17" s="2599"/>
      <c r="F17" s="1684"/>
      <c r="G17" s="1684"/>
      <c r="H17" s="1684"/>
      <c r="I17" s="1684"/>
      <c r="J17" s="1684"/>
      <c r="K17" s="1684"/>
      <c r="L17" s="1687"/>
      <c r="M17" s="1662"/>
      <c r="N17" s="1662"/>
      <c r="O17" s="859"/>
      <c r="P17" s="721"/>
      <c r="Q17" s="1685"/>
      <c r="R17" s="721"/>
      <c r="S17" s="1663"/>
      <c r="T17" s="1666" t="s">
        <v>411</v>
      </c>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W17" s="841"/>
      <c r="AX17" s="841" t="str">
        <f>IF(T17="","",T17)</f>
        <v>Добавить территорию для дифференциации</v>
      </c>
      <c r="AY17" s="841"/>
      <c r="AZ17" s="841"/>
      <c r="BA17" s="852">
        <v>0</v>
      </c>
    </row>
    <row customHeight="1" ht="14.25" hidden="1">
      <c r="AA18" s="668"/>
      <c r="AS18" s="668"/>
      <c r="BA18" s="1496">
        <v>0</v>
      </c>
    </row>
    <row customHeight="1" ht="14.25" hidden="1">
      <c r="AB19" s="1665" t="s">
        <v>19</v>
      </c>
      <c r="AC19" s="1842"/>
      <c r="AD19" s="889">
        <v>1</v>
      </c>
      <c r="AE19" s="1843"/>
      <c r="AF19" s="1665" t="s">
        <v>19</v>
      </c>
      <c r="AG19" s="1842"/>
      <c r="AH19" s="889">
        <v>1</v>
      </c>
      <c r="AI19" s="1843"/>
      <c r="AJ19" s="1665" t="s">
        <v>19</v>
      </c>
      <c r="AK19" s="1844"/>
      <c r="AL19" s="889">
        <v>1</v>
      </c>
      <c r="AM19" s="1847"/>
      <c r="AN19" s="1744"/>
      <c r="AO19" s="1745"/>
      <c r="AP19" s="2077"/>
      <c r="AQ19" s="1801" t="s">
        <v>65</v>
      </c>
      <c r="AR19" s="2077"/>
      <c r="AS19" s="1801" t="s">
        <v>65</v>
      </c>
      <c r="BA19" s="1496">
        <v>0</v>
      </c>
    </row>
    <row customHeight="1" ht="14.25" hidden="1">
      <c r="AV20" s="837"/>
      <c r="AW20" s="837"/>
      <c r="AX20" s="837"/>
      <c r="AY20" s="837"/>
      <c r="AZ20" s="837"/>
      <c r="BA20" s="1496">
        <v>0</v>
      </c>
    </row>
    <row customHeight="1" ht="14.25" hidden="1">
      <c r="O21" s="1708" t="s">
        <v>412</v>
      </c>
      <c r="X21" s="1686"/>
      <c r="Z21" s="1686"/>
      <c r="AA21" s="668"/>
      <c r="AP21" s="1686"/>
      <c r="AR21" s="1686"/>
      <c r="AS21" s="668"/>
      <c r="AV21" s="837"/>
      <c r="AW21" s="837"/>
      <c r="AX21" s="837"/>
      <c r="AY21" s="837"/>
      <c r="AZ21" s="837"/>
      <c r="BA21" s="1496">
        <v>0</v>
      </c>
    </row>
    <row customHeight="1" ht="14.25" hidden="1">
      <c r="AA22" s="668"/>
      <c r="AS22" s="668"/>
      <c r="AV22" s="837"/>
      <c r="AW22" s="837"/>
      <c r="AX22" s="837"/>
      <c r="AY22" s="837"/>
      <c r="AZ22" s="837"/>
      <c r="BA22" s="1496">
        <v>0</v>
      </c>
    </row>
    <row s="18234" customFormat="1" customHeight="1" ht="14.25" hidden="1">
      <c r="M23" s="1849"/>
      <c r="N23" s="1849"/>
      <c r="O23" s="1850" t="s">
        <v>413</v>
      </c>
      <c r="P23" s="1849"/>
      <c r="Q23" s="1851"/>
      <c r="R23" s="1851"/>
      <c r="Y23" s="1848" t="s">
        <v>415</v>
      </c>
      <c r="AA23" s="1848" t="s">
        <v>416</v>
      </c>
      <c r="AB23" s="1848" t="s">
        <v>464</v>
      </c>
      <c r="AE23" s="1848" t="s">
        <v>465</v>
      </c>
      <c r="AF23" s="1848" t="s">
        <v>464</v>
      </c>
      <c r="AI23" s="1848" t="s">
        <v>466</v>
      </c>
      <c r="AJ23" s="1848" t="s">
        <v>464</v>
      </c>
      <c r="AM23" s="1848" t="s">
        <v>467</v>
      </c>
      <c r="AQ23" s="1848" t="s">
        <v>415</v>
      </c>
      <c r="AS23" s="1848" t="s">
        <v>416</v>
      </c>
      <c r="AV23" s="1852"/>
      <c r="AW23" s="1852"/>
      <c r="AX23" s="1852"/>
      <c r="AY23" s="1852"/>
      <c r="AZ23" s="1852"/>
      <c r="BA23" s="1848">
        <v>0</v>
      </c>
    </row>
    <row customHeight="1" ht="14.25" hidden="1">
      <c r="O24" s="1705"/>
      <c r="AV24" s="837"/>
      <c r="AW24" s="837"/>
      <c r="AX24" s="837"/>
      <c r="AY24" s="837"/>
      <c r="AZ24" s="837"/>
      <c r="BA24" s="1496">
        <v>0</v>
      </c>
    </row>
    <row customHeight="1" ht="14.25" hidden="1">
      <c r="O25" s="1705"/>
      <c r="AV25" s="837"/>
      <c r="AW25" s="837"/>
      <c r="AX25" s="837"/>
      <c r="AY25" s="837"/>
      <c r="AZ25" s="837"/>
      <c r="BA25" s="1496">
        <v>0</v>
      </c>
    </row>
    <row customHeight="1" ht="14.699999999999998">
      <c r="Q26" s="632"/>
      <c r="R26" s="717"/>
      <c r="S26" s="1616"/>
      <c r="T26" s="704"/>
      <c r="U26" s="704"/>
      <c r="V26" s="850"/>
      <c r="W26" s="850"/>
      <c r="X26" s="850"/>
      <c r="Y26" s="850"/>
      <c r="Z26" s="850"/>
      <c r="AA26" s="850"/>
      <c r="AB26" s="850"/>
      <c r="AC26" s="850"/>
      <c r="AD26" s="850"/>
      <c r="AE26" s="850"/>
      <c r="AF26" s="850"/>
      <c r="AG26" s="850"/>
      <c r="AH26" s="850"/>
      <c r="AI26" s="850"/>
      <c r="AJ26" s="850"/>
      <c r="AK26" s="850"/>
      <c r="AL26" s="850"/>
      <c r="AM26" s="850"/>
      <c r="AN26" s="850"/>
      <c r="AO26" s="850"/>
      <c r="AP26" s="850"/>
      <c r="AQ26" s="850"/>
      <c r="AR26" s="850"/>
      <c r="AS26" s="850"/>
      <c r="BA26" s="1496">
        <v>14</v>
      </c>
    </row>
    <row customHeight="1" ht="27.299999999999997">
      <c r="Q27" s="632"/>
      <c r="R27" s="717"/>
      <c r="S27" s="258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89"/>
      <c r="U27" s="2589"/>
      <c r="V27" s="2589"/>
      <c r="W27" s="2589"/>
      <c r="X27" s="2589"/>
      <c r="Y27" s="2589"/>
      <c r="Z27" s="2589"/>
      <c r="AA27" s="2589"/>
      <c r="AB27" s="2589"/>
      <c r="AC27" s="2589"/>
      <c r="AD27" s="2589"/>
      <c r="AE27" s="2589"/>
      <c r="AF27" s="2589"/>
      <c r="AG27" s="2589"/>
      <c r="AH27" s="2589"/>
      <c r="AI27" s="2589"/>
      <c r="AJ27" s="2589"/>
      <c r="AK27" s="2589"/>
      <c r="AL27" s="2589"/>
      <c r="AM27" s="2589"/>
      <c r="AN27" s="2589"/>
      <c r="AO27" s="2589"/>
      <c r="AP27" s="2589"/>
      <c r="AQ27" s="2589"/>
      <c r="AR27" s="2589"/>
      <c r="AS27" s="1584"/>
      <c r="BA27" s="1496">
        <v>26</v>
      </c>
    </row>
    <row customHeight="1" ht="14.699999999999998">
      <c r="Q28" s="632"/>
      <c r="R28" s="717"/>
      <c r="S28" s="2590" t="str">
        <f>IF(org=0,"Не определено",org)</f>
        <v>АО "ДГК"</v>
      </c>
      <c r="T28" s="2590"/>
      <c r="U28" s="2590"/>
      <c r="V28" s="2590"/>
      <c r="W28" s="2590"/>
      <c r="X28" s="2590"/>
      <c r="Y28" s="2590"/>
      <c r="Z28" s="2590"/>
      <c r="AA28" s="2590"/>
      <c r="AB28" s="2590"/>
      <c r="AC28" s="2590"/>
      <c r="AD28" s="2590"/>
      <c r="AE28" s="2590"/>
      <c r="AF28" s="2590"/>
      <c r="AG28" s="2590"/>
      <c r="AH28" s="2590"/>
      <c r="AI28" s="2590"/>
      <c r="AJ28" s="2590"/>
      <c r="AK28" s="2590"/>
      <c r="AL28" s="2590"/>
      <c r="AM28" s="2590"/>
      <c r="AN28" s="2590"/>
      <c r="AO28" s="2590"/>
      <c r="AP28" s="2590"/>
      <c r="AQ28" s="2590"/>
      <c r="AR28" s="2590"/>
      <c r="AS28" s="1584"/>
      <c r="BA28" s="1496">
        <v>14</v>
      </c>
    </row>
    <row customHeight="1" ht="14.25" hidden="1">
      <c r="Q29" s="632"/>
      <c r="R29" s="717"/>
      <c r="S29" s="1616"/>
      <c r="T29" s="704"/>
      <c r="U29" s="704"/>
      <c r="V29" s="663"/>
      <c r="W29" s="663"/>
      <c r="X29" s="663"/>
      <c r="Y29" s="663"/>
      <c r="Z29" s="663"/>
      <c r="AA29" s="663"/>
      <c r="AB29" s="663"/>
      <c r="AC29" s="663"/>
      <c r="AD29" s="663"/>
      <c r="AE29" s="663"/>
      <c r="AF29" s="663"/>
      <c r="AG29" s="663"/>
      <c r="AH29" s="663"/>
      <c r="AI29" s="663"/>
      <c r="AJ29" s="663"/>
      <c r="AK29" s="663"/>
      <c r="AL29" s="663"/>
      <c r="AM29" s="663"/>
      <c r="AN29" s="663"/>
      <c r="AO29" s="663"/>
      <c r="AP29" s="663"/>
      <c r="AQ29" s="663"/>
      <c r="AR29" s="663"/>
      <c r="AS29" s="663"/>
      <c r="AT29" s="850"/>
      <c r="BA29" s="1496">
        <v>0</v>
      </c>
    </row>
    <row s="17442" customFormat="1" customHeight="1" ht="25.5" hidden="1">
      <c r="A30" s="1709"/>
      <c r="B30" s="1709"/>
      <c r="C30" s="1709"/>
      <c r="D30" s="1709"/>
      <c r="E30" s="1709"/>
      <c r="F30" s="1709"/>
      <c r="G30" s="1709"/>
      <c r="H30" s="1709"/>
      <c r="I30" s="1709"/>
      <c r="J30" s="1709"/>
      <c r="K30" s="1709"/>
      <c r="L30" s="1710"/>
      <c r="M30" s="1709"/>
      <c r="N30" s="1709"/>
      <c r="O30" s="1709"/>
      <c r="P30" s="1709"/>
      <c r="Q30" s="1709"/>
      <c r="S30" s="2591" t="s">
        <v>41</v>
      </c>
      <c r="T30" s="2591"/>
      <c r="U30" s="1713"/>
      <c r="V30" s="2592" t="str">
        <f>IF(TITLE_NAME_OR_PR_CHANGE="",IF(TITLE_NAME_OR_PR="","",TITLE_NAME_OR_PR),TITLE_NAME_OR_PR_CHANGE)</f>
        <v/>
      </c>
      <c r="W30" s="2592"/>
      <c r="X30" s="2592"/>
      <c r="Y30" s="2592"/>
      <c r="Z30" s="2592"/>
      <c r="AA30" s="667"/>
      <c r="AB30" s="2592" t="str">
        <f>IF(TITLE_NAME_OR_PR_CHANGE="",IF(TITLE_NAME_OR_PR="","",TITLE_NAME_OR_PR),TITLE_NAME_OR_PR_CHANGE)</f>
        <v/>
      </c>
      <c r="AC30" s="2592"/>
      <c r="AD30" s="2592"/>
      <c r="AE30" s="2592"/>
      <c r="AF30" s="2592"/>
      <c r="AG30" s="2592"/>
      <c r="AH30" s="2592"/>
      <c r="AI30" s="2592"/>
      <c r="AJ30" s="2592"/>
      <c r="AK30" s="2592"/>
      <c r="AL30" s="2592"/>
      <c r="AM30" s="2592"/>
      <c r="AN30" s="2592"/>
      <c r="AO30" s="2592"/>
      <c r="AP30" s="2592"/>
      <c r="AQ30" s="2592"/>
      <c r="AR30" s="2592"/>
      <c r="AS30" s="667"/>
      <c r="AT30" s="667"/>
      <c r="AU30" s="621"/>
      <c r="AV30" s="709"/>
      <c r="AW30" s="709"/>
      <c r="AX30" s="709"/>
      <c r="AY30" s="709"/>
      <c r="AZ30" s="709"/>
      <c r="BA30" s="759">
        <v>0</v>
      </c>
    </row>
    <row s="17442" customFormat="1" customHeight="1" ht="18.75" hidden="1">
      <c r="A31" s="1709"/>
      <c r="B31" s="1709"/>
      <c r="C31" s="1709"/>
      <c r="D31" s="1709"/>
      <c r="E31" s="1709"/>
      <c r="F31" s="1709"/>
      <c r="G31" s="1709"/>
      <c r="H31" s="1709"/>
      <c r="I31" s="1709"/>
      <c r="J31" s="1709"/>
      <c r="K31" s="1709"/>
      <c r="L31" s="1710"/>
      <c r="M31" s="1709"/>
      <c r="N31" s="1709"/>
      <c r="O31" s="1709"/>
      <c r="P31" s="1709"/>
      <c r="Q31" s="1709"/>
      <c r="S31" s="2591" t="s">
        <v>418</v>
      </c>
      <c r="T31" s="2591"/>
      <c r="U31" s="1713"/>
      <c r="V31" s="2605" t="str">
        <f>IF(TITLE_DATE_PR_CHANGE="",IF(TITLE_DATE_PR="","",TITLE_DATE_PR),TITLE_DATE_PR_CHANGE)</f>
        <v/>
      </c>
      <c r="W31" s="2605"/>
      <c r="X31" s="2605"/>
      <c r="Y31" s="2605"/>
      <c r="Z31" s="2605"/>
      <c r="AA31" s="667"/>
      <c r="AB31" s="2605" t="str">
        <f>IF(TITLE_DATE_PR_CHANGE="",IF(TITLE_DATE_PR="","",TITLE_DATE_PR),TITLE_DATE_PR_CHANGE)</f>
        <v/>
      </c>
      <c r="AC31" s="2605"/>
      <c r="AD31" s="2605"/>
      <c r="AE31" s="2605"/>
      <c r="AF31" s="2605"/>
      <c r="AG31" s="2605"/>
      <c r="AH31" s="2605"/>
      <c r="AI31" s="2605"/>
      <c r="AJ31" s="2605"/>
      <c r="AK31" s="2605"/>
      <c r="AL31" s="2605"/>
      <c r="AM31" s="2605"/>
      <c r="AN31" s="2605"/>
      <c r="AO31" s="2605"/>
      <c r="AP31" s="2605"/>
      <c r="AQ31" s="2605"/>
      <c r="AR31" s="2605"/>
      <c r="AS31" s="667"/>
      <c r="AT31" s="667"/>
      <c r="AU31" s="621"/>
      <c r="AV31" s="709"/>
      <c r="AW31" s="709"/>
      <c r="AX31" s="709"/>
      <c r="AY31" s="709"/>
      <c r="AZ31" s="709"/>
      <c r="BA31" s="759">
        <v>0</v>
      </c>
    </row>
    <row s="17442" customFormat="1" customHeight="1" ht="18.75" hidden="1">
      <c r="A32" s="1709"/>
      <c r="B32" s="1709"/>
      <c r="C32" s="1709"/>
      <c r="D32" s="1709"/>
      <c r="E32" s="1709"/>
      <c r="F32" s="1709"/>
      <c r="G32" s="1709"/>
      <c r="H32" s="1709"/>
      <c r="I32" s="1709"/>
      <c r="J32" s="1709"/>
      <c r="K32" s="1709"/>
      <c r="L32" s="1710"/>
      <c r="M32" s="1709"/>
      <c r="N32" s="1709"/>
      <c r="O32" s="1709"/>
      <c r="P32" s="1709"/>
      <c r="Q32" s="1709"/>
      <c r="S32" s="2591" t="s">
        <v>419</v>
      </c>
      <c r="T32" s="2591"/>
      <c r="U32" s="1713"/>
      <c r="V32" s="2592" t="str">
        <f>IF(TITLE_NUMBER_PR_CHANGE="",IF(TITLE_NUMBER_PR="","",TITLE_NUMBER_PR),TITLE_NUMBER_PR_CHANGE)</f>
        <v/>
      </c>
      <c r="W32" s="2592"/>
      <c r="X32" s="2592"/>
      <c r="Y32" s="2592"/>
      <c r="Z32" s="2592"/>
      <c r="AA32" s="667"/>
      <c r="AB32" s="2592" t="str">
        <f>IF(TITLE_NUMBER_PR_CHANGE="",IF(TITLE_NUMBER_PR="","",TITLE_NUMBER_PR),TITLE_NUMBER_PR_CHANGE)</f>
        <v/>
      </c>
      <c r="AC32" s="2592"/>
      <c r="AD32" s="2592"/>
      <c r="AE32" s="2592"/>
      <c r="AF32" s="2592"/>
      <c r="AG32" s="2592"/>
      <c r="AH32" s="2592"/>
      <c r="AI32" s="2592"/>
      <c r="AJ32" s="2592"/>
      <c r="AK32" s="2592"/>
      <c r="AL32" s="2592"/>
      <c r="AM32" s="2592"/>
      <c r="AN32" s="2592"/>
      <c r="AO32" s="2592"/>
      <c r="AP32" s="2592"/>
      <c r="AQ32" s="2592"/>
      <c r="AR32" s="2592"/>
      <c r="AS32" s="667"/>
      <c r="AT32" s="667"/>
      <c r="AU32" s="621"/>
      <c r="AV32" s="709"/>
      <c r="AW32" s="709"/>
      <c r="AX32" s="709"/>
      <c r="AY32" s="709"/>
      <c r="AZ32" s="709"/>
      <c r="BA32" s="759">
        <v>0</v>
      </c>
    </row>
    <row s="17442" customFormat="1" customHeight="1" ht="18.75" hidden="1">
      <c r="A33" s="1709"/>
      <c r="B33" s="1709"/>
      <c r="C33" s="1709"/>
      <c r="D33" s="1709"/>
      <c r="E33" s="1709"/>
      <c r="F33" s="1709"/>
      <c r="G33" s="1709"/>
      <c r="H33" s="1709"/>
      <c r="I33" s="1709"/>
      <c r="J33" s="1709"/>
      <c r="K33" s="1709"/>
      <c r="L33" s="1710"/>
      <c r="M33" s="1709"/>
      <c r="N33" s="1709"/>
      <c r="O33" s="1709"/>
      <c r="P33" s="1709"/>
      <c r="Q33" s="1709"/>
      <c r="S33" s="2591" t="s">
        <v>42</v>
      </c>
      <c r="T33" s="2591"/>
      <c r="U33" s="1713"/>
      <c r="V33" s="2592" t="str">
        <f>IF(TITLE_IST_PUB_CHANGE="",IF(TITLE_IST_PUB="","",TITLE_IST_PUB),TITLE_IST_PUB_CHANGE)</f>
        <v/>
      </c>
      <c r="W33" s="2592"/>
      <c r="X33" s="2592"/>
      <c r="Y33" s="2592"/>
      <c r="Z33" s="2592"/>
      <c r="AA33" s="667"/>
      <c r="AB33" s="2592" t="str">
        <f>IF(TITLE_IST_PUB_CHANGE="",IF(TITLE_IST_PUB="","",TITLE_IST_PUB),TITLE_IST_PUB_CHANGE)</f>
        <v/>
      </c>
      <c r="AC33" s="2592"/>
      <c r="AD33" s="2592"/>
      <c r="AE33" s="2592"/>
      <c r="AF33" s="2592"/>
      <c r="AG33" s="2592"/>
      <c r="AH33" s="2592"/>
      <c r="AI33" s="2592"/>
      <c r="AJ33" s="2592"/>
      <c r="AK33" s="2592"/>
      <c r="AL33" s="2592"/>
      <c r="AM33" s="2592"/>
      <c r="AN33" s="2592"/>
      <c r="AO33" s="2592"/>
      <c r="AP33" s="2592"/>
      <c r="AQ33" s="2592"/>
      <c r="AR33" s="2592"/>
      <c r="AS33" s="667"/>
      <c r="AT33" s="667"/>
      <c r="AU33" s="621"/>
      <c r="AV33" s="709"/>
      <c r="AW33" s="709"/>
      <c r="AX33" s="709"/>
      <c r="AY33" s="709"/>
      <c r="AZ33" s="709"/>
      <c r="BA33" s="759">
        <v>0</v>
      </c>
    </row>
    <row customHeight="1" ht="14.25" hidden="1">
      <c r="Q34" s="632"/>
      <c r="R34" s="717"/>
      <c r="S34" s="1616"/>
      <c r="T34" s="704"/>
      <c r="U34" s="704"/>
      <c r="V34" s="663"/>
      <c r="W34" s="663"/>
      <c r="X34" s="663"/>
      <c r="Y34" s="663"/>
      <c r="Z34" s="663"/>
      <c r="AA34" s="663"/>
      <c r="AB34" s="663"/>
      <c r="AC34" s="663"/>
      <c r="AD34" s="663"/>
      <c r="AE34" s="663"/>
      <c r="AF34" s="663"/>
      <c r="AG34" s="663"/>
      <c r="AH34" s="663"/>
      <c r="AI34" s="663"/>
      <c r="AJ34" s="663"/>
      <c r="AK34" s="663"/>
      <c r="AL34" s="663"/>
      <c r="AM34" s="663"/>
      <c r="AN34" s="663"/>
      <c r="AO34" s="663"/>
      <c r="AP34" s="663"/>
      <c r="AQ34" s="663"/>
      <c r="AR34" s="663"/>
      <c r="AS34" s="663"/>
      <c r="AT34" s="850"/>
      <c r="BA34" s="1496">
        <v>0</v>
      </c>
    </row>
    <row s="17442" customFormat="1" customHeight="1" ht="18.75" hidden="1">
      <c r="A35" s="1709"/>
      <c r="B35" s="1709"/>
      <c r="C35" s="1709"/>
      <c r="D35" s="1709"/>
      <c r="E35" s="1709"/>
      <c r="F35" s="1709"/>
      <c r="G35" s="1709"/>
      <c r="H35" s="1709"/>
      <c r="I35" s="1709"/>
      <c r="J35" s="1709"/>
      <c r="K35" s="1709"/>
      <c r="L35" s="1710"/>
      <c r="M35" s="1709"/>
      <c r="N35" s="1709"/>
      <c r="O35" s="1709"/>
      <c r="P35" s="1709"/>
      <c r="Q35" s="1709"/>
      <c r="S35" s="2591" t="s">
        <v>418</v>
      </c>
      <c r="T35" s="2591"/>
      <c r="U35" s="1713"/>
      <c r="V35" s="2605" t="str">
        <f>IF(TITLE_DATE_PR_CHANGE="",IF(TITLE_DATE_PR="","",TITLE_DATE_PR),TITLE_DATE_PR_CHANGE)</f>
        <v/>
      </c>
      <c r="W35" s="2605"/>
      <c r="X35" s="2605"/>
      <c r="Y35" s="2605"/>
      <c r="Z35" s="2605"/>
      <c r="AA35" s="667"/>
      <c r="AB35" s="2605" t="str">
        <f>IF(TITLE_DATE_PR_CHANGE="",IF(TITLE_DATE_PR="","",TITLE_DATE_PR),TITLE_DATE_PR_CHANGE)</f>
        <v/>
      </c>
      <c r="AC35" s="2605"/>
      <c r="AD35" s="2605"/>
      <c r="AE35" s="2605"/>
      <c r="AF35" s="2605"/>
      <c r="AG35" s="2605"/>
      <c r="AH35" s="2605"/>
      <c r="AI35" s="2605"/>
      <c r="AJ35" s="2605"/>
      <c r="AK35" s="2605"/>
      <c r="AL35" s="2605"/>
      <c r="AM35" s="2605"/>
      <c r="AN35" s="2605"/>
      <c r="AO35" s="2605"/>
      <c r="AP35" s="2605"/>
      <c r="AQ35" s="2605"/>
      <c r="AR35" s="2605"/>
      <c r="AS35" s="667"/>
      <c r="AT35" s="667"/>
      <c r="AU35" s="621"/>
      <c r="AV35" s="709"/>
      <c r="AW35" s="709"/>
      <c r="AX35" s="709"/>
      <c r="AY35" s="709"/>
      <c r="AZ35" s="709"/>
      <c r="BA35" s="759">
        <v>0</v>
      </c>
    </row>
    <row s="17442" customFormat="1" customHeight="1" ht="18" hidden="1">
      <c r="A36" s="1709"/>
      <c r="B36" s="1709"/>
      <c r="C36" s="1709"/>
      <c r="D36" s="1709"/>
      <c r="E36" s="1709"/>
      <c r="F36" s="1709"/>
      <c r="G36" s="1709"/>
      <c r="H36" s="1709"/>
      <c r="I36" s="1709"/>
      <c r="J36" s="1709"/>
      <c r="K36" s="1709"/>
      <c r="L36" s="1710"/>
      <c r="M36" s="1709"/>
      <c r="N36" s="1709"/>
      <c r="O36" s="1709"/>
      <c r="P36" s="1709"/>
      <c r="Q36" s="1709"/>
      <c r="S36" s="2591" t="s">
        <v>419</v>
      </c>
      <c r="T36" s="2591"/>
      <c r="U36" s="1713"/>
      <c r="V36" s="2592" t="str">
        <f>IF(TITLE_NUMBER_PR_CHANGE="",IF(TITLE_NUMBER_PR="","",TITLE_NUMBER_PR),TITLE_NUMBER_PR_CHANGE)</f>
        <v/>
      </c>
      <c r="W36" s="2592"/>
      <c r="X36" s="2592"/>
      <c r="Y36" s="2592"/>
      <c r="Z36" s="2592"/>
      <c r="AA36" s="667"/>
      <c r="AB36" s="2592" t="str">
        <f>IF(TITLE_NUMBER_PR_CHANGE="",IF(TITLE_NUMBER_PR="","",TITLE_NUMBER_PR),TITLE_NUMBER_PR_CHANGE)</f>
        <v/>
      </c>
      <c r="AC36" s="2592"/>
      <c r="AD36" s="2592"/>
      <c r="AE36" s="2592"/>
      <c r="AF36" s="2592"/>
      <c r="AG36" s="2592"/>
      <c r="AH36" s="2592"/>
      <c r="AI36" s="2592"/>
      <c r="AJ36" s="2592"/>
      <c r="AK36" s="2592"/>
      <c r="AL36" s="2592"/>
      <c r="AM36" s="2592"/>
      <c r="AN36" s="2592"/>
      <c r="AO36" s="2592"/>
      <c r="AP36" s="2592"/>
      <c r="AQ36" s="2592"/>
      <c r="AR36" s="2592"/>
      <c r="AS36" s="667"/>
      <c r="AT36" s="667"/>
      <c r="AU36" s="621"/>
      <c r="AV36" s="709"/>
      <c r="AW36" s="709"/>
      <c r="AX36" s="709"/>
      <c r="AY36" s="709"/>
      <c r="AZ36" s="709"/>
      <c r="BA36" s="759">
        <v>0</v>
      </c>
    </row>
    <row s="17442" customFormat="1" customHeight="1" ht="1.05">
      <c r="A37" s="1709"/>
      <c r="B37" s="1709"/>
      <c r="C37" s="1709"/>
      <c r="D37" s="1709"/>
      <c r="E37" s="1709"/>
      <c r="F37" s="1709"/>
      <c r="G37" s="1709"/>
      <c r="H37" s="1709"/>
      <c r="I37" s="1709"/>
      <c r="J37" s="1709"/>
      <c r="K37" s="1709"/>
      <c r="L37" s="1710"/>
      <c r="M37" s="1709"/>
      <c r="N37" s="1709"/>
      <c r="O37" s="1709"/>
      <c r="P37" s="1709"/>
      <c r="Q37" s="1709"/>
      <c r="S37" s="664"/>
      <c r="T37" s="664"/>
      <c r="U37" s="1681"/>
      <c r="V37" s="667"/>
      <c r="W37" s="667"/>
      <c r="X37" s="667"/>
      <c r="Y37" s="667"/>
      <c r="Z37" s="667"/>
      <c r="AA37" s="619" t="s">
        <v>422</v>
      </c>
      <c r="AB37" s="667"/>
      <c r="AC37" s="667"/>
      <c r="AD37" s="667"/>
      <c r="AE37" s="667"/>
      <c r="AF37" s="667"/>
      <c r="AG37" s="667"/>
      <c r="AH37" s="667"/>
      <c r="AI37" s="667"/>
      <c r="AJ37" s="667"/>
      <c r="AK37" s="667"/>
      <c r="AL37" s="667"/>
      <c r="AM37" s="667"/>
      <c r="AN37" s="667"/>
      <c r="AO37" s="667"/>
      <c r="AP37" s="667"/>
      <c r="AQ37" s="667"/>
      <c r="AR37" s="667"/>
      <c r="AS37" s="619" t="s">
        <v>422</v>
      </c>
      <c r="AV37" s="709"/>
      <c r="AW37" s="709"/>
      <c r="AX37" s="709"/>
      <c r="AY37" s="709"/>
      <c r="AZ37" s="709"/>
      <c r="BA37" s="759">
        <v>1</v>
      </c>
    </row>
    <row customHeight="1" ht="14.699999999999998">
      <c r="Q38" s="632"/>
      <c r="R38" s="717"/>
      <c r="S38" s="1616"/>
      <c r="T38" s="704"/>
      <c r="U38" s="1585"/>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c r="AS38" s="2593"/>
      <c r="BA38" s="1496">
        <v>14</v>
      </c>
    </row>
    <row customHeight="1" ht="14.699999999999998">
      <c r="Q39" s="632"/>
      <c r="R39" s="717"/>
      <c r="S39" s="2468" t="s">
        <v>295</v>
      </c>
      <c r="T39" s="2468"/>
      <c r="U39" s="2468"/>
      <c r="V39" s="2468"/>
      <c r="W39" s="2468"/>
      <c r="X39" s="2468"/>
      <c r="Y39" s="2468"/>
      <c r="Z39" s="2468"/>
      <c r="AA39" s="2468"/>
      <c r="AB39" s="2516"/>
      <c r="AC39" s="2516"/>
      <c r="AD39" s="2516"/>
      <c r="AE39" s="2516"/>
      <c r="AF39" s="2468"/>
      <c r="AG39" s="2468"/>
      <c r="AH39" s="2468"/>
      <c r="AI39" s="2468"/>
      <c r="AJ39" s="2468"/>
      <c r="AK39" s="2468"/>
      <c r="AL39" s="2468"/>
      <c r="AM39" s="2468"/>
      <c r="AN39" s="2468"/>
      <c r="AO39" s="2468"/>
      <c r="AP39" s="2468"/>
      <c r="AQ39" s="2468"/>
      <c r="AR39" s="2468"/>
      <c r="AS39" s="2468"/>
      <c r="AT39" s="2468"/>
      <c r="AU39" s="2468" t="s">
        <v>296</v>
      </c>
      <c r="BA39" s="1496">
        <v>14</v>
      </c>
    </row>
    <row customHeight="1" ht="14.699999999999998">
      <c r="Q40" s="632"/>
      <c r="R40" s="717"/>
      <c r="S40" s="2614" t="s">
        <v>88</v>
      </c>
      <c r="T40" s="2550" t="s">
        <v>468</v>
      </c>
      <c r="U40" s="642"/>
      <c r="V40" s="2616"/>
      <c r="W40" s="2616"/>
      <c r="X40" s="2616"/>
      <c r="Y40" s="2616"/>
      <c r="Z40" s="2617"/>
      <c r="AA40" s="2677" t="s">
        <v>425</v>
      </c>
      <c r="AB40" s="2669" t="s">
        <v>469</v>
      </c>
      <c r="AC40" s="2632"/>
      <c r="AD40" s="2632"/>
      <c r="AE40" s="2670"/>
      <c r="AF40" s="2632" t="s">
        <v>470</v>
      </c>
      <c r="AG40" s="2632"/>
      <c r="AH40" s="2632"/>
      <c r="AI40" s="2670"/>
      <c r="AJ40" s="2669" t="s">
        <v>471</v>
      </c>
      <c r="AK40" s="2632"/>
      <c r="AL40" s="2632"/>
      <c r="AM40" s="2670"/>
      <c r="AN40" s="2669" t="s">
        <v>424</v>
      </c>
      <c r="AO40" s="2632"/>
      <c r="AP40" s="2616"/>
      <c r="AQ40" s="2616"/>
      <c r="AR40" s="2617"/>
      <c r="AS40" s="2618" t="s">
        <v>425</v>
      </c>
      <c r="AT40" s="2621" t="s">
        <v>427</v>
      </c>
      <c r="AU40" s="2468"/>
      <c r="BA40" s="1496">
        <v>14</v>
      </c>
    </row>
    <row customHeight="1" ht="35.699999999999996">
      <c r="Q41" s="632"/>
      <c r="R41" s="717"/>
      <c r="S41" s="2614"/>
      <c r="T41" s="2550"/>
      <c r="U41" s="1372"/>
      <c r="V41" s="2468" t="s">
        <v>472</v>
      </c>
      <c r="W41" s="2468"/>
      <c r="X41" s="2635" t="s">
        <v>431</v>
      </c>
      <c r="Y41" s="2654"/>
      <c r="Z41" s="2655"/>
      <c r="AA41" s="2678"/>
      <c r="AB41" s="2671"/>
      <c r="AC41" s="2672"/>
      <c r="AD41" s="2672"/>
      <c r="AE41" s="2673"/>
      <c r="AF41" s="2672"/>
      <c r="AG41" s="2672"/>
      <c r="AH41" s="2672"/>
      <c r="AI41" s="2673"/>
      <c r="AJ41" s="2671"/>
      <c r="AK41" s="2672"/>
      <c r="AL41" s="2672"/>
      <c r="AM41" s="2672"/>
      <c r="AN41" s="2468" t="s">
        <v>472</v>
      </c>
      <c r="AO41" s="2468"/>
      <c r="AP41" s="2654" t="s">
        <v>431</v>
      </c>
      <c r="AQ41" s="2654"/>
      <c r="AR41" s="2655"/>
      <c r="AS41" s="2619"/>
      <c r="AT41" s="2622"/>
      <c r="AU41" s="2468"/>
      <c r="BA41" s="1496">
        <v>34</v>
      </c>
    </row>
    <row customHeight="1" ht="14.699999999999998">
      <c r="Q42" s="632"/>
      <c r="R42" s="717"/>
      <c r="S42" s="2614"/>
      <c r="T42" s="2550"/>
      <c r="U42" s="1372"/>
      <c r="V42" s="2681" t="str">
        <f>IF($AN$42&lt;&gt;"",$AN$42,"")</f>
        <v/>
      </c>
      <c r="W42" s="2681"/>
      <c r="X42" s="2636"/>
      <c r="Y42" s="2656"/>
      <c r="Z42" s="2657"/>
      <c r="AA42" s="2678"/>
      <c r="AB42" s="2671"/>
      <c r="AC42" s="2672"/>
      <c r="AD42" s="2672"/>
      <c r="AE42" s="2673"/>
      <c r="AF42" s="2672"/>
      <c r="AG42" s="2672"/>
      <c r="AH42" s="2672"/>
      <c r="AI42" s="2673"/>
      <c r="AJ42" s="2671"/>
      <c r="AK42" s="2672"/>
      <c r="AL42" s="2672"/>
      <c r="AM42" s="2672"/>
      <c r="AN42" s="2680"/>
      <c r="AO42" s="2680"/>
      <c r="AP42" s="2656"/>
      <c r="AQ42" s="2656"/>
      <c r="AR42" s="2657"/>
      <c r="AS42" s="2619"/>
      <c r="AT42" s="2622"/>
      <c r="AU42" s="2468"/>
      <c r="BA42" s="1496">
        <v>14</v>
      </c>
    </row>
    <row customHeight="1" ht="14.699999999999998">
      <c r="A43" s="1711"/>
      <c r="B43" s="1711" t="s">
        <v>132</v>
      </c>
      <c r="C43" s="1711" t="s">
        <v>133</v>
      </c>
      <c r="D43" s="1711" t="s">
        <v>134</v>
      </c>
      <c r="E43" s="1705" t="s">
        <v>432</v>
      </c>
      <c r="F43" s="1705" t="s">
        <v>433</v>
      </c>
      <c r="G43" s="1705" t="s">
        <v>434</v>
      </c>
      <c r="H43" s="1705" t="s">
        <v>435</v>
      </c>
      <c r="I43" s="1705" t="s">
        <v>436</v>
      </c>
      <c r="J43" s="1705" t="s">
        <v>437</v>
      </c>
      <c r="K43" s="1705" t="s">
        <v>438</v>
      </c>
      <c r="L43" s="1705" t="s">
        <v>413</v>
      </c>
      <c r="Q43" s="632"/>
      <c r="R43" s="717"/>
      <c r="S43" s="2614"/>
      <c r="T43" s="2550"/>
      <c r="U43" s="643"/>
      <c r="V43" s="1671" t="s">
        <v>473</v>
      </c>
      <c r="W43" s="1671" t="s">
        <v>474</v>
      </c>
      <c r="X43" s="1679" t="s">
        <v>441</v>
      </c>
      <c r="Y43" s="2611" t="s">
        <v>442</v>
      </c>
      <c r="Z43" s="2612"/>
      <c r="AA43" s="2679"/>
      <c r="AB43" s="2674"/>
      <c r="AC43" s="2675"/>
      <c r="AD43" s="2675"/>
      <c r="AE43" s="2676"/>
      <c r="AF43" s="2675"/>
      <c r="AG43" s="2675"/>
      <c r="AH43" s="2675"/>
      <c r="AI43" s="2676"/>
      <c r="AJ43" s="2674"/>
      <c r="AK43" s="2675"/>
      <c r="AL43" s="2675"/>
      <c r="AM43" s="2676"/>
      <c r="AN43" s="2201" t="s">
        <v>473</v>
      </c>
      <c r="AO43" s="2201" t="s">
        <v>474</v>
      </c>
      <c r="AP43" s="1679" t="s">
        <v>441</v>
      </c>
      <c r="AQ43" s="2611" t="s">
        <v>442</v>
      </c>
      <c r="AR43" s="2612"/>
      <c r="AS43" s="2620"/>
      <c r="AT43" s="2623"/>
      <c r="AU43" s="2468"/>
      <c r="BA43" s="1496">
        <v>14</v>
      </c>
    </row>
    <row s="17832" customFormat="1" customHeight="1" ht="11.25" hidden="1">
      <c r="A44" s="1711"/>
      <c r="B44" s="1711"/>
      <c r="C44" s="1711"/>
      <c r="D44" s="1711"/>
      <c r="E44" s="1711"/>
      <c r="F44" s="1711"/>
      <c r="G44" s="1711"/>
      <c r="H44" s="1711"/>
      <c r="I44" s="1711"/>
      <c r="J44" s="1711"/>
      <c r="K44" s="1711"/>
      <c r="L44" s="1705"/>
      <c r="M44" s="1703"/>
      <c r="N44" s="1703"/>
      <c r="O44" s="1703"/>
      <c r="P44" s="851"/>
      <c r="Q44" s="1595"/>
      <c r="R44" s="1595">
        <v>1</v>
      </c>
      <c r="S44" s="1618" t="s">
        <v>106</v>
      </c>
      <c r="T44" s="1596" t="s">
        <v>107</v>
      </c>
      <c r="U44" s="1586" t="str">
        <f>OFFSET(U44,0,-1)</f>
        <v>2</v>
      </c>
      <c r="V44" s="1676">
        <f>OFFSET(V44,0,-1)+1</f>
        <v>3</v>
      </c>
      <c r="W44" s="1676">
        <f>OFFSET(W44,0,-1)+1</f>
        <v>4</v>
      </c>
      <c r="X44" s="1676">
        <f>OFFSET(X44,0,-1)+1</f>
        <v>5</v>
      </c>
      <c r="Y44" s="2613">
        <f>OFFSET(Y44,0,-1)+1</f>
        <v>6</v>
      </c>
      <c r="Z44" s="2613"/>
      <c r="AA44" s="1676">
        <f>OFFSET(AA44,0,-2)+1</f>
        <v>7</v>
      </c>
      <c r="AB44" s="1682">
        <f>OFFSET(AB44,0,-1)+1</f>
        <v>8</v>
      </c>
      <c r="AC44" s="1682"/>
      <c r="AD44" s="1682"/>
      <c r="AE44" s="1682"/>
      <c r="AF44" s="1676"/>
      <c r="AG44" s="1676"/>
      <c r="AH44" s="1676"/>
      <c r="AI44" s="1676"/>
      <c r="AJ44" s="1676"/>
      <c r="AK44" s="1676"/>
      <c r="AL44" s="1676"/>
      <c r="AM44" s="1676"/>
      <c r="AN44" s="1676">
        <f>OFFSET(AN44,0,-1)+1</f>
        <v>1</v>
      </c>
      <c r="AO44" s="1676">
        <f>OFFSET(AO44,0,-1)+1</f>
        <v>2</v>
      </c>
      <c r="AP44" s="1676">
        <f>OFFSET(AP44,0,-1)+1</f>
        <v>3</v>
      </c>
      <c r="AQ44" s="2613">
        <f>OFFSET(AQ44,0,-1)+1</f>
        <v>4</v>
      </c>
      <c r="AR44" s="2613"/>
      <c r="AS44" s="1676">
        <f>OFFSET(AS44,0,-2)+1</f>
        <v>5</v>
      </c>
      <c r="AT44" s="1586">
        <f>OFFSET(AT44,0,-1)</f>
        <v>5</v>
      </c>
      <c r="AU44" s="1676">
        <f>OFFSET(AU44,0,-1)+1</f>
        <v>6</v>
      </c>
      <c r="AV44" s="852"/>
      <c r="AW44" s="852"/>
      <c r="AX44" s="852"/>
      <c r="AY44" s="852"/>
      <c r="AZ44" s="852"/>
      <c r="BA44" s="837">
        <v>0</v>
      </c>
    </row>
    <row customHeight="1" ht="107.25">
      <c r="A45" s="1704" t="s">
        <v>195</v>
      </c>
      <c r="B45" s="1704"/>
      <c r="C45" s="1704"/>
      <c r="D45" s="1704"/>
      <c r="E45" s="2599">
        <v>1</v>
      </c>
      <c r="F45" s="1704"/>
      <c r="G45" s="1704"/>
      <c r="H45" s="1704"/>
      <c r="I45" s="1704"/>
      <c r="J45" s="1704"/>
      <c r="K45" s="1704"/>
      <c r="L45" s="1705"/>
      <c r="M45" s="1706"/>
      <c r="N45" s="1706"/>
      <c r="O45" s="1706"/>
      <c r="P45" s="1750"/>
      <c r="Q45" s="1214"/>
      <c r="R45" s="696"/>
      <c r="S45" s="1677">
        <f>INDEX(PT_DIFFERENTIATION_NUM_NTAR,MATCH(A45,PT_DIFFERENTIATION_NTAR_ID,0))</f>
        <v>0</v>
      </c>
      <c r="T45" s="639" t="s">
        <v>120</v>
      </c>
      <c r="U45" s="641"/>
      <c r="V45" s="2584"/>
      <c r="W45" s="2584"/>
      <c r="X45" s="2584"/>
      <c r="Y45" s="2584"/>
      <c r="Z45" s="2584"/>
      <c r="AA45" s="2585"/>
      <c r="AB45" s="2583" t="str">
        <f>INDEX(PT_DIFFERENTIATION_NTAR,MATCH(A45,PT_DIFFERENTIATION_NTAR_ID,0))</f>
        <v/>
      </c>
      <c r="AC45" s="2584"/>
      <c r="AD45" s="2584"/>
      <c r="AE45" s="2584"/>
      <c r="AF45" s="2584"/>
      <c r="AG45" s="2584"/>
      <c r="AH45" s="2584"/>
      <c r="AI45" s="2584"/>
      <c r="AJ45" s="2584"/>
      <c r="AK45" s="2584"/>
      <c r="AL45" s="2584"/>
      <c r="AM45" s="2584"/>
      <c r="AN45" s="2584"/>
      <c r="AO45" s="2584"/>
      <c r="AP45" s="2584"/>
      <c r="AQ45" s="2584"/>
      <c r="AR45" s="2584"/>
      <c r="AS45" s="2584"/>
      <c r="AT45" s="2585"/>
      <c r="AU45" s="159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841"/>
      <c r="AX45" s="841" t="str">
        <f>IF(T45="","",T45)</f>
        <v>Наименование тарифа</v>
      </c>
      <c r="AY45" s="841"/>
      <c r="AZ45" s="841"/>
      <c r="BA45" s="1496">
        <v>102</v>
      </c>
    </row>
    <row customHeight="1" ht="22.049999999999997">
      <c r="A46" s="1704" t="s">
        <v>195</v>
      </c>
      <c r="B46" s="1704" t="s">
        <v>196</v>
      </c>
      <c r="C46" s="1704"/>
      <c r="D46" s="1704"/>
      <c r="E46" s="2600"/>
      <c r="F46" s="2599">
        <v>1</v>
      </c>
      <c r="G46" s="1704"/>
      <c r="H46" s="1704"/>
      <c r="I46" s="1704"/>
      <c r="J46" s="1704"/>
      <c r="K46" s="1704"/>
      <c r="L46" s="1705"/>
      <c r="M46" s="1706"/>
      <c r="N46" s="1706"/>
      <c r="O46" s="1706"/>
      <c r="P46" s="1751"/>
      <c r="Q46" s="1752"/>
      <c r="R46" s="694"/>
      <c r="S46" s="1677" t="str">
        <f>INDEX(PT_DIFFERENTIATION_NUM_TER,MATCH(B46,PT_DIFFERENTIATION_TER_ID,0))</f>
        <v>.</v>
      </c>
      <c r="T46" s="649" t="s">
        <v>392</v>
      </c>
      <c r="U46" s="641"/>
      <c r="V46" s="2584"/>
      <c r="W46" s="2584"/>
      <c r="X46" s="2584"/>
      <c r="Y46" s="2584"/>
      <c r="Z46" s="2584"/>
      <c r="AA46" s="2585"/>
      <c r="AB46" s="2583" t="str">
        <f>INDEX(PT_DIFFERENTIATION_TER,MATCH(B46,PT_DIFFERENTIATION_TER_ID,0))</f>
        <v/>
      </c>
      <c r="AC46" s="2584"/>
      <c r="AD46" s="2584"/>
      <c r="AE46" s="2584"/>
      <c r="AF46" s="2584"/>
      <c r="AG46" s="2584"/>
      <c r="AH46" s="2584"/>
      <c r="AI46" s="2584"/>
      <c r="AJ46" s="2584"/>
      <c r="AK46" s="2584"/>
      <c r="AL46" s="2584"/>
      <c r="AM46" s="2584"/>
      <c r="AN46" s="2584"/>
      <c r="AO46" s="2584"/>
      <c r="AP46" s="2584"/>
      <c r="AQ46" s="2584"/>
      <c r="AR46" s="2584"/>
      <c r="AS46" s="2584"/>
      <c r="AT46" s="2585"/>
      <c r="AU46" s="1599" t="s">
        <v>393</v>
      </c>
      <c r="AW46" s="841"/>
      <c r="AX46" s="841" t="str">
        <f>IF(T46="","",T46)</f>
        <v>Территория действия тарифа</v>
      </c>
      <c r="AY46" s="841"/>
      <c r="AZ46" s="841"/>
      <c r="BA46" s="1496">
        <v>21</v>
      </c>
    </row>
    <row customHeight="1" ht="24">
      <c r="A47" s="1704" t="s">
        <v>195</v>
      </c>
      <c r="B47" s="1704" t="s">
        <v>196</v>
      </c>
      <c r="C47" s="1704" t="s">
        <v>197</v>
      </c>
      <c r="D47" s="1704"/>
      <c r="E47" s="2600"/>
      <c r="F47" s="2600"/>
      <c r="G47" s="2599">
        <v>1</v>
      </c>
      <c r="H47" s="1704"/>
      <c r="I47" s="1704"/>
      <c r="J47" s="1704"/>
      <c r="K47" s="1704"/>
      <c r="L47" s="1705"/>
      <c r="M47" s="1706"/>
      <c r="N47" s="1706"/>
      <c r="O47" s="1706"/>
      <c r="P47" s="1753"/>
      <c r="Q47" s="1752"/>
      <c r="R47" s="694"/>
      <c r="S47" s="1677" t="str">
        <f>INDEX(PT_DIFFERENTIATION_NUM_CS,MATCH(C47,PT_DIFFERENTIATION_CS_ID,0))</f>
        <v>..</v>
      </c>
      <c r="T47" s="650" t="s">
        <v>394</v>
      </c>
      <c r="U47" s="641"/>
      <c r="V47" s="2584"/>
      <c r="W47" s="2584"/>
      <c r="X47" s="2584"/>
      <c r="Y47" s="2584"/>
      <c r="Z47" s="2584"/>
      <c r="AA47" s="2585"/>
      <c r="AB47" s="2583" t="str">
        <f>INDEX(PT_DIFFERENTIATION_CS,MATCH(C47,PT_DIFFERENTIATION_CS_ID,0))</f>
        <v/>
      </c>
      <c r="AC47" s="2584"/>
      <c r="AD47" s="2584"/>
      <c r="AE47" s="2584"/>
      <c r="AF47" s="2584"/>
      <c r="AG47" s="2584"/>
      <c r="AH47" s="2584"/>
      <c r="AI47" s="2584"/>
      <c r="AJ47" s="2584"/>
      <c r="AK47" s="2584"/>
      <c r="AL47" s="2584"/>
      <c r="AM47" s="2584"/>
      <c r="AN47" s="2584"/>
      <c r="AO47" s="2584"/>
      <c r="AP47" s="2584"/>
      <c r="AQ47" s="2584"/>
      <c r="AR47" s="2584"/>
      <c r="AS47" s="2584"/>
      <c r="AT47" s="2585"/>
      <c r="AU47" s="1599" t="s">
        <v>395</v>
      </c>
      <c r="AW47" s="841"/>
      <c r="AX47" s="841" t="str">
        <f>IF(T47="","",T47)</f>
        <v>Наименование системы теплоснабжения </v>
      </c>
      <c r="AY47" s="841"/>
      <c r="AZ47" s="841"/>
      <c r="BA47" s="1496">
        <v>23</v>
      </c>
    </row>
    <row customHeight="1" ht="21">
      <c r="A48" s="1704" t="s">
        <v>195</v>
      </c>
      <c r="B48" s="1704" t="s">
        <v>196</v>
      </c>
      <c r="C48" s="1704" t="s">
        <v>197</v>
      </c>
      <c r="D48" s="1704" t="s">
        <v>198</v>
      </c>
      <c r="E48" s="2600"/>
      <c r="F48" s="2600"/>
      <c r="G48" s="2600"/>
      <c r="H48" s="2599">
        <v>1</v>
      </c>
      <c r="I48" s="1704"/>
      <c r="J48" s="1704"/>
      <c r="K48" s="1704"/>
      <c r="L48" s="1705"/>
      <c r="M48" s="1706"/>
      <c r="N48" s="1706"/>
      <c r="O48" s="1706"/>
      <c r="P48" s="1753"/>
      <c r="Q48" s="1752"/>
      <c r="R48" s="694"/>
      <c r="S48" s="1677" t="str">
        <f>INDEX(PT_DIFFERENTIATION_NUM_IST_TE,MATCH(D48,PT_DIFFERENTIATION_IST_TE_ID,0))</f>
        <v>...</v>
      </c>
      <c r="T48" s="651" t="s">
        <v>396</v>
      </c>
      <c r="U48" s="641"/>
      <c r="V48" s="2584"/>
      <c r="W48" s="2584"/>
      <c r="X48" s="2584"/>
      <c r="Y48" s="2584"/>
      <c r="Z48" s="2584"/>
      <c r="AA48" s="2585"/>
      <c r="AB48" s="2583" t="str">
        <f>INDEX(PT_DIFFERENTIATION_IST_TE,MATCH(D48,PT_DIFFERENTIATION_IST_TE_ID,0))</f>
        <v/>
      </c>
      <c r="AC48" s="2584"/>
      <c r="AD48" s="2584"/>
      <c r="AE48" s="2584"/>
      <c r="AF48" s="2584"/>
      <c r="AG48" s="2584"/>
      <c r="AH48" s="2584"/>
      <c r="AI48" s="2584"/>
      <c r="AJ48" s="2584"/>
      <c r="AK48" s="2584"/>
      <c r="AL48" s="2584"/>
      <c r="AM48" s="2584"/>
      <c r="AN48" s="2584"/>
      <c r="AO48" s="2584"/>
      <c r="AP48" s="2584"/>
      <c r="AQ48" s="2584"/>
      <c r="AR48" s="2584"/>
      <c r="AS48" s="2584"/>
      <c r="AT48" s="2585"/>
      <c r="AU48" s="1599" t="s">
        <v>397</v>
      </c>
      <c r="AW48" s="841"/>
      <c r="AX48" s="841" t="str">
        <f>IF(T48="","",T48)</f>
        <v>Источник тепловой энергии  </v>
      </c>
      <c r="AY48" s="841"/>
      <c r="AZ48" s="841"/>
      <c r="BA48" s="1496">
        <v>20</v>
      </c>
    </row>
    <row s="17316" customFormat="1" customHeight="1" ht="1.05">
      <c r="A49" s="1684" t="s">
        <v>195</v>
      </c>
      <c r="B49" s="1684" t="s">
        <v>196</v>
      </c>
      <c r="C49" s="1684" t="s">
        <v>197</v>
      </c>
      <c r="D49" s="1684" t="s">
        <v>198</v>
      </c>
      <c r="E49" s="2600"/>
      <c r="F49" s="2600"/>
      <c r="G49" s="2600"/>
      <c r="H49" s="2600"/>
      <c r="I49" s="2597" t="str">
        <f>S48&amp;".1"</f>
        <v>....1</v>
      </c>
      <c r="J49" s="1684"/>
      <c r="K49" s="1684"/>
      <c r="L49" s="1687" t="s">
        <v>398</v>
      </c>
      <c r="M49" s="851"/>
      <c r="N49" s="851"/>
      <c r="O49" s="851"/>
      <c r="P49" s="2598">
        <v>1</v>
      </c>
      <c r="Q49" s="1672"/>
      <c r="R49" s="697"/>
      <c r="S49" s="1383"/>
      <c r="T49" s="1724"/>
      <c r="U49" s="1725"/>
      <c r="V49" s="2638"/>
      <c r="W49" s="2638"/>
      <c r="X49" s="2638"/>
      <c r="Y49" s="2638"/>
      <c r="Z49" s="2638"/>
      <c r="AA49" s="2639"/>
      <c r="AB49" s="2637"/>
      <c r="AC49" s="2638"/>
      <c r="AD49" s="2638"/>
      <c r="AE49" s="2638"/>
      <c r="AF49" s="2638"/>
      <c r="AG49" s="2638"/>
      <c r="AH49" s="2638"/>
      <c r="AI49" s="2638"/>
      <c r="AJ49" s="2638"/>
      <c r="AK49" s="2638"/>
      <c r="AL49" s="2638"/>
      <c r="AM49" s="2638"/>
      <c r="AN49" s="2638"/>
      <c r="AO49" s="2638"/>
      <c r="AP49" s="2638"/>
      <c r="AQ49" s="2638"/>
      <c r="AR49" s="2638"/>
      <c r="AS49" s="2638"/>
      <c r="AT49" s="2639"/>
      <c r="AU49" s="1726"/>
      <c r="AW49" s="841"/>
      <c r="AX49" s="841" t="str">
        <f>IF(T49="","",T49)</f>
        <v/>
      </c>
      <c r="AY49" s="841"/>
      <c r="AZ49" s="841"/>
      <c r="BA49" s="852">
        <v>1</v>
      </c>
    </row>
    <row s="17316" customFormat="1" customHeight="1" ht="1.05">
      <c r="A50" s="1684" t="s">
        <v>195</v>
      </c>
      <c r="B50" s="1684" t="s">
        <v>196</v>
      </c>
      <c r="C50" s="1684" t="s">
        <v>197</v>
      </c>
      <c r="D50" s="1684" t="s">
        <v>198</v>
      </c>
      <c r="E50" s="2600"/>
      <c r="F50" s="2600"/>
      <c r="G50" s="2600"/>
      <c r="H50" s="2600"/>
      <c r="I50" s="2627"/>
      <c r="J50" s="2597" t="str">
        <f>S48&amp;".1"</f>
        <v>....1</v>
      </c>
      <c r="K50" s="1684"/>
      <c r="L50" s="1687"/>
      <c r="M50" s="851"/>
      <c r="N50" s="851"/>
      <c r="O50" s="851"/>
      <c r="P50" s="2598"/>
      <c r="Q50" s="2598">
        <v>1</v>
      </c>
      <c r="R50" s="698"/>
      <c r="S50" s="1383"/>
      <c r="T50" s="1740"/>
      <c r="U50" s="1725"/>
      <c r="V50" s="2638"/>
      <c r="W50" s="2638"/>
      <c r="X50" s="2638"/>
      <c r="Y50" s="2638"/>
      <c r="Z50" s="2638"/>
      <c r="AA50" s="2639"/>
      <c r="AB50" s="2637"/>
      <c r="AC50" s="2638"/>
      <c r="AD50" s="2638"/>
      <c r="AE50" s="2638"/>
      <c r="AF50" s="2638"/>
      <c r="AG50" s="2638"/>
      <c r="AH50" s="2638"/>
      <c r="AI50" s="2638"/>
      <c r="AJ50" s="2638"/>
      <c r="AK50" s="2638"/>
      <c r="AL50" s="2638"/>
      <c r="AM50" s="2638"/>
      <c r="AN50" s="2638"/>
      <c r="AO50" s="2638"/>
      <c r="AP50" s="2638"/>
      <c r="AQ50" s="2638"/>
      <c r="AR50" s="2638"/>
      <c r="AS50" s="2638"/>
      <c r="AT50" s="2639"/>
      <c r="AU50" s="1726"/>
      <c r="AW50" s="841"/>
      <c r="AX50" s="841" t="str">
        <f>IF(T50="","",T50)</f>
        <v/>
      </c>
      <c r="AY50" s="841"/>
      <c r="AZ50" s="841"/>
      <c r="BA50" s="852">
        <v>1</v>
      </c>
    </row>
    <row customHeight="1" ht="22.049999999999997">
      <c r="A51" s="1704" t="s">
        <v>195</v>
      </c>
      <c r="B51" s="1704" t="s">
        <v>196</v>
      </c>
      <c r="C51" s="1704" t="s">
        <v>197</v>
      </c>
      <c r="D51" s="1704" t="s">
        <v>198</v>
      </c>
      <c r="E51" s="2600"/>
      <c r="F51" s="2600"/>
      <c r="G51" s="2600"/>
      <c r="H51" s="2600"/>
      <c r="I51" s="2627"/>
      <c r="J51" s="2627"/>
      <c r="K51" s="2597" t="str">
        <f>S48&amp;".1"</f>
        <v>....1</v>
      </c>
      <c r="L51" s="1705"/>
      <c r="P51" s="2598"/>
      <c r="Q51" s="2598"/>
      <c r="R51" s="698">
        <v>1</v>
      </c>
      <c r="S51" s="2682" t="str">
        <f>$K51</f>
        <v>....1</v>
      </c>
      <c r="T51" s="2685"/>
      <c r="U51" s="641"/>
      <c r="V51" s="1092"/>
      <c r="W51" s="1598"/>
      <c r="X51" s="2075"/>
      <c r="Y51" s="1800" t="s">
        <v>65</v>
      </c>
      <c r="Z51" s="2075"/>
      <c r="AA51" s="1800" t="s">
        <v>65</v>
      </c>
      <c r="AB51" s="2448" t="s">
        <v>19</v>
      </c>
      <c r="AC51" s="2667"/>
      <c r="AD51" s="2546">
        <v>1</v>
      </c>
      <c r="AE51" s="2689" t="s">
        <v>22</v>
      </c>
      <c r="AF51" s="2448" t="s">
        <v>19</v>
      </c>
      <c r="AG51" s="2667"/>
      <c r="AH51" s="2546">
        <v>1</v>
      </c>
      <c r="AI51" s="2689" t="s">
        <v>22</v>
      </c>
      <c r="AJ51" s="2448" t="s">
        <v>19</v>
      </c>
      <c r="AK51" s="652"/>
      <c r="AL51" s="1678">
        <v>1</v>
      </c>
      <c r="AM51" s="1743"/>
      <c r="AN51" s="1092"/>
      <c r="AO51" s="1598"/>
      <c r="AP51" s="2075"/>
      <c r="AQ51" s="1800" t="s">
        <v>65</v>
      </c>
      <c r="AR51" s="2075"/>
      <c r="AS51" s="1800" t="s">
        <v>65</v>
      </c>
      <c r="AT51" s="1689"/>
      <c r="AU51" s="2594" t="s">
        <v>475</v>
      </c>
      <c r="AV51" s="852">
        <f>STRCHECKDATE(V54:AT54)</f>
      </c>
      <c r="AW51" s="841"/>
      <c r="AX51" s="841" t="str">
        <f>IF(T51="","",T51)</f>
        <v/>
      </c>
      <c r="AY51" s="841"/>
      <c r="AZ51" s="841"/>
      <c r="BA51" s="1496">
        <v>21</v>
      </c>
    </row>
    <row customHeight="1" ht="11.549999999999999">
      <c r="A52" s="1704" t="s">
        <v>195</v>
      </c>
      <c r="B52" s="1704"/>
      <c r="C52" s="1704"/>
      <c r="D52" s="1704"/>
      <c r="E52" s="2600"/>
      <c r="F52" s="2600"/>
      <c r="G52" s="2600"/>
      <c r="H52" s="2600"/>
      <c r="I52" s="2627"/>
      <c r="J52" s="2627"/>
      <c r="K52" s="2597"/>
      <c r="L52" s="1705"/>
      <c r="P52" s="2598"/>
      <c r="Q52" s="2598"/>
      <c r="R52" s="698"/>
      <c r="S52" s="2683"/>
      <c r="T52" s="2686"/>
      <c r="U52" s="641"/>
      <c r="V52" s="1734"/>
      <c r="W52" s="1837"/>
      <c r="X52" s="1734"/>
      <c r="Y52" s="1734"/>
      <c r="Z52" s="1734"/>
      <c r="AA52" s="1734"/>
      <c r="AB52" s="2448"/>
      <c r="AC52" s="2667"/>
      <c r="AD52" s="2546"/>
      <c r="AE52" s="2689"/>
      <c r="AF52" s="2448"/>
      <c r="AG52" s="2667"/>
      <c r="AH52" s="2546"/>
      <c r="AI52" s="2689"/>
      <c r="AJ52" s="2448"/>
      <c r="AK52" s="657"/>
      <c r="AL52" s="757"/>
      <c r="AM52" s="756" t="s">
        <v>460</v>
      </c>
      <c r="AN52" s="1734"/>
      <c r="AO52" s="1837"/>
      <c r="AP52" s="1734"/>
      <c r="AQ52" s="1734"/>
      <c r="AR52" s="1734"/>
      <c r="AS52" s="1734"/>
      <c r="AT52" s="1731"/>
      <c r="AU52" s="2595"/>
      <c r="AW52" s="841"/>
      <c r="AX52" s="841"/>
      <c r="AY52" s="841"/>
      <c r="AZ52" s="841"/>
      <c r="BA52" s="1496">
        <v>11</v>
      </c>
    </row>
    <row customHeight="1" ht="11.549999999999999">
      <c r="A53" s="1704" t="s">
        <v>195</v>
      </c>
      <c r="B53" s="1704"/>
      <c r="C53" s="1704"/>
      <c r="D53" s="1704"/>
      <c r="E53" s="2600"/>
      <c r="F53" s="2600"/>
      <c r="G53" s="2600"/>
      <c r="H53" s="2600"/>
      <c r="I53" s="2627"/>
      <c r="J53" s="2627"/>
      <c r="K53" s="2597"/>
      <c r="L53" s="1705"/>
      <c r="P53" s="2598"/>
      <c r="Q53" s="2598"/>
      <c r="R53" s="698"/>
      <c r="S53" s="2683"/>
      <c r="T53" s="2686"/>
      <c r="U53" s="641"/>
      <c r="V53" s="1734"/>
      <c r="W53" s="1837"/>
      <c r="X53" s="1734"/>
      <c r="Y53" s="1734"/>
      <c r="Z53" s="1734"/>
      <c r="AA53" s="1734"/>
      <c r="AB53" s="2448"/>
      <c r="AC53" s="2667"/>
      <c r="AD53" s="2546"/>
      <c r="AE53" s="2689"/>
      <c r="AF53" s="2448"/>
      <c r="AG53" s="635"/>
      <c r="AH53" s="756"/>
      <c r="AI53" s="756" t="s">
        <v>461</v>
      </c>
      <c r="AJ53" s="1734"/>
      <c r="AK53" s="1734"/>
      <c r="AL53" s="1734"/>
      <c r="AM53" s="1734"/>
      <c r="AN53" s="1734"/>
      <c r="AO53" s="1837"/>
      <c r="AP53" s="1734"/>
      <c r="AQ53" s="1734"/>
      <c r="AR53" s="1734"/>
      <c r="AS53" s="1734"/>
      <c r="AT53" s="1731"/>
      <c r="AU53" s="2595"/>
      <c r="AW53" s="841"/>
      <c r="AX53" s="841"/>
      <c r="AY53" s="841"/>
      <c r="AZ53" s="841"/>
      <c r="BA53" s="1496">
        <v>11</v>
      </c>
    </row>
    <row customHeight="1" ht="11.549999999999999">
      <c r="A54" s="1704" t="s">
        <v>195</v>
      </c>
      <c r="B54" s="1704" t="s">
        <v>196</v>
      </c>
      <c r="C54" s="1704" t="s">
        <v>197</v>
      </c>
      <c r="D54" s="1704" t="s">
        <v>198</v>
      </c>
      <c r="E54" s="2600"/>
      <c r="F54" s="2600"/>
      <c r="G54" s="2600"/>
      <c r="H54" s="2600"/>
      <c r="I54" s="2627"/>
      <c r="J54" s="2627"/>
      <c r="K54" s="2597"/>
      <c r="L54" s="1705"/>
      <c r="P54" s="2598"/>
      <c r="Q54" s="2598"/>
      <c r="R54" s="698"/>
      <c r="S54" s="2684"/>
      <c r="T54" s="2687"/>
      <c r="U54" s="641"/>
      <c r="V54" s="1734"/>
      <c r="W54" s="1735" t="str">
        <f>X51&amp;"-"&amp;Z51</f>
        <v>-</v>
      </c>
      <c r="X54" s="1734"/>
      <c r="Y54" s="1734"/>
      <c r="Z54" s="1734"/>
      <c r="AA54" s="1734"/>
      <c r="AB54" s="2448"/>
      <c r="AC54" s="653"/>
      <c r="AD54" s="655"/>
      <c r="AE54" s="756" t="s">
        <v>462</v>
      </c>
      <c r="AF54" s="1734"/>
      <c r="AG54" s="1734"/>
      <c r="AH54" s="1734"/>
      <c r="AI54" s="1734"/>
      <c r="AJ54" s="1734"/>
      <c r="AK54" s="1734"/>
      <c r="AL54" s="1734"/>
      <c r="AM54" s="1734"/>
      <c r="AN54" s="1734"/>
      <c r="AO54" s="1735" t="str">
        <f>AP51&amp;"-"&amp;AR51</f>
        <v>-</v>
      </c>
      <c r="AP54" s="1734"/>
      <c r="AQ54" s="1734"/>
      <c r="AR54" s="1734"/>
      <c r="AS54" s="1734"/>
      <c r="AT54" s="1690"/>
      <c r="AU54" s="2595"/>
      <c r="AW54" s="841"/>
      <c r="AX54" s="841" t="str">
        <f>IF(T54="","",T54)</f>
        <v/>
      </c>
      <c r="AY54" s="841"/>
      <c r="AZ54" s="841"/>
      <c r="BA54" s="1496">
        <v>11</v>
      </c>
    </row>
    <row customHeight="1" ht="11.549999999999999">
      <c r="A55" s="1704" t="s">
        <v>195</v>
      </c>
      <c r="B55" s="1704" t="s">
        <v>196</v>
      </c>
      <c r="C55" s="1704" t="s">
        <v>197</v>
      </c>
      <c r="D55" s="1704" t="s">
        <v>198</v>
      </c>
      <c r="E55" s="2600"/>
      <c r="F55" s="2600"/>
      <c r="G55" s="2600"/>
      <c r="H55" s="2600"/>
      <c r="I55" s="2627"/>
      <c r="J55" s="2597"/>
      <c r="K55" s="1704"/>
      <c r="L55" s="1705"/>
      <c r="P55" s="2598"/>
      <c r="Q55" s="2598"/>
      <c r="R55" s="697"/>
      <c r="S55" s="1619"/>
      <c r="T55" s="628" t="s">
        <v>463</v>
      </c>
      <c r="U55" s="708"/>
      <c r="V55" s="708"/>
      <c r="W55" s="708"/>
      <c r="X55" s="708"/>
      <c r="Y55" s="708"/>
      <c r="Z55" s="708"/>
      <c r="AA55" s="665"/>
      <c r="AB55" s="1846"/>
      <c r="AC55" s="708"/>
      <c r="AD55" s="708"/>
      <c r="AE55" s="708"/>
      <c r="AF55" s="708"/>
      <c r="AG55" s="708"/>
      <c r="AH55" s="708"/>
      <c r="AI55" s="708"/>
      <c r="AJ55" s="708"/>
      <c r="AK55" s="708"/>
      <c r="AL55" s="708"/>
      <c r="AM55" s="708"/>
      <c r="AN55" s="708"/>
      <c r="AO55" s="708"/>
      <c r="AP55" s="708"/>
      <c r="AQ55" s="708"/>
      <c r="AR55" s="708"/>
      <c r="AS55" s="708"/>
      <c r="AT55" s="665"/>
      <c r="AU55" s="2596"/>
      <c r="AW55" s="841"/>
      <c r="AX55" s="841" t="str">
        <f>IF(T55="","",T55)</f>
        <v>Добавить строку</v>
      </c>
      <c r="AY55" s="841"/>
      <c r="AZ55" s="841"/>
      <c r="BA55" s="1496">
        <v>11</v>
      </c>
    </row>
    <row s="17316" customFormat="1" customHeight="1" ht="1.05">
      <c r="A56" s="1684" t="s">
        <v>195</v>
      </c>
      <c r="B56" s="1684" t="s">
        <v>196</v>
      </c>
      <c r="C56" s="1684" t="s">
        <v>197</v>
      </c>
      <c r="D56" s="1684" t="s">
        <v>198</v>
      </c>
      <c r="E56" s="2600"/>
      <c r="F56" s="2600"/>
      <c r="G56" s="2600"/>
      <c r="H56" s="2600"/>
      <c r="I56" s="2597"/>
      <c r="J56" s="1684"/>
      <c r="K56" s="1684"/>
      <c r="L56" s="1687"/>
      <c r="M56" s="851"/>
      <c r="N56" s="851"/>
      <c r="O56" s="851"/>
      <c r="P56" s="2598"/>
      <c r="Q56" s="1672"/>
      <c r="R56" s="697"/>
      <c r="S56" s="1727"/>
      <c r="T56" s="1728" t="s">
        <v>407</v>
      </c>
      <c r="U56" s="1729"/>
      <c r="V56" s="1729"/>
      <c r="W56" s="1729"/>
      <c r="X56" s="1729"/>
      <c r="Y56" s="1729"/>
      <c r="Z56" s="1729"/>
      <c r="AA56" s="1729"/>
      <c r="AB56" s="1729"/>
      <c r="AC56" s="1729"/>
      <c r="AD56" s="1729"/>
      <c r="AE56" s="1729"/>
      <c r="AF56" s="1729"/>
      <c r="AG56" s="1729"/>
      <c r="AH56" s="1729"/>
      <c r="AI56" s="1729"/>
      <c r="AJ56" s="1729"/>
      <c r="AK56" s="1729"/>
      <c r="AL56" s="1729"/>
      <c r="AM56" s="1729"/>
      <c r="AN56" s="1729"/>
      <c r="AO56" s="1729"/>
      <c r="AP56" s="1729"/>
      <c r="AQ56" s="1729"/>
      <c r="AR56" s="1729"/>
      <c r="AS56" s="1729"/>
      <c r="AT56" s="1729"/>
      <c r="AU56" s="1730"/>
      <c r="AW56" s="841"/>
      <c r="AX56" s="841" t="str">
        <f>IF(T56="","",T56)</f>
        <v>Добавить группу потребителей</v>
      </c>
      <c r="AY56" s="841"/>
      <c r="AZ56" s="841"/>
      <c r="BA56" s="852">
        <v>1</v>
      </c>
    </row>
    <row s="17832" customFormat="1" customHeight="1" ht="1.05">
      <c r="A57" s="1684" t="s">
        <v>195</v>
      </c>
      <c r="B57" s="1684" t="s">
        <v>196</v>
      </c>
      <c r="C57" s="1684" t="s">
        <v>197</v>
      </c>
      <c r="D57" s="1684" t="s">
        <v>198</v>
      </c>
      <c r="E57" s="2600"/>
      <c r="F57" s="2600"/>
      <c r="G57" s="2600"/>
      <c r="H57" s="2599"/>
      <c r="I57" s="1684"/>
      <c r="J57" s="1684"/>
      <c r="K57" s="1684"/>
      <c r="L57" s="1687"/>
      <c r="M57" s="1656"/>
      <c r="N57" s="1656"/>
      <c r="O57" s="859"/>
      <c r="P57" s="721"/>
      <c r="Q57" s="1685"/>
      <c r="R57" s="1741"/>
      <c r="S57" s="1727"/>
      <c r="T57" s="1728"/>
      <c r="U57" s="1729"/>
      <c r="V57" s="1729"/>
      <c r="W57" s="1729"/>
      <c r="X57" s="1729"/>
      <c r="Y57" s="1729"/>
      <c r="Z57" s="1729"/>
      <c r="AA57" s="1729"/>
      <c r="AB57" s="1729"/>
      <c r="AC57" s="1729"/>
      <c r="AD57" s="1729"/>
      <c r="AE57" s="1729"/>
      <c r="AF57" s="1729"/>
      <c r="AG57" s="1729"/>
      <c r="AH57" s="1729"/>
      <c r="AI57" s="1729"/>
      <c r="AJ57" s="1729"/>
      <c r="AK57" s="1729"/>
      <c r="AL57" s="1729"/>
      <c r="AM57" s="1729"/>
      <c r="AN57" s="1729"/>
      <c r="AO57" s="1729"/>
      <c r="AP57" s="1729"/>
      <c r="AQ57" s="1729"/>
      <c r="AR57" s="1729"/>
      <c r="AS57" s="1729"/>
      <c r="AT57" s="1729"/>
      <c r="AU57" s="1730"/>
      <c r="AV57" s="852"/>
      <c r="AW57" s="841"/>
      <c r="AX57" s="841" t="str">
        <f>IF(T57="","",T57)</f>
        <v/>
      </c>
      <c r="AY57" s="841"/>
      <c r="AZ57" s="841"/>
      <c r="BA57" s="837">
        <v>1</v>
      </c>
    </row>
    <row s="17316" customFormat="1" customHeight="1" ht="1.05">
      <c r="A58" s="1684" t="s">
        <v>195</v>
      </c>
      <c r="B58" s="1684" t="s">
        <v>196</v>
      </c>
      <c r="C58" s="1684" t="s">
        <v>197</v>
      </c>
      <c r="D58" s="1655"/>
      <c r="E58" s="2600"/>
      <c r="F58" s="2600"/>
      <c r="G58" s="2599"/>
      <c r="H58" s="1655"/>
      <c r="I58" s="1655"/>
      <c r="J58" s="1655"/>
      <c r="K58" s="1655"/>
      <c r="L58" s="1680"/>
      <c r="M58" s="1656"/>
      <c r="N58" s="1656"/>
      <c r="P58" s="1657"/>
      <c r="Q58" s="1658"/>
      <c r="R58" s="1657"/>
      <c r="S58" s="1663"/>
      <c r="T58" s="1666" t="s">
        <v>409</v>
      </c>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665"/>
      <c r="AU58" s="1665"/>
      <c r="AW58" s="1130"/>
      <c r="AX58" s="1130" t="str">
        <f>IF(T58="","",T58)</f>
        <v>Добавить источник для дифференциации</v>
      </c>
      <c r="AY58" s="1130"/>
      <c r="AZ58" s="1130"/>
      <c r="BA58" s="859">
        <v>1</v>
      </c>
    </row>
    <row s="17316" customFormat="1" customHeight="1" ht="1.05">
      <c r="A59" s="1684" t="s">
        <v>195</v>
      </c>
      <c r="B59" s="1684" t="s">
        <v>196</v>
      </c>
      <c r="C59" s="1655"/>
      <c r="D59" s="1655"/>
      <c r="E59" s="2600"/>
      <c r="F59" s="2599"/>
      <c r="G59" s="1655"/>
      <c r="H59" s="1655"/>
      <c r="I59" s="1655"/>
      <c r="J59" s="1655"/>
      <c r="K59" s="1655"/>
      <c r="L59" s="1680"/>
      <c r="M59" s="1662"/>
      <c r="N59" s="1662"/>
      <c r="P59" s="1657"/>
      <c r="Q59" s="1658"/>
      <c r="R59" s="1657"/>
      <c r="S59" s="1663"/>
      <c r="T59" s="1666" t="s">
        <v>410</v>
      </c>
      <c r="U59" s="1665"/>
      <c r="V59" s="1665"/>
      <c r="W59" s="1665"/>
      <c r="X59" s="1665"/>
      <c r="Y59" s="1665"/>
      <c r="Z59" s="1665"/>
      <c r="AA59" s="1665"/>
      <c r="AB59" s="1665"/>
      <c r="AC59" s="1665"/>
      <c r="AD59" s="1665"/>
      <c r="AE59" s="1665"/>
      <c r="AF59" s="1665"/>
      <c r="AG59" s="1665"/>
      <c r="AH59" s="1665"/>
      <c r="AI59" s="1665"/>
      <c r="AJ59" s="1665"/>
      <c r="AK59" s="1665"/>
      <c r="AL59" s="1665"/>
      <c r="AM59" s="1665"/>
      <c r="AN59" s="1665"/>
      <c r="AO59" s="1665"/>
      <c r="AP59" s="1665"/>
      <c r="AQ59" s="1665"/>
      <c r="AR59" s="1665"/>
      <c r="AS59" s="1665"/>
      <c r="AT59" s="1665"/>
      <c r="AU59" s="1665"/>
      <c r="AW59" s="1130"/>
      <c r="AX59" s="1130" t="str">
        <f>IF(T59="","",T59)</f>
        <v>Добавить централизованную систему для дифференциации</v>
      </c>
      <c r="AY59" s="1130"/>
      <c r="AZ59" s="1130"/>
      <c r="BA59" s="859">
        <v>1</v>
      </c>
    </row>
    <row s="17316" customFormat="1" customHeight="1" ht="1.05">
      <c r="A60" s="1684" t="s">
        <v>195</v>
      </c>
      <c r="B60" s="1684"/>
      <c r="C60" s="1684"/>
      <c r="D60" s="1684"/>
      <c r="E60" s="2600"/>
      <c r="F60" s="1684"/>
      <c r="G60" s="1684"/>
      <c r="H60" s="1684"/>
      <c r="I60" s="1684"/>
      <c r="J60" s="1684"/>
      <c r="K60" s="1684"/>
      <c r="L60" s="1687"/>
      <c r="M60" s="1662"/>
      <c r="N60" s="1662"/>
      <c r="O60" s="859"/>
      <c r="P60" s="721"/>
      <c r="Q60" s="1685"/>
      <c r="R60" s="721"/>
      <c r="S60" s="1663"/>
      <c r="T60" s="1666" t="s">
        <v>411</v>
      </c>
      <c r="U60" s="1665"/>
      <c r="V60" s="1665"/>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W60" s="841"/>
      <c r="AX60" s="841" t="str">
        <f>IF(T60="","",T60)</f>
        <v>Добавить территорию для дифференциации</v>
      </c>
      <c r="AY60" s="841"/>
      <c r="AZ60" s="841"/>
      <c r="BA60" s="852">
        <v>1</v>
      </c>
    </row>
    <row s="17316" customFormat="1" customHeight="1" ht="1.05">
      <c r="A61" s="1684" t="s">
        <v>195</v>
      </c>
      <c r="B61" s="1684"/>
      <c r="C61" s="1684"/>
      <c r="D61" s="1684"/>
      <c r="E61" s="2599"/>
      <c r="F61" s="1684"/>
      <c r="G61" s="1684"/>
      <c r="H61" s="1684"/>
      <c r="I61" s="1684"/>
      <c r="J61" s="1684"/>
      <c r="K61" s="1684"/>
      <c r="L61" s="1687"/>
      <c r="M61" s="1662"/>
      <c r="N61" s="1662"/>
      <c r="O61" s="859"/>
      <c r="P61" s="721"/>
      <c r="Q61" s="1685"/>
      <c r="R61" s="721"/>
      <c r="S61" s="1663"/>
      <c r="T61" s="1666" t="s">
        <v>411</v>
      </c>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W61" s="841"/>
      <c r="AX61" s="841" t="str">
        <f>IF(T61="","",T61)</f>
        <v>Добавить территорию для дифференциации</v>
      </c>
      <c r="AY61" s="841"/>
      <c r="AZ61" s="841"/>
      <c r="BA61" s="852">
        <v>1</v>
      </c>
    </row>
    <row s="17316" customFormat="1" customHeight="1" ht="1.05">
      <c r="A62" s="1655"/>
      <c r="B62" s="1655"/>
      <c r="C62" s="1655"/>
      <c r="D62" s="1655"/>
      <c r="E62" s="1684"/>
      <c r="F62" s="1655"/>
      <c r="G62" s="1655"/>
      <c r="H62" s="1655"/>
      <c r="I62" s="1655"/>
      <c r="J62" s="1655"/>
      <c r="K62" s="1655"/>
      <c r="L62" s="1680"/>
      <c r="M62" s="1662"/>
      <c r="N62" s="1662"/>
      <c r="P62" s="1657"/>
      <c r="Q62" s="1658"/>
      <c r="R62" s="1657"/>
      <c r="S62" s="1663"/>
      <c r="T62" s="1666" t="s">
        <v>443</v>
      </c>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W62" s="1130"/>
      <c r="AX62" s="1130" t="str">
        <f>IF(T62="","",T62)</f>
        <v>Добавить наименование тарифа</v>
      </c>
      <c r="AY62" s="1130"/>
      <c r="AZ62" s="1130"/>
      <c r="BA62" s="859">
        <v>1</v>
      </c>
    </row>
    <row customHeight="1" ht="11.549999999999999">
      <c r="M63" s="1501"/>
      <c r="N63" s="1501"/>
      <c r="O63" s="878"/>
      <c r="P63" s="1501"/>
      <c r="Q63" s="1501"/>
      <c r="R63" s="1496"/>
      <c r="S63" s="1496"/>
      <c r="AV63" s="1496"/>
      <c r="AW63" s="1496"/>
      <c r="AX63" s="1496"/>
      <c r="AY63" s="1496"/>
      <c r="AZ63" s="1496"/>
      <c r="BA63" s="1496">
        <v>11</v>
      </c>
    </row>
    <row customHeight="1" ht="19.95">
      <c r="O64" s="878"/>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N64" s="2626"/>
      <c r="AO64" s="2626"/>
      <c r="AP64" s="2626"/>
      <c r="AQ64" s="2626"/>
      <c r="AR64" s="2626"/>
      <c r="AS64" s="2626"/>
      <c r="AT64" s="2626"/>
      <c r="AU64" s="2626"/>
      <c r="BA64" s="1496">
        <v>19</v>
      </c>
    </row>
    <row customHeight="1" ht="21">
      <c r="O65" s="878"/>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c r="AS65" s="2626"/>
      <c r="AT65" s="2626"/>
      <c r="AU65" s="2626"/>
      <c r="BA65" s="1496">
        <v>20</v>
      </c>
    </row>
    <row customHeight="1" ht="14.699999999999998">
      <c r="O66" s="878"/>
      <c r="T66" s="1674"/>
      <c r="U66" s="1674"/>
      <c r="V66" s="1674"/>
      <c r="W66" s="1674"/>
      <c r="X66" s="1674"/>
      <c r="Y66" s="1674"/>
      <c r="Z66" s="1674"/>
      <c r="AA66" s="1674"/>
      <c r="AB66" s="1674"/>
      <c r="AC66" s="1674"/>
      <c r="AD66" s="1674"/>
      <c r="AE66" s="1674"/>
      <c r="AF66" s="1674"/>
      <c r="AG66" s="1674"/>
      <c r="AH66" s="1674"/>
      <c r="AI66" s="1674"/>
      <c r="AJ66" s="1674"/>
      <c r="AK66" s="1674"/>
      <c r="AL66" s="1674"/>
      <c r="AM66" s="1674"/>
      <c r="AN66" s="1674"/>
      <c r="AO66" s="1674"/>
      <c r="AP66" s="1674"/>
      <c r="AQ66" s="1674"/>
      <c r="AR66" s="1674"/>
      <c r="AS66" s="1674"/>
      <c r="AT66" s="1674"/>
      <c r="AU66" s="1674"/>
      <c r="BA66" s="1496">
        <v>14</v>
      </c>
    </row>
    <row customHeight="1" ht="19.95">
      <c r="O67" s="878"/>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BA67" s="1496">
        <v>19</v>
      </c>
    </row>
    <row customHeight="1" ht="16.8">
      <c r="O68" s="878"/>
      <c r="T68" s="2626"/>
      <c r="U68" s="2626"/>
      <c r="V68" s="2626"/>
      <c r="W68" s="2626"/>
      <c r="X68" s="2626"/>
      <c r="Y68" s="2626"/>
      <c r="Z68" s="2626"/>
      <c r="AA68" s="2626"/>
      <c r="AB68" s="2626"/>
      <c r="AC68" s="2626"/>
      <c r="AD68" s="2626"/>
      <c r="AE68" s="2626"/>
      <c r="AF68" s="2626"/>
      <c r="AG68" s="2626"/>
      <c r="AH68" s="2626"/>
      <c r="AI68" s="2626"/>
      <c r="AJ68" s="2626"/>
      <c r="AK68" s="2626"/>
      <c r="AL68" s="2626"/>
      <c r="AM68" s="2626"/>
      <c r="AN68" s="2626"/>
      <c r="AO68" s="2626"/>
      <c r="AP68" s="2626"/>
      <c r="AQ68" s="2626"/>
      <c r="AR68" s="2626"/>
      <c r="AS68" s="2626"/>
      <c r="AT68" s="2626"/>
      <c r="AU68" s="2626"/>
      <c r="BA68" s="1496">
        <v>16</v>
      </c>
    </row>
    <row customHeight="1" ht="14.699999999999998">
      <c r="O69" s="878"/>
      <c r="BA69" s="1496">
        <v>14</v>
      </c>
    </row>
    <row customHeight="1" ht="22.5" hidden="1">
      <c r="A70" s="1501" t="s">
        <v>82</v>
      </c>
      <c r="B70" s="1501">
        <v>0</v>
      </c>
      <c r="C70" s="1501">
        <v>0</v>
      </c>
      <c r="D70" s="1501">
        <v>0</v>
      </c>
      <c r="E70" s="1501">
        <v>0</v>
      </c>
      <c r="F70" s="1501">
        <v>0</v>
      </c>
      <c r="G70" s="1501">
        <v>0</v>
      </c>
      <c r="H70" s="1501">
        <v>0</v>
      </c>
      <c r="I70" s="1501">
        <v>0</v>
      </c>
      <c r="J70" s="1501">
        <v>0</v>
      </c>
      <c r="K70" s="1501">
        <v>0</v>
      </c>
      <c r="L70" s="1670">
        <v>0</v>
      </c>
      <c r="M70" s="1703">
        <v>0</v>
      </c>
      <c r="N70" s="1703">
        <v>0</v>
      </c>
      <c r="O70" s="1703">
        <v>0</v>
      </c>
      <c r="P70" s="1703">
        <v>3</v>
      </c>
      <c r="Q70" s="1712">
        <v>3</v>
      </c>
      <c r="R70" s="685">
        <v>3</v>
      </c>
      <c r="S70" s="922">
        <v>12</v>
      </c>
      <c r="T70" s="1496">
        <v>31</v>
      </c>
      <c r="U70" s="1496">
        <v>0</v>
      </c>
      <c r="V70" s="1496">
        <v>0</v>
      </c>
      <c r="W70" s="1496">
        <v>0</v>
      </c>
      <c r="X70" s="1496">
        <v>0</v>
      </c>
      <c r="Y70" s="1496">
        <v>0</v>
      </c>
      <c r="Z70" s="1496">
        <v>0</v>
      </c>
      <c r="AA70" s="1496">
        <v>0</v>
      </c>
      <c r="AB70" s="1496">
        <v>5</v>
      </c>
      <c r="AC70" s="1496">
        <v>3</v>
      </c>
      <c r="AD70" s="1496">
        <v>3</v>
      </c>
      <c r="AE70" s="1496">
        <v>24</v>
      </c>
      <c r="AF70" s="1496">
        <v>3</v>
      </c>
      <c r="AG70" s="1496">
        <v>3</v>
      </c>
      <c r="AH70" s="1496">
        <v>3</v>
      </c>
      <c r="AI70" s="1496">
        <v>24</v>
      </c>
      <c r="AJ70" s="1496">
        <v>3</v>
      </c>
      <c r="AK70" s="1496">
        <v>3</v>
      </c>
      <c r="AL70" s="1496">
        <v>3</v>
      </c>
      <c r="AM70" s="1496">
        <v>18</v>
      </c>
      <c r="AN70" s="1496">
        <v>21</v>
      </c>
      <c r="AO70" s="1496">
        <v>21</v>
      </c>
      <c r="AP70" s="1496">
        <v>11</v>
      </c>
      <c r="AQ70" s="1496">
        <v>3</v>
      </c>
      <c r="AR70" s="1496">
        <v>11</v>
      </c>
      <c r="AS70" s="1496">
        <v>8</v>
      </c>
      <c r="AT70" s="1496">
        <v>4</v>
      </c>
      <c r="AU70" s="1496">
        <v>115</v>
      </c>
      <c r="AV70" s="852">
        <v>10</v>
      </c>
      <c r="AW70" s="852">
        <v>10</v>
      </c>
      <c r="AX70" s="852">
        <v>10</v>
      </c>
      <c r="AY70" s="852">
        <v>10</v>
      </c>
      <c r="AZ70" s="852">
        <v>10</v>
      </c>
      <c r="BA70" s="1496">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311BDB-C2AC-2FAD-282A-DB7BD58500E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4.140625" hidden="1" customWidth="1"/>
    <col min="10" max="10" style="17315" width="9.8515625" hidden="1" customWidth="1"/>
    <col min="11" max="11" style="17315" width="14.71093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4" style="17239" width="24.7109375" hidden="1" customWidth="1"/>
    <col min="25" max="25" style="17239" width="11.7109375" hidden="1" customWidth="1"/>
    <col min="26" max="26" style="17239" width="3.7109375" hidden="1" customWidth="1"/>
    <col min="27" max="27" style="17239" width="11.7109375" hidden="1" customWidth="1"/>
    <col min="28" max="28" style="17239" width="8.57421875" hidden="1" customWidth="1"/>
    <col min="29" max="29" style="17239" width="24.7109375" customWidth="1"/>
    <col min="30" max="31" style="17239" width="24.00390625" customWidth="1"/>
    <col min="32" max="32" style="17239" width="11.00390625" customWidth="1"/>
    <col min="33" max="33" style="17239" width="3.7109375" customWidth="1"/>
    <col min="34" max="34" style="17239" width="11.00390625" customWidth="1"/>
    <col min="35" max="35" style="17239" width="8.57421875" hidden="1" customWidth="1"/>
    <col min="36" max="36" style="17239" width="4.00390625" customWidth="1"/>
    <col min="37" max="37" style="17239" width="115.00390625" customWidth="1"/>
    <col min="38" max="42" style="17316" width="10.00390625" customWidth="1"/>
    <col min="43" max="43" style="17239"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766">
        <f>INDEX(PT_DIFFERENTIATION_NUM_NTAR,MATCH(A2,PT_DIFFERENTIATION_NTAR_ID,0))</f>
      </c>
      <c r="T2" s="639" t="s">
        <v>120</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764"/>
      <c r="Q3" s="693"/>
      <c r="R3" s="694"/>
      <c r="S3" s="1766">
        <f>INDEX(PT_DIFFERENTIATION_NUM_TER,MATCH(B3,PT_DIFFERENTIATION_TER_ID,0))</f>
      </c>
      <c r="T3" s="649" t="s">
        <v>392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393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766">
        <f>INDEX(PT_DIFFERENTIATION_NUM_CS,MATCH(C4,PT_DIFFERENTIATION_CS_ID,0))</f>
      </c>
      <c r="T4" s="650" t="s">
        <v>476</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477</v>
      </c>
      <c r="AM4" s="841"/>
      <c r="AN4" s="841" t="str">
        <f>IF(T4="","",T4)</f>
        <v>Наименование централизованной системы холодного водоснабжения</v>
      </c>
      <c r="AO4" s="841"/>
      <c r="AP4" s="841"/>
      <c r="AQ4" s="1496">
        <v>0</v>
      </c>
    </row>
    <row customHeight="1" ht="23.25" hidden="1">
      <c r="A5" s="1704"/>
      <c r="B5" s="1704"/>
      <c r="C5" s="1704"/>
      <c r="D5" s="1704"/>
      <c r="E5" s="2600"/>
      <c r="F5" s="2600"/>
      <c r="G5" s="2600"/>
      <c r="H5" s="2600"/>
      <c r="I5" s="2597">
        <f>S4&amp;".1"</f>
      </c>
      <c r="J5" s="1704"/>
      <c r="K5" s="1704"/>
      <c r="L5" s="1705"/>
      <c r="P5" s="2598">
        <v>1</v>
      </c>
      <c r="Q5" s="1763"/>
      <c r="R5" s="697"/>
      <c r="S5" s="1766">
        <f>$I5</f>
      </c>
      <c r="T5" s="626" t="s">
        <v>478</v>
      </c>
      <c r="U5" s="641"/>
      <c r="V5" s="2691"/>
      <c r="W5" s="2692"/>
      <c r="X5" s="2692"/>
      <c r="Y5" s="2692"/>
      <c r="Z5" s="2692"/>
      <c r="AA5" s="2692"/>
      <c r="AB5" s="2693"/>
      <c r="AC5" s="2694"/>
      <c r="AD5" s="2695"/>
      <c r="AE5" s="2695"/>
      <c r="AF5" s="2695"/>
      <c r="AG5" s="2695"/>
      <c r="AH5" s="2695"/>
      <c r="AI5" s="2695"/>
      <c r="AJ5" s="2696"/>
      <c r="AK5" s="1599" t="s">
        <v>479</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401</v>
      </c>
      <c r="P6" s="2598"/>
      <c r="Q6" s="2598">
        <v>1</v>
      </c>
      <c r="R6" s="698"/>
      <c r="S6" s="1766">
        <f>$J6</f>
      </c>
      <c r="T6" s="627" t="s">
        <v>402</v>
      </c>
      <c r="U6" s="641"/>
      <c r="V6" s="2586"/>
      <c r="W6" s="2587"/>
      <c r="X6" s="2587"/>
      <c r="Y6" s="2587"/>
      <c r="Z6" s="2587"/>
      <c r="AA6" s="2587"/>
      <c r="AB6" s="2588"/>
      <c r="AC6" s="2586"/>
      <c r="AD6" s="2587"/>
      <c r="AE6" s="2587"/>
      <c r="AF6" s="2587"/>
      <c r="AG6" s="2587"/>
      <c r="AH6" s="2587"/>
      <c r="AI6" s="2587"/>
      <c r="AJ6" s="2588"/>
      <c r="AK6" s="1648" t="s">
        <v>480</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766">
        <f>$K7</f>
      </c>
      <c r="T7" s="1778"/>
      <c r="U7" s="641"/>
      <c r="V7" s="1092"/>
      <c r="W7" s="1092"/>
      <c r="X7" s="1598"/>
      <c r="Y7" s="2606"/>
      <c r="Z7" s="2448" t="s">
        <v>65</v>
      </c>
      <c r="AA7" s="2606"/>
      <c r="AB7" s="2448" t="s">
        <v>65</v>
      </c>
      <c r="AC7" s="1092"/>
      <c r="AD7" s="1092"/>
      <c r="AE7" s="1598"/>
      <c r="AF7" s="2606"/>
      <c r="AG7" s="2448" t="s">
        <v>65</v>
      </c>
      <c r="AH7" s="2628"/>
      <c r="AI7" s="2448" t="s">
        <v>65</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765"/>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481</v>
      </c>
      <c r="U9" s="708"/>
      <c r="V9" s="708"/>
      <c r="W9" s="708"/>
      <c r="X9" s="708"/>
      <c r="Y9" s="708"/>
      <c r="Z9" s="708"/>
      <c r="AA9" s="708"/>
      <c r="AB9" s="708"/>
      <c r="AC9" s="708"/>
      <c r="AD9" s="708"/>
      <c r="AE9" s="708"/>
      <c r="AF9" s="708"/>
      <c r="AG9" s="708"/>
      <c r="AH9" s="708"/>
      <c r="AI9" s="708"/>
      <c r="AJ9" s="708"/>
      <c r="AK9" s="1599" t="s">
        <v>482</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763"/>
      <c r="R10" s="697"/>
      <c r="S10" s="1619"/>
      <c r="T10" s="706" t="s">
        <v>407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14.25" hidden="1">
      <c r="A11" s="1704"/>
      <c r="B11" s="1704"/>
      <c r="C11" s="1704"/>
      <c r="D11" s="1704"/>
      <c r="E11" s="2600"/>
      <c r="F11" s="2600"/>
      <c r="G11" s="2600"/>
      <c r="H11" s="2599"/>
      <c r="I11" s="1704"/>
      <c r="J11" s="1704"/>
      <c r="K11" s="1704"/>
      <c r="L11" s="1705"/>
      <c r="M11" s="1706"/>
      <c r="N11" s="1706"/>
      <c r="O11" s="878"/>
      <c r="P11" s="701"/>
      <c r="Q11" s="716"/>
      <c r="R11" s="696"/>
      <c r="S11" s="1619"/>
      <c r="T11" s="713" t="s">
        <v>483</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17316" customFormat="1" customHeight="1" ht="14.25" hidden="1">
      <c r="A12" s="1684"/>
      <c r="B12" s="1684"/>
      <c r="C12" s="1655"/>
      <c r="D12" s="1655"/>
      <c r="E12" s="2600"/>
      <c r="F12" s="2599"/>
      <c r="G12" s="1655"/>
      <c r="H12" s="1655"/>
      <c r="I12" s="1655"/>
      <c r="J12" s="1655"/>
      <c r="K12" s="1655"/>
      <c r="L12" s="1767"/>
      <c r="M12" s="1662"/>
      <c r="N12" s="1662"/>
      <c r="P12" s="1657"/>
      <c r="Q12" s="1658"/>
      <c r="R12" s="1657"/>
      <c r="S12" s="1663"/>
      <c r="T12" s="1666" t="s">
        <v>410</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1731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411</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65</v>
      </c>
      <c r="AH15" s="2608"/>
      <c r="AI15" s="2609" t="s">
        <v>65</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17315" customFormat="1" customHeight="1" ht="22.5" hidden="1">
      <c r="L18" s="1762"/>
      <c r="M18" s="1703"/>
      <c r="N18" s="1703"/>
      <c r="O18" s="1708" t="s">
        <v>412</v>
      </c>
      <c r="P18" s="1703"/>
      <c r="Q18" s="1712"/>
      <c r="R18" s="1712"/>
      <c r="S18" s="1070"/>
      <c r="Y18" s="1708"/>
      <c r="AA18" s="1708"/>
      <c r="AB18" s="1707"/>
      <c r="AF18" s="1708"/>
      <c r="AH18" s="1708"/>
      <c r="AI18" s="1707"/>
      <c r="AL18" s="852"/>
      <c r="AM18" s="852"/>
      <c r="AN18" s="852"/>
      <c r="AO18" s="852"/>
      <c r="AP18" s="852"/>
      <c r="AQ18" s="1501">
        <v>0</v>
      </c>
    </row>
    <row s="17315" customFormat="1" customHeight="1" ht="14.25" hidden="1">
      <c r="L19" s="1762"/>
      <c r="M19" s="1703"/>
      <c r="N19" s="1703"/>
      <c r="O19" s="1703"/>
      <c r="P19" s="1703"/>
      <c r="Q19" s="1712"/>
      <c r="R19" s="1712"/>
      <c r="S19" s="1070"/>
      <c r="AB19" s="1707"/>
      <c r="AI19" s="1707"/>
      <c r="AL19" s="852"/>
      <c r="AM19" s="852"/>
      <c r="AN19" s="852"/>
      <c r="AO19" s="852"/>
      <c r="AP19" s="852"/>
      <c r="AQ19" s="1501">
        <v>0</v>
      </c>
    </row>
    <row s="17315" customFormat="1" customHeight="1" ht="12" hidden="1">
      <c r="L20" s="1762"/>
      <c r="M20" s="1703"/>
      <c r="N20" s="1703"/>
      <c r="O20" s="1705" t="s">
        <v>413</v>
      </c>
      <c r="P20" s="1703"/>
      <c r="Q20" s="1783"/>
      <c r="R20" s="1783"/>
      <c r="S20" s="1070"/>
      <c r="T20" s="1501" t="s">
        <v>414</v>
      </c>
      <c r="Z20" s="527" t="s">
        <v>415</v>
      </c>
      <c r="AB20" s="527" t="s">
        <v>416</v>
      </c>
      <c r="AC20" s="1501" t="s">
        <v>414</v>
      </c>
      <c r="AG20" s="527" t="s">
        <v>417</v>
      </c>
      <c r="AI20" s="527" t="s">
        <v>416</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17442" customFormat="1" customHeight="1" ht="25.5" hidden="1">
      <c r="A27" s="1709"/>
      <c r="B27" s="1709"/>
      <c r="C27" s="1709"/>
      <c r="D27" s="1709"/>
      <c r="E27" s="1709"/>
      <c r="F27" s="1709"/>
      <c r="G27" s="1709"/>
      <c r="H27" s="1709"/>
      <c r="I27" s="1709"/>
      <c r="J27" s="1709"/>
      <c r="K27" s="1709"/>
      <c r="L27" s="1710"/>
      <c r="M27" s="1709"/>
      <c r="N27" s="1709"/>
      <c r="O27" s="1709"/>
      <c r="S27" s="2591" t="s">
        <v>41</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17442" customFormat="1" customHeight="1" ht="18.75" hidden="1">
      <c r="A28" s="1709"/>
      <c r="B28" s="1709"/>
      <c r="C28" s="1709"/>
      <c r="D28" s="1709"/>
      <c r="E28" s="1709"/>
      <c r="F28" s="1709"/>
      <c r="G28" s="1709"/>
      <c r="H28" s="1709"/>
      <c r="I28" s="1709"/>
      <c r="J28" s="1709"/>
      <c r="K28" s="1709"/>
      <c r="L28" s="1710"/>
      <c r="M28" s="1709"/>
      <c r="N28" s="1709"/>
      <c r="O28" s="1709"/>
      <c r="S28" s="2591" t="s">
        <v>418</v>
      </c>
      <c r="T28" s="2591"/>
      <c r="U28" s="1713"/>
      <c r="V28" s="2605" t="str">
        <f>IF(TITLE_DATE_PR_CHANGE="",IF(TITLE_DATE_PR="","",TITLE_DATE_PR),TITLE_DATE_PR_CHANGE)</f>
        <v/>
      </c>
      <c r="W28" s="2605"/>
      <c r="X28" s="2605"/>
      <c r="Y28" s="2605"/>
      <c r="Z28" s="2605"/>
      <c r="AA28" s="2605"/>
      <c r="AB28" s="667"/>
      <c r="AC28" s="2605" t="str">
        <f>IF(TITLE_DATE_PR_CHANGE="",IF(TITLE_DATE_PR="","",TITLE_DATE_PR),TITLE_DATE_PR_CHANGE)</f>
        <v/>
      </c>
      <c r="AD28" s="2605"/>
      <c r="AE28" s="2605"/>
      <c r="AF28" s="2605"/>
      <c r="AG28" s="2605"/>
      <c r="AH28" s="2605"/>
      <c r="AI28" s="667"/>
      <c r="AJ28" s="667"/>
      <c r="AK28" s="621"/>
      <c r="AL28" s="709"/>
      <c r="AM28" s="709"/>
      <c r="AN28" s="709"/>
      <c r="AO28" s="709"/>
      <c r="AP28" s="709"/>
      <c r="AQ28" s="759">
        <v>0</v>
      </c>
    </row>
    <row s="17442" customFormat="1" customHeight="1" ht="18.75" hidden="1">
      <c r="A29" s="1709"/>
      <c r="B29" s="1709"/>
      <c r="C29" s="1709"/>
      <c r="D29" s="1709"/>
      <c r="E29" s="1709"/>
      <c r="F29" s="1709"/>
      <c r="G29" s="1709"/>
      <c r="H29" s="1709"/>
      <c r="I29" s="1709"/>
      <c r="J29" s="1709"/>
      <c r="K29" s="1709"/>
      <c r="L29" s="1710"/>
      <c r="M29" s="1709"/>
      <c r="N29" s="1709"/>
      <c r="O29" s="1709"/>
      <c r="S29" s="2591" t="s">
        <v>419</v>
      </c>
      <c r="T29" s="2591"/>
      <c r="U29" s="1713"/>
      <c r="V29" s="2592" t="str">
        <f>IF(TITLE_NUMBER_PR_CHANGE="",IF(TITLE_NUMBER_PR="","",TITLE_NUMBER_PR),TITLE_NUMBER_PR_CHANGE)</f>
        <v/>
      </c>
      <c r="W29" s="2592"/>
      <c r="X29" s="2592"/>
      <c r="Y29" s="2592"/>
      <c r="Z29" s="2592"/>
      <c r="AA29" s="2592"/>
      <c r="AB29" s="667"/>
      <c r="AC29" s="2592" t="str">
        <f>IF(TITLE_NUMBER_PR_CHANGE="",IF(TITLE_NUMBER_PR="","",TITLE_NUMBER_PR),TITLE_NUMBER_PR_CHANGE)</f>
        <v/>
      </c>
      <c r="AD29" s="2592"/>
      <c r="AE29" s="2592"/>
      <c r="AF29" s="2592"/>
      <c r="AG29" s="2592"/>
      <c r="AH29" s="2592"/>
      <c r="AI29" s="667"/>
      <c r="AJ29" s="667"/>
      <c r="AK29" s="621"/>
      <c r="AL29" s="709"/>
      <c r="AM29" s="709"/>
      <c r="AN29" s="709"/>
      <c r="AO29" s="709"/>
      <c r="AP29" s="709"/>
      <c r="AQ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42</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hidden="1">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17442" customFormat="1" customHeight="1" ht="18.75" hidden="1">
      <c r="A32" s="1709"/>
      <c r="B32" s="1709"/>
      <c r="C32" s="1709"/>
      <c r="D32" s="1709"/>
      <c r="E32" s="1709"/>
      <c r="F32" s="1709"/>
      <c r="G32" s="1709"/>
      <c r="H32" s="1709"/>
      <c r="I32" s="1709"/>
      <c r="J32" s="1709"/>
      <c r="K32" s="1709"/>
      <c r="L32" s="1710"/>
      <c r="M32" s="1709"/>
      <c r="N32" s="1709"/>
      <c r="O32" s="1709"/>
      <c r="S32" s="2591" t="s">
        <v>420</v>
      </c>
      <c r="T32" s="2591"/>
      <c r="U32" s="1713"/>
      <c r="V32" s="2605" t="str">
        <f>IF(TITLE_DATE_PR_CHANGE="",IF(TITLE_DATE_PR="","",TITLE_DATE_PR),TITLE_DATE_PR_CHANGE)</f>
        <v/>
      </c>
      <c r="W32" s="2605"/>
      <c r="X32" s="2605"/>
      <c r="Y32" s="2605"/>
      <c r="Z32" s="2605"/>
      <c r="AA32" s="2605"/>
      <c r="AB32" s="667"/>
      <c r="AC32" s="2605" t="str">
        <f>IF(TITLE_DATE_PR_CHANGE="",IF(TITLE_DATE_PR="","",TITLE_DATE_PR),TITLE_DATE_PR_CHANGE)</f>
        <v/>
      </c>
      <c r="AD32" s="2605"/>
      <c r="AE32" s="2605"/>
      <c r="AF32" s="2605"/>
      <c r="AG32" s="2605"/>
      <c r="AH32" s="2605"/>
      <c r="AI32" s="667"/>
      <c r="AJ32" s="667"/>
      <c r="AK32" s="621"/>
      <c r="AL32" s="709"/>
      <c r="AM32" s="709"/>
      <c r="AN32" s="709"/>
      <c r="AO32" s="709"/>
      <c r="AP32" s="709"/>
      <c r="AQ32" s="759">
        <v>0</v>
      </c>
    </row>
    <row s="17442" customFormat="1" customHeight="1" ht="18.75" hidden="1">
      <c r="A33" s="1709"/>
      <c r="B33" s="1709"/>
      <c r="C33" s="1709"/>
      <c r="D33" s="1709"/>
      <c r="E33" s="1709"/>
      <c r="F33" s="1709"/>
      <c r="G33" s="1709"/>
      <c r="H33" s="1709"/>
      <c r="I33" s="1709"/>
      <c r="J33" s="1709"/>
      <c r="K33" s="1709"/>
      <c r="L33" s="1710"/>
      <c r="M33" s="1709"/>
      <c r="N33" s="1709"/>
      <c r="O33" s="1709"/>
      <c r="S33" s="2591" t="s">
        <v>421</v>
      </c>
      <c r="T33" s="2591"/>
      <c r="U33" s="1713"/>
      <c r="V33" s="2592" t="str">
        <f>IF(TITLE_NUMBER_PR_CHANGE="",IF(TITLE_NUMBER_PR="","",TITLE_NUMBER_PR),TITLE_NUMBER_PR_CHANGE)</f>
        <v/>
      </c>
      <c r="W33" s="2592"/>
      <c r="X33" s="2592"/>
      <c r="Y33" s="2592"/>
      <c r="Z33" s="2592"/>
      <c r="AA33" s="2592"/>
      <c r="AB33" s="667"/>
      <c r="AC33" s="2592" t="str">
        <f>IF(TITLE_NUMBER_PR_CHANGE="",IF(TITLE_NUMBER_PR="","",TITLE_NUMBER_PR),TITLE_NUMBER_PR_CHANGE)</f>
        <v/>
      </c>
      <c r="AD33" s="2592"/>
      <c r="AE33" s="2592"/>
      <c r="AF33" s="2592"/>
      <c r="AG33" s="2592"/>
      <c r="AH33" s="2592"/>
      <c r="AI33" s="667"/>
      <c r="AJ33" s="667"/>
      <c r="AK33" s="621"/>
      <c r="AL33" s="709"/>
      <c r="AM33" s="709"/>
      <c r="AN33" s="709"/>
      <c r="AO33" s="709"/>
      <c r="AP33" s="709"/>
      <c r="AQ33" s="759">
        <v>0</v>
      </c>
    </row>
    <row s="17442" customFormat="1" customHeight="1" ht="1.05">
      <c r="A34" s="1709"/>
      <c r="B34" s="1709"/>
      <c r="C34" s="1709"/>
      <c r="D34" s="1709"/>
      <c r="E34" s="1709"/>
      <c r="F34" s="1709"/>
      <c r="G34" s="1709"/>
      <c r="H34" s="1709"/>
      <c r="I34" s="1709"/>
      <c r="J34" s="1709"/>
      <c r="K34" s="1709"/>
      <c r="L34" s="1710"/>
      <c r="M34" s="1709"/>
      <c r="N34" s="1709"/>
      <c r="O34" s="1709"/>
      <c r="S34" s="664"/>
      <c r="T34" s="664"/>
      <c r="U34" s="1696"/>
      <c r="V34" s="667"/>
      <c r="W34" s="667"/>
      <c r="X34" s="667"/>
      <c r="Y34" s="667"/>
      <c r="Z34" s="667"/>
      <c r="AA34" s="667"/>
      <c r="AB34" s="619" t="s">
        <v>422</v>
      </c>
      <c r="AC34" s="667"/>
      <c r="AD34" s="667"/>
      <c r="AE34" s="667"/>
      <c r="AF34" s="667"/>
      <c r="AG34" s="667"/>
      <c r="AH34" s="667"/>
      <c r="AI34" s="619" t="s">
        <v>422</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295</v>
      </c>
      <c r="T36" s="2468"/>
      <c r="U36" s="2468"/>
      <c r="V36" s="2468"/>
      <c r="W36" s="2468"/>
      <c r="X36" s="2468"/>
      <c r="Y36" s="2468"/>
      <c r="Z36" s="2468"/>
      <c r="AA36" s="2468"/>
      <c r="AB36" s="2468"/>
      <c r="AC36" s="2468"/>
      <c r="AD36" s="2468"/>
      <c r="AE36" s="2468"/>
      <c r="AF36" s="2468"/>
      <c r="AG36" s="2468"/>
      <c r="AH36" s="2468"/>
      <c r="AI36" s="2468"/>
      <c r="AJ36" s="2468"/>
      <c r="AK36" s="2468" t="s">
        <v>296</v>
      </c>
      <c r="AQ36" s="1496">
        <v>14</v>
      </c>
    </row>
    <row customHeight="1" ht="14.699999999999998">
      <c r="Q37" s="717"/>
      <c r="R37" s="717"/>
      <c r="S37" s="2614" t="s">
        <v>88</v>
      </c>
      <c r="T37" s="2550" t="s">
        <v>423</v>
      </c>
      <c r="U37" s="642"/>
      <c r="V37" s="2615" t="s">
        <v>424</v>
      </c>
      <c r="W37" s="2616"/>
      <c r="X37" s="2616"/>
      <c r="Y37" s="2616"/>
      <c r="Z37" s="2616"/>
      <c r="AA37" s="2617"/>
      <c r="AB37" s="2618" t="s">
        <v>425</v>
      </c>
      <c r="AC37" s="2615" t="s">
        <v>424</v>
      </c>
      <c r="AD37" s="2616"/>
      <c r="AE37" s="2616"/>
      <c r="AF37" s="2616"/>
      <c r="AG37" s="2616"/>
      <c r="AH37" s="2617"/>
      <c r="AI37" s="2618" t="s">
        <v>426</v>
      </c>
      <c r="AJ37" s="2621" t="s">
        <v>427</v>
      </c>
      <c r="AK37" s="2468"/>
      <c r="AQ37" s="1496">
        <v>14</v>
      </c>
    </row>
    <row customHeight="1" ht="35.699999999999996">
      <c r="Q38" s="717"/>
      <c r="R38" s="717"/>
      <c r="S38" s="2614"/>
      <c r="T38" s="2550"/>
      <c r="U38" s="1372"/>
      <c r="V38" s="1693" t="s">
        <v>484</v>
      </c>
      <c r="W38" s="2603" t="s">
        <v>430</v>
      </c>
      <c r="X38" s="2604"/>
      <c r="Y38" s="2603" t="s">
        <v>431</v>
      </c>
      <c r="Z38" s="2610"/>
      <c r="AA38" s="2604"/>
      <c r="AB38" s="2619"/>
      <c r="AC38" s="1693" t="s">
        <v>484</v>
      </c>
      <c r="AD38" s="2603" t="s">
        <v>430</v>
      </c>
      <c r="AE38" s="2604"/>
      <c r="AF38" s="2603" t="s">
        <v>431</v>
      </c>
      <c r="AG38" s="2610"/>
      <c r="AH38" s="2604"/>
      <c r="AI38" s="2619"/>
      <c r="AJ38" s="2622"/>
      <c r="AK38" s="2468"/>
      <c r="AQ38" s="1496">
        <v>34</v>
      </c>
    </row>
    <row customHeight="1" ht="35.699999999999996">
      <c r="A39" s="1711"/>
      <c r="B39" s="1711" t="s">
        <v>132</v>
      </c>
      <c r="C39" s="1711" t="s">
        <v>133</v>
      </c>
      <c r="D39" s="1711" t="s">
        <v>134</v>
      </c>
      <c r="E39" s="1705" t="s">
        <v>432</v>
      </c>
      <c r="F39" s="1705" t="s">
        <v>433</v>
      </c>
      <c r="G39" s="1705" t="s">
        <v>434</v>
      </c>
      <c r="H39" s="1705"/>
      <c r="I39" s="1705" t="s">
        <v>485</v>
      </c>
      <c r="J39" s="1705" t="s">
        <v>437</v>
      </c>
      <c r="K39" s="1705" t="s">
        <v>486</v>
      </c>
      <c r="L39" s="1705" t="s">
        <v>413</v>
      </c>
      <c r="Q39" s="717"/>
      <c r="R39" s="717"/>
      <c r="S39" s="2614"/>
      <c r="T39" s="2550"/>
      <c r="U39" s="643"/>
      <c r="V39" s="1693" t="s">
        <v>487</v>
      </c>
      <c r="W39" s="1563" t="s">
        <v>488</v>
      </c>
      <c r="X39" s="1563" t="s">
        <v>489</v>
      </c>
      <c r="Y39" s="1698" t="s">
        <v>441</v>
      </c>
      <c r="Z39" s="2611" t="s">
        <v>442</v>
      </c>
      <c r="AA39" s="2612"/>
      <c r="AB39" s="2620"/>
      <c r="AC39" s="1693" t="s">
        <v>487</v>
      </c>
      <c r="AD39" s="1563" t="s">
        <v>488</v>
      </c>
      <c r="AE39" s="1563" t="s">
        <v>489</v>
      </c>
      <c r="AF39" s="1698" t="s">
        <v>441</v>
      </c>
      <c r="AG39" s="2611" t="s">
        <v>442</v>
      </c>
      <c r="AH39" s="2612"/>
      <c r="AI39" s="2620"/>
      <c r="AJ39" s="2623"/>
      <c r="AK39" s="2468"/>
      <c r="AQ39" s="1496">
        <v>34</v>
      </c>
    </row>
    <row s="17832" customFormat="1" customHeight="1" ht="11.25" hidden="1">
      <c r="A40" s="1711"/>
      <c r="B40" s="1711"/>
      <c r="C40" s="1711"/>
      <c r="D40" s="1711"/>
      <c r="E40" s="1711"/>
      <c r="F40" s="1711"/>
      <c r="G40" s="1711"/>
      <c r="H40" s="1711"/>
      <c r="I40" s="1711"/>
      <c r="J40" s="1711"/>
      <c r="K40" s="1711"/>
      <c r="L40" s="1705"/>
      <c r="M40" s="1703"/>
      <c r="N40" s="1703"/>
      <c r="O40" s="1703"/>
      <c r="P40" s="1587"/>
      <c r="Q40" s="1588"/>
      <c r="R40" s="1595">
        <v>1</v>
      </c>
      <c r="S40" s="1618" t="s">
        <v>106</v>
      </c>
      <c r="T40" s="1596" t="s">
        <v>107</v>
      </c>
      <c r="U40" s="1586" t="str">
        <f>OFFSET(U40,0,-1)</f>
        <v>2</v>
      </c>
      <c r="V40" s="1694">
        <f>OFFSET(V40,0,-1)+1</f>
        <v>3</v>
      </c>
      <c r="W40" s="1694">
        <f>OFFSET(W40,0,-1)+1</f>
        <v>4</v>
      </c>
      <c r="X40" s="1694">
        <f>OFFSET(X40,0,-1)+1</f>
        <v>5</v>
      </c>
      <c r="Y40" s="1694">
        <f>OFFSET(Y40,0,-1)+1</f>
        <v>6</v>
      </c>
      <c r="Z40" s="2613">
        <f>OFFSET(Z40,0,-1)+1</f>
        <v>7</v>
      </c>
      <c r="AA40" s="2613"/>
      <c r="AB40" s="1694">
        <f>OFFSET(AB40,0,-2)+1</f>
        <v>8</v>
      </c>
      <c r="AC40" s="1694">
        <f>OFFSET(AC40,0,-1)+1</f>
        <v>9</v>
      </c>
      <c r="AD40" s="1694">
        <f>OFFSET(AD40,0,-1)+1</f>
        <v>10</v>
      </c>
      <c r="AE40" s="1694">
        <f>OFFSET(AE40,0,-1)+1</f>
        <v>11</v>
      </c>
      <c r="AF40" s="1694">
        <f>OFFSET(AF40,0,-1)+1</f>
        <v>12</v>
      </c>
      <c r="AG40" s="2613">
        <f>OFFSET(AG40,0,-1)+1</f>
        <v>13</v>
      </c>
      <c r="AH40" s="2613"/>
      <c r="AI40" s="1694">
        <f>OFFSET(AI40,0,-2)+1</f>
        <v>14</v>
      </c>
      <c r="AJ40" s="1586">
        <f>OFFSET(AJ40,0,-1)</f>
        <v>14</v>
      </c>
      <c r="AK40" s="1694">
        <f>OFFSET(AK40,0,-1)+1</f>
        <v>15</v>
      </c>
      <c r="AL40" s="852"/>
      <c r="AM40" s="852"/>
      <c r="AN40" s="852"/>
      <c r="AO40" s="852"/>
      <c r="AP40" s="852"/>
      <c r="AQ40" s="837">
        <v>0</v>
      </c>
    </row>
    <row customHeight="1" ht="24">
      <c r="A41" s="1704" t="s">
        <v>221</v>
      </c>
      <c r="B41" s="1704"/>
      <c r="C41" s="1704"/>
      <c r="D41" s="1704"/>
      <c r="E41" s="2599">
        <v>1</v>
      </c>
      <c r="F41" s="1704"/>
      <c r="G41" s="1704"/>
      <c r="H41" s="1704"/>
      <c r="I41" s="1704"/>
      <c r="J41" s="1704"/>
      <c r="K41" s="1704"/>
      <c r="L41" s="1705"/>
      <c r="M41" s="1706"/>
      <c r="N41" s="1706"/>
      <c r="O41" s="1706"/>
      <c r="P41" s="702"/>
      <c r="Q41" s="701"/>
      <c r="R41" s="696"/>
      <c r="S41" s="1699">
        <f>INDEX(PT_DIFFERENTIATION_NUM_NTAR,MATCH(A41,PT_DIFFERENTIATION_NTAR_ID,0))</f>
        <v>0</v>
      </c>
      <c r="T41" s="639" t="s">
        <v>120</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221</v>
      </c>
      <c r="B42" s="1704" t="s">
        <v>222</v>
      </c>
      <c r="C42" s="1704"/>
      <c r="D42" s="1704"/>
      <c r="E42" s="2600"/>
      <c r="F42" s="2599">
        <v>1</v>
      </c>
      <c r="G42" s="1704"/>
      <c r="H42" s="1704"/>
      <c r="I42" s="1704"/>
      <c r="J42" s="1704"/>
      <c r="K42" s="1704"/>
      <c r="L42" s="1705"/>
      <c r="M42" s="1706"/>
      <c r="N42" s="1706"/>
      <c r="O42" s="1706"/>
      <c r="P42" s="1697"/>
      <c r="Q42" s="693"/>
      <c r="R42" s="694"/>
      <c r="S42" s="1699" t="str">
        <f>INDEX(PT_DIFFERENTIATION_NUM_TER,MATCH(B42,PT_DIFFERENTIATION_TER_ID,0))</f>
        <v>.</v>
      </c>
      <c r="T42" s="649" t="s">
        <v>392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393</v>
      </c>
      <c r="AM42" s="841"/>
      <c r="AN42" s="841" t="str">
        <f>IF(T42="","",T42)</f>
        <v>Территория действия тарифа</v>
      </c>
      <c r="AO42" s="841"/>
      <c r="AP42" s="841"/>
      <c r="AQ42" s="1496">
        <v>23</v>
      </c>
    </row>
    <row customHeight="1" ht="24">
      <c r="A43" s="1704" t="s">
        <v>221</v>
      </c>
      <c r="B43" s="1704" t="s">
        <v>222</v>
      </c>
      <c r="C43" s="1704" t="s">
        <v>223</v>
      </c>
      <c r="D43" s="1704"/>
      <c r="E43" s="2600"/>
      <c r="F43" s="2600"/>
      <c r="G43" s="2599">
        <v>1</v>
      </c>
      <c r="H43" s="1704"/>
      <c r="I43" s="1704"/>
      <c r="J43" s="1704"/>
      <c r="K43" s="1704"/>
      <c r="L43" s="1705"/>
      <c r="M43" s="1706"/>
      <c r="N43" s="1706"/>
      <c r="O43" s="1706"/>
      <c r="P43" s="695"/>
      <c r="Q43" s="693"/>
      <c r="R43" s="694"/>
      <c r="S43" s="1699" t="str">
        <f>INDEX(PT_DIFFERENTIATION_NUM_CS,MATCH(C43,PT_DIFFERENTIATION_CS_ID,0))</f>
        <v>..</v>
      </c>
      <c r="T43" s="650" t="s">
        <v>476</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477</v>
      </c>
      <c r="AM43" s="841"/>
      <c r="AN43" s="841" t="str">
        <f>IF(T43="","",T43)</f>
        <v>Наименование централизованной системы холодного водоснабжения</v>
      </c>
      <c r="AO43" s="841"/>
      <c r="AP43" s="841"/>
      <c r="AQ43" s="1496">
        <v>23</v>
      </c>
    </row>
    <row customHeight="1" ht="24">
      <c r="A44" s="1704" t="s">
        <v>221</v>
      </c>
      <c r="B44" s="1704" t="s">
        <v>222</v>
      </c>
      <c r="C44" s="1704" t="s">
        <v>223</v>
      </c>
      <c r="D44" s="1704" t="s">
        <v>490</v>
      </c>
      <c r="E44" s="2600"/>
      <c r="F44" s="2600"/>
      <c r="G44" s="2600"/>
      <c r="H44" s="2600"/>
      <c r="I44" s="2597" t="str">
        <f>S43&amp;".1"</f>
        <v>...1</v>
      </c>
      <c r="J44" s="1704"/>
      <c r="K44" s="1704"/>
      <c r="L44" s="1705"/>
      <c r="P44" s="2598">
        <v>1</v>
      </c>
      <c r="Q44" s="1695"/>
      <c r="R44" s="697"/>
      <c r="S44" s="1699" t="str">
        <f>$I44</f>
        <v>...1</v>
      </c>
      <c r="T44" s="626" t="s">
        <v>478</v>
      </c>
      <c r="U44" s="641"/>
      <c r="V44" s="2691"/>
      <c r="W44" s="2692"/>
      <c r="X44" s="2692"/>
      <c r="Y44" s="2692"/>
      <c r="Z44" s="2692"/>
      <c r="AA44" s="2692"/>
      <c r="AB44" s="2693"/>
      <c r="AC44" s="2694"/>
      <c r="AD44" s="2695"/>
      <c r="AE44" s="2695"/>
      <c r="AF44" s="2695"/>
      <c r="AG44" s="2695"/>
      <c r="AH44" s="2695"/>
      <c r="AI44" s="2695"/>
      <c r="AJ44" s="2696"/>
      <c r="AK44" s="1599" t="s">
        <v>479</v>
      </c>
      <c r="AM44" s="841"/>
      <c r="AN44" s="841" t="str">
        <f>IF(T44="","",T44)</f>
        <v>Наименование признака дифференциации</v>
      </c>
      <c r="AO44" s="841"/>
      <c r="AP44" s="841"/>
      <c r="AQ44" s="1496">
        <v>23</v>
      </c>
    </row>
    <row customHeight="1" ht="24">
      <c r="A45" s="1704" t="s">
        <v>221</v>
      </c>
      <c r="B45" s="1704" t="s">
        <v>222</v>
      </c>
      <c r="C45" s="1704" t="s">
        <v>223</v>
      </c>
      <c r="D45" s="1704" t="s">
        <v>490</v>
      </c>
      <c r="E45" s="2600"/>
      <c r="F45" s="2600"/>
      <c r="G45" s="2600"/>
      <c r="H45" s="2600"/>
      <c r="I45" s="2627"/>
      <c r="J45" s="2597" t="str">
        <f>I44&amp;".1"</f>
        <v>...1.1</v>
      </c>
      <c r="K45" s="1704"/>
      <c r="L45" s="1705" t="s">
        <v>401</v>
      </c>
      <c r="P45" s="2598"/>
      <c r="Q45" s="2598">
        <v>1</v>
      </c>
      <c r="R45" s="698"/>
      <c r="S45" s="1699" t="str">
        <f>$J45</f>
        <v>...1.1</v>
      </c>
      <c r="T45" s="627" t="s">
        <v>402</v>
      </c>
      <c r="U45" s="641"/>
      <c r="V45" s="2586"/>
      <c r="W45" s="2587"/>
      <c r="X45" s="2587"/>
      <c r="Y45" s="2587"/>
      <c r="Z45" s="2587"/>
      <c r="AA45" s="2587"/>
      <c r="AB45" s="2588"/>
      <c r="AC45" s="2586"/>
      <c r="AD45" s="2587"/>
      <c r="AE45" s="2587"/>
      <c r="AF45" s="2587"/>
      <c r="AG45" s="2587"/>
      <c r="AH45" s="2587"/>
      <c r="AI45" s="2587"/>
      <c r="AJ45" s="2588"/>
      <c r="AK45" s="1648" t="s">
        <v>480</v>
      </c>
      <c r="AM45" s="841"/>
      <c r="AN45" s="841" t="str">
        <f>IF(T45="","",T45)</f>
        <v>Группа потребителей</v>
      </c>
      <c r="AO45" s="841"/>
      <c r="AP45" s="841"/>
      <c r="AQ45" s="1496">
        <v>23</v>
      </c>
    </row>
    <row customHeight="1" ht="24">
      <c r="A46" s="1704" t="s">
        <v>221</v>
      </c>
      <c r="B46" s="1704" t="s">
        <v>222</v>
      </c>
      <c r="C46" s="1704" t="s">
        <v>223</v>
      </c>
      <c r="D46" s="1704" t="s">
        <v>490</v>
      </c>
      <c r="E46" s="2600"/>
      <c r="F46" s="2600"/>
      <c r="G46" s="2600"/>
      <c r="H46" s="2600"/>
      <c r="I46" s="2627"/>
      <c r="J46" s="2627"/>
      <c r="K46" s="2597" t="str">
        <f>J45&amp;".1"</f>
        <v>...1.1.1</v>
      </c>
      <c r="L46" s="1705"/>
      <c r="P46" s="2598"/>
      <c r="Q46" s="2598"/>
      <c r="R46" s="698">
        <v>1</v>
      </c>
      <c r="S46" s="1699" t="str">
        <f>$K46</f>
        <v>...1.1.1</v>
      </c>
      <c r="T46" s="1778"/>
      <c r="U46" s="641"/>
      <c r="V46" s="1701"/>
      <c r="W46" s="1701"/>
      <c r="X46" s="1702"/>
      <c r="Y46" s="2608"/>
      <c r="Z46" s="2609" t="s">
        <v>65</v>
      </c>
      <c r="AA46" s="2608"/>
      <c r="AB46" s="2609" t="s">
        <v>65</v>
      </c>
      <c r="AC46" s="1092"/>
      <c r="AD46" s="1092"/>
      <c r="AE46" s="1598"/>
      <c r="AF46" s="2606"/>
      <c r="AG46" s="2448" t="s">
        <v>65</v>
      </c>
      <c r="AH46" s="2628"/>
      <c r="AI46" s="2448" t="s">
        <v>19</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221</v>
      </c>
      <c r="B47" s="1704" t="s">
        <v>222</v>
      </c>
      <c r="C47" s="1704" t="s">
        <v>223</v>
      </c>
      <c r="D47" s="1704" t="s">
        <v>490</v>
      </c>
      <c r="E47" s="2600"/>
      <c r="F47" s="2600"/>
      <c r="G47" s="2600"/>
      <c r="H47" s="2600"/>
      <c r="I47" s="2627"/>
      <c r="J47" s="2627"/>
      <c r="K47" s="2597"/>
      <c r="L47" s="1705"/>
      <c r="P47" s="2598"/>
      <c r="Q47" s="2598"/>
      <c r="R47" s="698"/>
      <c r="S47" s="1700"/>
      <c r="T47" s="641"/>
      <c r="U47" s="641"/>
      <c r="V47" s="1701"/>
      <c r="W47" s="1701"/>
      <c r="X47" s="669" t="str">
        <f>Y46&amp;"-"&amp;AA46</f>
        <v>-</v>
      </c>
      <c r="Y47" s="2609"/>
      <c r="Z47" s="2609"/>
      <c r="AA47" s="2609"/>
      <c r="AB47" s="2609"/>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221</v>
      </c>
      <c r="B48" s="1704" t="s">
        <v>222</v>
      </c>
      <c r="C48" s="1704" t="s">
        <v>223</v>
      </c>
      <c r="D48" s="1704" t="s">
        <v>490</v>
      </c>
      <c r="E48" s="2600"/>
      <c r="F48" s="2600"/>
      <c r="G48" s="2600"/>
      <c r="H48" s="2600"/>
      <c r="I48" s="2627"/>
      <c r="J48" s="2597"/>
      <c r="K48" s="1704"/>
      <c r="L48" s="1705"/>
      <c r="P48" s="2598"/>
      <c r="Q48" s="2598"/>
      <c r="R48" s="697"/>
      <c r="S48" s="1619"/>
      <c r="T48" s="628" t="s">
        <v>481</v>
      </c>
      <c r="U48" s="708"/>
      <c r="V48" s="708"/>
      <c r="W48" s="708"/>
      <c r="X48" s="708"/>
      <c r="Y48" s="708"/>
      <c r="Z48" s="708"/>
      <c r="AA48" s="708"/>
      <c r="AB48" s="708"/>
      <c r="AC48" s="708"/>
      <c r="AD48" s="708"/>
      <c r="AE48" s="708"/>
      <c r="AF48" s="708"/>
      <c r="AG48" s="708"/>
      <c r="AH48" s="708"/>
      <c r="AI48" s="708"/>
      <c r="AJ48" s="708"/>
      <c r="AK48" s="1599" t="s">
        <v>482</v>
      </c>
      <c r="AM48" s="841"/>
      <c r="AN48" s="841" t="str">
        <f>IF(T48="","",T48)</f>
        <v>Добавить значение признака дифференциации</v>
      </c>
      <c r="AO48" s="841"/>
      <c r="AP48" s="841"/>
      <c r="AQ48" s="1496">
        <v>20</v>
      </c>
    </row>
    <row customHeight="1" ht="22.049999999999997">
      <c r="A49" s="1704" t="s">
        <v>221</v>
      </c>
      <c r="B49" s="1704" t="s">
        <v>222</v>
      </c>
      <c r="C49" s="1704" t="s">
        <v>223</v>
      </c>
      <c r="D49" s="1704" t="s">
        <v>490</v>
      </c>
      <c r="E49" s="2600"/>
      <c r="F49" s="2600"/>
      <c r="G49" s="2600"/>
      <c r="H49" s="2600"/>
      <c r="I49" s="2597"/>
      <c r="J49" s="1704"/>
      <c r="K49" s="1704"/>
      <c r="L49" s="1705"/>
      <c r="P49" s="2598"/>
      <c r="Q49" s="1695"/>
      <c r="R49" s="697"/>
      <c r="S49" s="1619"/>
      <c r="T49" s="706" t="s">
        <v>407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221</v>
      </c>
      <c r="B50" s="1704" t="s">
        <v>222</v>
      </c>
      <c r="C50" s="1704" t="s">
        <v>223</v>
      </c>
      <c r="D50" s="1704" t="s">
        <v>490</v>
      </c>
      <c r="E50" s="2600"/>
      <c r="F50" s="2600"/>
      <c r="G50" s="2600"/>
      <c r="H50" s="2599"/>
      <c r="I50" s="1704"/>
      <c r="J50" s="1704"/>
      <c r="K50" s="1704"/>
      <c r="L50" s="1705"/>
      <c r="M50" s="1706"/>
      <c r="N50" s="1706"/>
      <c r="O50" s="878"/>
      <c r="P50" s="701"/>
      <c r="Q50" s="716"/>
      <c r="R50" s="696"/>
      <c r="S50" s="1619"/>
      <c r="T50" s="713" t="s">
        <v>483</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17316" customFormat="1" customHeight="1" ht="0">
      <c r="A51" s="1684" t="s">
        <v>221</v>
      </c>
      <c r="B51" s="1684" t="s">
        <v>222</v>
      </c>
      <c r="C51" s="1655"/>
      <c r="D51" s="1655"/>
      <c r="E51" s="2600"/>
      <c r="F51" s="2599"/>
      <c r="G51" s="1655"/>
      <c r="H51" s="1655"/>
      <c r="I51" s="1655"/>
      <c r="J51" s="1655"/>
      <c r="K51" s="1655"/>
      <c r="L51" s="1767"/>
      <c r="M51" s="1662"/>
      <c r="N51" s="1662"/>
      <c r="P51" s="1657"/>
      <c r="Q51" s="1658"/>
      <c r="R51" s="1657"/>
      <c r="S51" s="1663"/>
      <c r="T51" s="1666" t="s">
        <v>410</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17316" customFormat="1" customHeight="1" ht="0">
      <c r="A52" s="1684" t="s">
        <v>221</v>
      </c>
      <c r="B52" s="1684"/>
      <c r="C52" s="1684"/>
      <c r="D52" s="1684"/>
      <c r="E52" s="2599"/>
      <c r="F52" s="1684"/>
      <c r="G52" s="1684"/>
      <c r="H52" s="1684"/>
      <c r="I52" s="1684"/>
      <c r="J52" s="1684"/>
      <c r="K52" s="1684"/>
      <c r="L52" s="1687"/>
      <c r="M52" s="1662"/>
      <c r="N52" s="1662"/>
      <c r="O52" s="859"/>
      <c r="P52" s="721"/>
      <c r="Q52" s="1685"/>
      <c r="R52" s="721"/>
      <c r="S52" s="1663"/>
      <c r="T52" s="1666" t="s">
        <v>411</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17316" customFormat="1" customHeight="1" ht="0">
      <c r="A53" s="1655"/>
      <c r="B53" s="1655"/>
      <c r="C53" s="1655"/>
      <c r="D53" s="1655"/>
      <c r="E53" s="1684"/>
      <c r="F53" s="1655"/>
      <c r="G53" s="1655"/>
      <c r="H53" s="1655"/>
      <c r="I53" s="1655"/>
      <c r="J53" s="1655"/>
      <c r="K53" s="1655"/>
      <c r="L53" s="1767"/>
      <c r="M53" s="1662"/>
      <c r="N53" s="1662"/>
      <c r="P53" s="1657"/>
      <c r="Q53" s="1658"/>
      <c r="R53" s="1657"/>
      <c r="S53" s="1663"/>
      <c r="T53" s="1666" t="s">
        <v>443</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82</v>
      </c>
      <c r="B58" s="1501">
        <v>0</v>
      </c>
      <c r="C58" s="1501">
        <v>0</v>
      </c>
      <c r="D58" s="1501">
        <v>0</v>
      </c>
      <c r="E58" s="1501">
        <v>0</v>
      </c>
      <c r="F58" s="1501">
        <v>0</v>
      </c>
      <c r="G58" s="1501">
        <v>0</v>
      </c>
      <c r="H58" s="1501">
        <v>0</v>
      </c>
      <c r="I58" s="1501">
        <v>0</v>
      </c>
      <c r="J58" s="1501">
        <v>0</v>
      </c>
      <c r="K58" s="1501">
        <v>0</v>
      </c>
      <c r="L58" s="1762">
        <v>0</v>
      </c>
      <c r="M58" s="1703">
        <v>0</v>
      </c>
      <c r="N58" s="1703">
        <v>0</v>
      </c>
      <c r="O58" s="1703">
        <v>0</v>
      </c>
      <c r="P58" s="1692">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8B7D7A-29B3-0EF7-7858-226E27F251F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4.140625" hidden="1" customWidth="1"/>
    <col min="10" max="10" style="17315" width="9.8515625" hidden="1" customWidth="1"/>
    <col min="11" max="11" style="17315" width="14.71093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4" style="17239" width="24.7109375" hidden="1" customWidth="1"/>
    <col min="25" max="25" style="17239" width="11.7109375" hidden="1" customWidth="1"/>
    <col min="26" max="26" style="17239" width="3.7109375" hidden="1" customWidth="1"/>
    <col min="27" max="27" style="17239" width="11.7109375" hidden="1" customWidth="1"/>
    <col min="28" max="28" style="17239" width="8.57421875" hidden="1" customWidth="1"/>
    <col min="29" max="29" style="17239" width="24.7109375" customWidth="1"/>
    <col min="30" max="31" style="17239" width="24.00390625" customWidth="1"/>
    <col min="32" max="32" style="17239" width="11.00390625" customWidth="1"/>
    <col min="33" max="33" style="17239" width="3.7109375" customWidth="1"/>
    <col min="34" max="34" style="17239" width="11.00390625" customWidth="1"/>
    <col min="35" max="35" style="17239" width="8.57421875" hidden="1" customWidth="1"/>
    <col min="36" max="36" style="17239" width="4.00390625" customWidth="1"/>
    <col min="37" max="37" style="17239" width="115.00390625" customWidth="1"/>
    <col min="38" max="42" style="17316" width="10.00390625" customWidth="1"/>
    <col min="43" max="43" style="17239"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798">
        <f>INDEX(PT_DIFFERENTIATION_NUM_NTAR,MATCH(A2,PT_DIFFERENTIATION_NTAR_ID,0))</f>
      </c>
      <c r="T2" s="639" t="s">
        <v>120</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794"/>
      <c r="Q3" s="693"/>
      <c r="R3" s="694"/>
      <c r="S3" s="1798">
        <f>INDEX(PT_DIFFERENTIATION_NUM_TER,MATCH(B3,PT_DIFFERENTIATION_TER_ID,0))</f>
      </c>
      <c r="T3" s="649" t="s">
        <v>392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393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798">
        <f>INDEX(PT_DIFFERENTIATION_NUM_CS,MATCH(C4,PT_DIFFERENTIATION_CS_ID,0))</f>
      </c>
      <c r="T4" s="650" t="s">
        <v>476</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477</v>
      </c>
      <c r="AM4" s="841"/>
      <c r="AN4" s="841" t="str">
        <f>IF(T4="","",T4)</f>
        <v>Наименование централизованной системы холодного водоснабжения</v>
      </c>
      <c r="AO4" s="841"/>
      <c r="AP4" s="841"/>
      <c r="AQ4" s="1496">
        <v>0</v>
      </c>
    </row>
    <row customHeight="1" ht="23.25" hidden="1">
      <c r="A5" s="1704"/>
      <c r="B5" s="1704"/>
      <c r="C5" s="1704"/>
      <c r="D5" s="1704"/>
      <c r="E5" s="2600"/>
      <c r="F5" s="2600"/>
      <c r="G5" s="2600"/>
      <c r="H5" s="2600"/>
      <c r="I5" s="2597">
        <f>S4&amp;".1"</f>
      </c>
      <c r="J5" s="1704"/>
      <c r="K5" s="1704"/>
      <c r="L5" s="1705"/>
      <c r="P5" s="2598">
        <v>1</v>
      </c>
      <c r="Q5" s="1791"/>
      <c r="R5" s="697"/>
      <c r="S5" s="1798">
        <f>$I5</f>
      </c>
      <c r="T5" s="626" t="s">
        <v>478</v>
      </c>
      <c r="U5" s="641"/>
      <c r="V5" s="2691"/>
      <c r="W5" s="2692"/>
      <c r="X5" s="2692"/>
      <c r="Y5" s="2692"/>
      <c r="Z5" s="2692"/>
      <c r="AA5" s="2692"/>
      <c r="AB5" s="2693"/>
      <c r="AC5" s="2694"/>
      <c r="AD5" s="2695"/>
      <c r="AE5" s="2695"/>
      <c r="AF5" s="2695"/>
      <c r="AG5" s="2695"/>
      <c r="AH5" s="2695"/>
      <c r="AI5" s="2695"/>
      <c r="AJ5" s="2696"/>
      <c r="AK5" s="1599" t="s">
        <v>479</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401</v>
      </c>
      <c r="P6" s="2598"/>
      <c r="Q6" s="2598">
        <v>1</v>
      </c>
      <c r="R6" s="698"/>
      <c r="S6" s="1798">
        <f>$J6</f>
      </c>
      <c r="T6" s="627" t="s">
        <v>402</v>
      </c>
      <c r="U6" s="641"/>
      <c r="V6" s="2586"/>
      <c r="W6" s="2587"/>
      <c r="X6" s="2587"/>
      <c r="Y6" s="2587"/>
      <c r="Z6" s="2587"/>
      <c r="AA6" s="2587"/>
      <c r="AB6" s="2588"/>
      <c r="AC6" s="2586"/>
      <c r="AD6" s="2587"/>
      <c r="AE6" s="2587"/>
      <c r="AF6" s="2587"/>
      <c r="AG6" s="2587"/>
      <c r="AH6" s="2587"/>
      <c r="AI6" s="2587"/>
      <c r="AJ6" s="2588"/>
      <c r="AK6" s="1648" t="s">
        <v>480</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798">
        <f>$K7</f>
      </c>
      <c r="T7" s="1778"/>
      <c r="U7" s="641"/>
      <c r="V7" s="1092"/>
      <c r="W7" s="1092"/>
      <c r="X7" s="1598"/>
      <c r="Y7" s="2606"/>
      <c r="Z7" s="2448" t="s">
        <v>65</v>
      </c>
      <c r="AA7" s="2606"/>
      <c r="AB7" s="2448" t="s">
        <v>65</v>
      </c>
      <c r="AC7" s="1092"/>
      <c r="AD7" s="1092"/>
      <c r="AE7" s="1598"/>
      <c r="AF7" s="2606"/>
      <c r="AG7" s="2448" t="s">
        <v>65</v>
      </c>
      <c r="AH7" s="2628"/>
      <c r="AI7" s="2448" t="s">
        <v>65</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797"/>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481</v>
      </c>
      <c r="U9" s="708"/>
      <c r="V9" s="708"/>
      <c r="W9" s="708"/>
      <c r="X9" s="708"/>
      <c r="Y9" s="708"/>
      <c r="Z9" s="708"/>
      <c r="AA9" s="708"/>
      <c r="AB9" s="708"/>
      <c r="AC9" s="708"/>
      <c r="AD9" s="708"/>
      <c r="AE9" s="708"/>
      <c r="AF9" s="708"/>
      <c r="AG9" s="708"/>
      <c r="AH9" s="708"/>
      <c r="AI9" s="708"/>
      <c r="AJ9" s="708"/>
      <c r="AK9" s="1599" t="s">
        <v>482</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791"/>
      <c r="R10" s="697"/>
      <c r="S10" s="1619"/>
      <c r="T10" s="706" t="s">
        <v>407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483</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17316" customFormat="1" customHeight="1" ht="14.25" hidden="1">
      <c r="A12" s="1684"/>
      <c r="B12" s="1684"/>
      <c r="C12" s="1655"/>
      <c r="D12" s="1655"/>
      <c r="E12" s="2600"/>
      <c r="F12" s="2599"/>
      <c r="G12" s="1655"/>
      <c r="H12" s="1655"/>
      <c r="I12" s="1655"/>
      <c r="J12" s="1655"/>
      <c r="K12" s="1655"/>
      <c r="L12" s="1799"/>
      <c r="M12" s="1662"/>
      <c r="N12" s="1662"/>
      <c r="P12" s="1657"/>
      <c r="Q12" s="1658"/>
      <c r="R12" s="1657"/>
      <c r="S12" s="1663"/>
      <c r="T12" s="1666" t="s">
        <v>410</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1731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411</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65</v>
      </c>
      <c r="AH15" s="2608"/>
      <c r="AI15" s="2609" t="s">
        <v>65</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17315" customFormat="1" customHeight="1" ht="22.5" hidden="1">
      <c r="L18" s="1788"/>
      <c r="M18" s="1703"/>
      <c r="N18" s="1703"/>
      <c r="O18" s="1708" t="s">
        <v>412</v>
      </c>
      <c r="P18" s="1703"/>
      <c r="Q18" s="1712"/>
      <c r="R18" s="1712"/>
      <c r="S18" s="1070"/>
      <c r="Y18" s="1708"/>
      <c r="AA18" s="1708"/>
      <c r="AB18" s="1707"/>
      <c r="AF18" s="1708"/>
      <c r="AH18" s="1708"/>
      <c r="AI18" s="1707"/>
      <c r="AL18" s="852"/>
      <c r="AM18" s="852"/>
      <c r="AN18" s="852"/>
      <c r="AO18" s="852"/>
      <c r="AP18" s="852"/>
      <c r="AQ18" s="1501">
        <v>0</v>
      </c>
    </row>
    <row s="17315" customFormat="1" customHeight="1" ht="14.25" hidden="1">
      <c r="L19" s="1788"/>
      <c r="M19" s="1703"/>
      <c r="N19" s="1703"/>
      <c r="O19" s="1703"/>
      <c r="P19" s="1703"/>
      <c r="Q19" s="1712"/>
      <c r="R19" s="1712"/>
      <c r="S19" s="1070"/>
      <c r="AB19" s="1707"/>
      <c r="AI19" s="1707"/>
      <c r="AL19" s="852"/>
      <c r="AM19" s="852"/>
      <c r="AN19" s="852"/>
      <c r="AO19" s="852"/>
      <c r="AP19" s="852"/>
      <c r="AQ19" s="1501">
        <v>0</v>
      </c>
    </row>
    <row s="17315" customFormat="1" customHeight="1" ht="12" hidden="1">
      <c r="L20" s="1788"/>
      <c r="M20" s="1703"/>
      <c r="N20" s="1703"/>
      <c r="O20" s="1705" t="s">
        <v>413</v>
      </c>
      <c r="P20" s="1703"/>
      <c r="Q20" s="1783"/>
      <c r="R20" s="1783"/>
      <c r="S20" s="1070"/>
      <c r="T20" s="1501" t="s">
        <v>414</v>
      </c>
      <c r="Z20" s="527" t="s">
        <v>415</v>
      </c>
      <c r="AB20" s="527" t="s">
        <v>416</v>
      </c>
      <c r="AC20" s="1501" t="s">
        <v>414</v>
      </c>
      <c r="AG20" s="527" t="s">
        <v>417</v>
      </c>
      <c r="AI20" s="527" t="s">
        <v>416</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17442" customFormat="1" customHeight="1" ht="25.5" hidden="1">
      <c r="A27" s="1709"/>
      <c r="B27" s="1709"/>
      <c r="C27" s="1709"/>
      <c r="D27" s="1709"/>
      <c r="E27" s="1709"/>
      <c r="F27" s="1709"/>
      <c r="G27" s="1709"/>
      <c r="H27" s="1709"/>
      <c r="I27" s="1709"/>
      <c r="J27" s="1709"/>
      <c r="K27" s="1709"/>
      <c r="L27" s="1710"/>
      <c r="M27" s="1709"/>
      <c r="N27" s="1709"/>
      <c r="O27" s="1709"/>
      <c r="S27" s="2591" t="s">
        <v>41</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17442" customFormat="1" customHeight="1" ht="18.75" hidden="1">
      <c r="A28" s="1709"/>
      <c r="B28" s="1709"/>
      <c r="C28" s="1709"/>
      <c r="D28" s="1709"/>
      <c r="E28" s="1709"/>
      <c r="F28" s="1709"/>
      <c r="G28" s="1709"/>
      <c r="H28" s="1709"/>
      <c r="I28" s="1709"/>
      <c r="J28" s="1709"/>
      <c r="K28" s="1709"/>
      <c r="L28" s="1710"/>
      <c r="M28" s="1709"/>
      <c r="N28" s="1709"/>
      <c r="O28" s="1709"/>
      <c r="S28" s="2591" t="s">
        <v>418</v>
      </c>
      <c r="T28" s="2591"/>
      <c r="U28" s="1713"/>
      <c r="V28" s="2605" t="str">
        <f>IF(TITLE_DATE_PR_CHANGE="",IF(TITLE_DATE_PR="","",TITLE_DATE_PR),TITLE_DATE_PR_CHANGE)</f>
        <v/>
      </c>
      <c r="W28" s="2605"/>
      <c r="X28" s="2605"/>
      <c r="Y28" s="2605"/>
      <c r="Z28" s="2605"/>
      <c r="AA28" s="2605"/>
      <c r="AB28" s="667"/>
      <c r="AC28" s="2605" t="str">
        <f>IF(TITLE_DATE_PR_CHANGE="",IF(TITLE_DATE_PR="","",TITLE_DATE_PR),TITLE_DATE_PR_CHANGE)</f>
        <v/>
      </c>
      <c r="AD28" s="2605"/>
      <c r="AE28" s="2605"/>
      <c r="AF28" s="2605"/>
      <c r="AG28" s="2605"/>
      <c r="AH28" s="2605"/>
      <c r="AI28" s="667"/>
      <c r="AJ28" s="667"/>
      <c r="AK28" s="621"/>
      <c r="AL28" s="709"/>
      <c r="AM28" s="709"/>
      <c r="AN28" s="709"/>
      <c r="AO28" s="709"/>
      <c r="AP28" s="709"/>
      <c r="AQ28" s="759">
        <v>0</v>
      </c>
    </row>
    <row s="17442" customFormat="1" customHeight="1" ht="18.75" hidden="1">
      <c r="A29" s="1709"/>
      <c r="B29" s="1709"/>
      <c r="C29" s="1709"/>
      <c r="D29" s="1709"/>
      <c r="E29" s="1709"/>
      <c r="F29" s="1709"/>
      <c r="G29" s="1709"/>
      <c r="H29" s="1709"/>
      <c r="I29" s="1709"/>
      <c r="J29" s="1709"/>
      <c r="K29" s="1709"/>
      <c r="L29" s="1710"/>
      <c r="M29" s="1709"/>
      <c r="N29" s="1709"/>
      <c r="O29" s="1709"/>
      <c r="S29" s="2591" t="s">
        <v>419</v>
      </c>
      <c r="T29" s="2591"/>
      <c r="U29" s="1713"/>
      <c r="V29" s="2592" t="str">
        <f>IF(TITLE_NUMBER_PR_CHANGE="",IF(TITLE_NUMBER_PR="","",TITLE_NUMBER_PR),TITLE_NUMBER_PR_CHANGE)</f>
        <v/>
      </c>
      <c r="W29" s="2592"/>
      <c r="X29" s="2592"/>
      <c r="Y29" s="2592"/>
      <c r="Z29" s="2592"/>
      <c r="AA29" s="2592"/>
      <c r="AB29" s="667"/>
      <c r="AC29" s="2592" t="str">
        <f>IF(TITLE_NUMBER_PR_CHANGE="",IF(TITLE_NUMBER_PR="","",TITLE_NUMBER_PR),TITLE_NUMBER_PR_CHANGE)</f>
        <v/>
      </c>
      <c r="AD29" s="2592"/>
      <c r="AE29" s="2592"/>
      <c r="AF29" s="2592"/>
      <c r="AG29" s="2592"/>
      <c r="AH29" s="2592"/>
      <c r="AI29" s="667"/>
      <c r="AJ29" s="667"/>
      <c r="AK29" s="621"/>
      <c r="AL29" s="709"/>
      <c r="AM29" s="709"/>
      <c r="AN29" s="709"/>
      <c r="AO29" s="709"/>
      <c r="AP29" s="709"/>
      <c r="AQ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42</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hidden="1">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17442" customFormat="1" customHeight="1" ht="18.75" hidden="1">
      <c r="A32" s="1709"/>
      <c r="B32" s="1709"/>
      <c r="C32" s="1709"/>
      <c r="D32" s="1709"/>
      <c r="E32" s="1709"/>
      <c r="F32" s="1709"/>
      <c r="G32" s="1709"/>
      <c r="H32" s="1709"/>
      <c r="I32" s="1709"/>
      <c r="J32" s="1709"/>
      <c r="K32" s="1709"/>
      <c r="L32" s="1710"/>
      <c r="M32" s="1709"/>
      <c r="N32" s="1709"/>
      <c r="O32" s="1709"/>
      <c r="S32" s="2591" t="s">
        <v>420</v>
      </c>
      <c r="T32" s="2591"/>
      <c r="U32" s="1713"/>
      <c r="V32" s="2605" t="str">
        <f>IF(TITLE_DATE_PR_CHANGE="",IF(TITLE_DATE_PR="","",TITLE_DATE_PR),TITLE_DATE_PR_CHANGE)</f>
        <v/>
      </c>
      <c r="W32" s="2605"/>
      <c r="X32" s="2605"/>
      <c r="Y32" s="2605"/>
      <c r="Z32" s="2605"/>
      <c r="AA32" s="2605"/>
      <c r="AB32" s="667"/>
      <c r="AC32" s="2605" t="str">
        <f>IF(TITLE_DATE_PR_CHANGE="",IF(TITLE_DATE_PR="","",TITLE_DATE_PR),TITLE_DATE_PR_CHANGE)</f>
        <v/>
      </c>
      <c r="AD32" s="2605"/>
      <c r="AE32" s="2605"/>
      <c r="AF32" s="2605"/>
      <c r="AG32" s="2605"/>
      <c r="AH32" s="2605"/>
      <c r="AI32" s="667"/>
      <c r="AJ32" s="667"/>
      <c r="AK32" s="621"/>
      <c r="AL32" s="709"/>
      <c r="AM32" s="709"/>
      <c r="AN32" s="709"/>
      <c r="AO32" s="709"/>
      <c r="AP32" s="709"/>
      <c r="AQ32" s="759">
        <v>0</v>
      </c>
    </row>
    <row s="17442" customFormat="1" customHeight="1" ht="18.75" hidden="1">
      <c r="A33" s="1709"/>
      <c r="B33" s="1709"/>
      <c r="C33" s="1709"/>
      <c r="D33" s="1709"/>
      <c r="E33" s="1709"/>
      <c r="F33" s="1709"/>
      <c r="G33" s="1709"/>
      <c r="H33" s="1709"/>
      <c r="I33" s="1709"/>
      <c r="J33" s="1709"/>
      <c r="K33" s="1709"/>
      <c r="L33" s="1710"/>
      <c r="M33" s="1709"/>
      <c r="N33" s="1709"/>
      <c r="O33" s="1709"/>
      <c r="S33" s="2591" t="s">
        <v>421</v>
      </c>
      <c r="T33" s="2591"/>
      <c r="U33" s="1713"/>
      <c r="V33" s="2592" t="str">
        <f>IF(TITLE_NUMBER_PR_CHANGE="",IF(TITLE_NUMBER_PR="","",TITLE_NUMBER_PR),TITLE_NUMBER_PR_CHANGE)</f>
        <v/>
      </c>
      <c r="W33" s="2592"/>
      <c r="X33" s="2592"/>
      <c r="Y33" s="2592"/>
      <c r="Z33" s="2592"/>
      <c r="AA33" s="2592"/>
      <c r="AB33" s="667"/>
      <c r="AC33" s="2592" t="str">
        <f>IF(TITLE_NUMBER_PR_CHANGE="",IF(TITLE_NUMBER_PR="","",TITLE_NUMBER_PR),TITLE_NUMBER_PR_CHANGE)</f>
        <v/>
      </c>
      <c r="AD33" s="2592"/>
      <c r="AE33" s="2592"/>
      <c r="AF33" s="2592"/>
      <c r="AG33" s="2592"/>
      <c r="AH33" s="2592"/>
      <c r="AI33" s="667"/>
      <c r="AJ33" s="667"/>
      <c r="AK33" s="621"/>
      <c r="AL33" s="709"/>
      <c r="AM33" s="709"/>
      <c r="AN33" s="709"/>
      <c r="AO33" s="709"/>
      <c r="AP33" s="709"/>
      <c r="AQ33" s="759">
        <v>0</v>
      </c>
    </row>
    <row s="17442" customFormat="1" customHeight="1" ht="1.05">
      <c r="A34" s="1709"/>
      <c r="B34" s="1709"/>
      <c r="C34" s="1709"/>
      <c r="D34" s="1709"/>
      <c r="E34" s="1709"/>
      <c r="F34" s="1709"/>
      <c r="G34" s="1709"/>
      <c r="H34" s="1709"/>
      <c r="I34" s="1709"/>
      <c r="J34" s="1709"/>
      <c r="K34" s="1709"/>
      <c r="L34" s="1710"/>
      <c r="M34" s="1709"/>
      <c r="N34" s="1709"/>
      <c r="O34" s="1709"/>
      <c r="S34" s="664"/>
      <c r="T34" s="664"/>
      <c r="U34" s="1795"/>
      <c r="V34" s="667"/>
      <c r="W34" s="667"/>
      <c r="X34" s="667"/>
      <c r="Y34" s="667"/>
      <c r="Z34" s="667"/>
      <c r="AA34" s="667"/>
      <c r="AB34" s="619" t="s">
        <v>422</v>
      </c>
      <c r="AC34" s="667"/>
      <c r="AD34" s="667"/>
      <c r="AE34" s="667"/>
      <c r="AF34" s="667"/>
      <c r="AG34" s="667"/>
      <c r="AH34" s="667"/>
      <c r="AI34" s="619" t="s">
        <v>422</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295</v>
      </c>
      <c r="T36" s="2468"/>
      <c r="U36" s="2468"/>
      <c r="V36" s="2468"/>
      <c r="W36" s="2468"/>
      <c r="X36" s="2468"/>
      <c r="Y36" s="2468"/>
      <c r="Z36" s="2468"/>
      <c r="AA36" s="2468"/>
      <c r="AB36" s="2468"/>
      <c r="AC36" s="2468"/>
      <c r="AD36" s="2468"/>
      <c r="AE36" s="2468"/>
      <c r="AF36" s="2468"/>
      <c r="AG36" s="2468"/>
      <c r="AH36" s="2468"/>
      <c r="AI36" s="2468"/>
      <c r="AJ36" s="2468"/>
      <c r="AK36" s="2468" t="s">
        <v>296</v>
      </c>
      <c r="AQ36" s="1496">
        <v>14</v>
      </c>
    </row>
    <row customHeight="1" ht="14.699999999999998">
      <c r="Q37" s="717"/>
      <c r="R37" s="717"/>
      <c r="S37" s="2614" t="s">
        <v>88</v>
      </c>
      <c r="T37" s="2550" t="s">
        <v>423</v>
      </c>
      <c r="U37" s="642"/>
      <c r="V37" s="2615" t="s">
        <v>424</v>
      </c>
      <c r="W37" s="2616"/>
      <c r="X37" s="2616"/>
      <c r="Y37" s="2616"/>
      <c r="Z37" s="2616"/>
      <c r="AA37" s="2617"/>
      <c r="AB37" s="2618" t="s">
        <v>425</v>
      </c>
      <c r="AC37" s="2615" t="s">
        <v>424</v>
      </c>
      <c r="AD37" s="2616"/>
      <c r="AE37" s="2616"/>
      <c r="AF37" s="2616"/>
      <c r="AG37" s="2616"/>
      <c r="AH37" s="2617"/>
      <c r="AI37" s="2618" t="s">
        <v>426</v>
      </c>
      <c r="AJ37" s="2621" t="s">
        <v>427</v>
      </c>
      <c r="AK37" s="2468"/>
      <c r="AQ37" s="1496">
        <v>14</v>
      </c>
    </row>
    <row customHeight="1" ht="35.699999999999996">
      <c r="Q38" s="717"/>
      <c r="R38" s="717"/>
      <c r="S38" s="2614"/>
      <c r="T38" s="2550"/>
      <c r="U38" s="1372"/>
      <c r="V38" s="1793" t="s">
        <v>484</v>
      </c>
      <c r="W38" s="2603" t="s">
        <v>430</v>
      </c>
      <c r="X38" s="2604"/>
      <c r="Y38" s="2603" t="s">
        <v>431</v>
      </c>
      <c r="Z38" s="2610"/>
      <c r="AA38" s="2604"/>
      <c r="AB38" s="2619"/>
      <c r="AC38" s="1793" t="s">
        <v>484</v>
      </c>
      <c r="AD38" s="2603" t="s">
        <v>430</v>
      </c>
      <c r="AE38" s="2604"/>
      <c r="AF38" s="2603" t="s">
        <v>431</v>
      </c>
      <c r="AG38" s="2610"/>
      <c r="AH38" s="2604"/>
      <c r="AI38" s="2619"/>
      <c r="AJ38" s="2622"/>
      <c r="AK38" s="2468"/>
      <c r="AQ38" s="1496">
        <v>34</v>
      </c>
    </row>
    <row customHeight="1" ht="35.699999999999996">
      <c r="A39" s="1711"/>
      <c r="B39" s="1711" t="s">
        <v>132</v>
      </c>
      <c r="C39" s="1711" t="s">
        <v>133</v>
      </c>
      <c r="D39" s="1711" t="s">
        <v>134</v>
      </c>
      <c r="E39" s="1705" t="s">
        <v>432</v>
      </c>
      <c r="F39" s="1705" t="s">
        <v>433</v>
      </c>
      <c r="G39" s="1705" t="s">
        <v>434</v>
      </c>
      <c r="H39" s="1705"/>
      <c r="I39" s="1705" t="s">
        <v>485</v>
      </c>
      <c r="J39" s="1705" t="s">
        <v>437</v>
      </c>
      <c r="K39" s="1705" t="s">
        <v>486</v>
      </c>
      <c r="L39" s="1705" t="s">
        <v>413</v>
      </c>
      <c r="Q39" s="717"/>
      <c r="R39" s="717"/>
      <c r="S39" s="2614"/>
      <c r="T39" s="2550"/>
      <c r="U39" s="643"/>
      <c r="V39" s="1793" t="s">
        <v>487</v>
      </c>
      <c r="W39" s="1563" t="s">
        <v>488</v>
      </c>
      <c r="X39" s="1563" t="s">
        <v>489</v>
      </c>
      <c r="Y39" s="1796" t="s">
        <v>441</v>
      </c>
      <c r="Z39" s="2611" t="s">
        <v>442</v>
      </c>
      <c r="AA39" s="2612"/>
      <c r="AB39" s="2620"/>
      <c r="AC39" s="1793" t="s">
        <v>487</v>
      </c>
      <c r="AD39" s="1563" t="s">
        <v>488</v>
      </c>
      <c r="AE39" s="1563" t="s">
        <v>489</v>
      </c>
      <c r="AF39" s="1796" t="s">
        <v>441</v>
      </c>
      <c r="AG39" s="2611" t="s">
        <v>442</v>
      </c>
      <c r="AH39" s="2612"/>
      <c r="AI39" s="2620"/>
      <c r="AJ39" s="2623"/>
      <c r="AK39" s="2468"/>
      <c r="AQ39" s="1496">
        <v>34</v>
      </c>
    </row>
    <row s="17832" customFormat="1" customHeight="1" ht="0">
      <c r="A40" s="1711"/>
      <c r="B40" s="1711"/>
      <c r="C40" s="1711"/>
      <c r="D40" s="1711"/>
      <c r="E40" s="1711"/>
      <c r="F40" s="1711"/>
      <c r="G40" s="1711"/>
      <c r="H40" s="1711"/>
      <c r="I40" s="1711"/>
      <c r="J40" s="1711"/>
      <c r="K40" s="1711"/>
      <c r="L40" s="1705"/>
      <c r="M40" s="1703"/>
      <c r="N40" s="1703"/>
      <c r="O40" s="1703"/>
      <c r="P40" s="1587"/>
      <c r="Q40" s="1588"/>
      <c r="R40" s="1595">
        <v>1</v>
      </c>
      <c r="S40" s="1618" t="s">
        <v>106</v>
      </c>
      <c r="T40" s="1596" t="s">
        <v>107</v>
      </c>
      <c r="U40" s="1586" t="str">
        <f>OFFSET(U40,0,-1)</f>
        <v>2</v>
      </c>
      <c r="V40" s="1792">
        <f>OFFSET(V40,0,-1)+1</f>
        <v>3</v>
      </c>
      <c r="W40" s="1792">
        <f>OFFSET(W40,0,-1)+1</f>
        <v>4</v>
      </c>
      <c r="X40" s="1792">
        <f>OFFSET(X40,0,-1)+1</f>
        <v>5</v>
      </c>
      <c r="Y40" s="1792">
        <f>OFFSET(Y40,0,-1)+1</f>
        <v>6</v>
      </c>
      <c r="Z40" s="2613">
        <f>OFFSET(Z40,0,-1)+1</f>
        <v>7</v>
      </c>
      <c r="AA40" s="2613"/>
      <c r="AB40" s="1792">
        <f>OFFSET(AB40,0,-2)+1</f>
        <v>8</v>
      </c>
      <c r="AC40" s="1792">
        <f>OFFSET(AC40,0,-1)+1</f>
        <v>9</v>
      </c>
      <c r="AD40" s="1792">
        <f>OFFSET(AD40,0,-1)+1</f>
        <v>10</v>
      </c>
      <c r="AE40" s="1792">
        <f>OFFSET(AE40,0,-1)+1</f>
        <v>11</v>
      </c>
      <c r="AF40" s="1792">
        <f>OFFSET(AF40,0,-1)+1</f>
        <v>12</v>
      </c>
      <c r="AG40" s="2613">
        <f>OFFSET(AG40,0,-1)+1</f>
        <v>13</v>
      </c>
      <c r="AH40" s="2613"/>
      <c r="AI40" s="1792">
        <f>OFFSET(AI40,0,-2)+1</f>
        <v>14</v>
      </c>
      <c r="AJ40" s="1586">
        <f>OFFSET(AJ40,0,-1)</f>
        <v>14</v>
      </c>
      <c r="AK40" s="1792">
        <f>OFFSET(AK40,0,-1)+1</f>
        <v>15</v>
      </c>
      <c r="AL40" s="852"/>
      <c r="AM40" s="852"/>
      <c r="AN40" s="852"/>
      <c r="AO40" s="852"/>
      <c r="AP40" s="852"/>
      <c r="AQ40" s="837">
        <v>0</v>
      </c>
    </row>
    <row customHeight="1" ht="24">
      <c r="A41" s="1704" t="s">
        <v>226</v>
      </c>
      <c r="B41" s="1704"/>
      <c r="C41" s="1704"/>
      <c r="D41" s="1704"/>
      <c r="E41" s="2599">
        <v>1</v>
      </c>
      <c r="F41" s="1704"/>
      <c r="G41" s="1704"/>
      <c r="H41" s="1704"/>
      <c r="I41" s="1704"/>
      <c r="J41" s="1704"/>
      <c r="K41" s="1704"/>
      <c r="L41" s="1705"/>
      <c r="M41" s="1706"/>
      <c r="N41" s="1706"/>
      <c r="O41" s="1706"/>
      <c r="P41" s="702"/>
      <c r="Q41" s="701"/>
      <c r="R41" s="696"/>
      <c r="S41" s="1798">
        <f>INDEX(PT_DIFFERENTIATION_NUM_NTAR,MATCH(A41,PT_DIFFERENTIATION_NTAR_ID,0))</f>
        <v>0</v>
      </c>
      <c r="T41" s="639" t="s">
        <v>120</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226</v>
      </c>
      <c r="B42" s="1704" t="s">
        <v>227</v>
      </c>
      <c r="C42" s="1704"/>
      <c r="D42" s="1704"/>
      <c r="E42" s="2600"/>
      <c r="F42" s="2599">
        <v>1</v>
      </c>
      <c r="G42" s="1704"/>
      <c r="H42" s="1704"/>
      <c r="I42" s="1704"/>
      <c r="J42" s="1704"/>
      <c r="K42" s="1704"/>
      <c r="L42" s="1705"/>
      <c r="M42" s="1706"/>
      <c r="N42" s="1706"/>
      <c r="O42" s="1706"/>
      <c r="P42" s="1794"/>
      <c r="Q42" s="693"/>
      <c r="R42" s="694"/>
      <c r="S42" s="1798" t="str">
        <f>INDEX(PT_DIFFERENTIATION_NUM_TER,MATCH(B42,PT_DIFFERENTIATION_TER_ID,0))</f>
        <v>.</v>
      </c>
      <c r="T42" s="649" t="s">
        <v>392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393</v>
      </c>
      <c r="AM42" s="841"/>
      <c r="AN42" s="841" t="str">
        <f>IF(T42="","",T42)</f>
        <v>Территория действия тарифа</v>
      </c>
      <c r="AO42" s="841"/>
      <c r="AP42" s="841"/>
      <c r="AQ42" s="1496">
        <v>23</v>
      </c>
    </row>
    <row customHeight="1" ht="24">
      <c r="A43" s="1704" t="s">
        <v>226</v>
      </c>
      <c r="B43" s="1704" t="s">
        <v>227</v>
      </c>
      <c r="C43" s="1704" t="s">
        <v>228</v>
      </c>
      <c r="D43" s="1704"/>
      <c r="E43" s="2600"/>
      <c r="F43" s="2600"/>
      <c r="G43" s="2599">
        <v>1</v>
      </c>
      <c r="H43" s="1704"/>
      <c r="I43" s="1704"/>
      <c r="J43" s="1704"/>
      <c r="K43" s="1704"/>
      <c r="L43" s="1705"/>
      <c r="M43" s="1706"/>
      <c r="N43" s="1706"/>
      <c r="O43" s="1706"/>
      <c r="P43" s="695"/>
      <c r="Q43" s="693"/>
      <c r="R43" s="694"/>
      <c r="S43" s="1798" t="str">
        <f>INDEX(PT_DIFFERENTIATION_NUM_CS,MATCH(C43,PT_DIFFERENTIATION_CS_ID,0))</f>
        <v>..</v>
      </c>
      <c r="T43" s="650" t="s">
        <v>476</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477</v>
      </c>
      <c r="AM43" s="841"/>
      <c r="AN43" s="841" t="str">
        <f>IF(T43="","",T43)</f>
        <v>Наименование централизованной системы холодного водоснабжения</v>
      </c>
      <c r="AO43" s="841"/>
      <c r="AP43" s="841"/>
      <c r="AQ43" s="1496">
        <v>23</v>
      </c>
    </row>
    <row customHeight="1" ht="24">
      <c r="A44" s="1704" t="s">
        <v>226</v>
      </c>
      <c r="B44" s="1704" t="s">
        <v>227</v>
      </c>
      <c r="C44" s="1704" t="s">
        <v>228</v>
      </c>
      <c r="D44" s="1704" t="s">
        <v>491</v>
      </c>
      <c r="E44" s="2600"/>
      <c r="F44" s="2600"/>
      <c r="G44" s="2600"/>
      <c r="H44" s="2600"/>
      <c r="I44" s="2597" t="str">
        <f>S43&amp;".1"</f>
        <v>...1</v>
      </c>
      <c r="J44" s="1704"/>
      <c r="K44" s="1704"/>
      <c r="L44" s="1705"/>
      <c r="P44" s="2598">
        <v>1</v>
      </c>
      <c r="Q44" s="1791"/>
      <c r="R44" s="697"/>
      <c r="S44" s="1798" t="str">
        <f>$I44</f>
        <v>...1</v>
      </c>
      <c r="T44" s="626" t="s">
        <v>478</v>
      </c>
      <c r="U44" s="641"/>
      <c r="V44" s="2691"/>
      <c r="W44" s="2692"/>
      <c r="X44" s="2692"/>
      <c r="Y44" s="2692"/>
      <c r="Z44" s="2692"/>
      <c r="AA44" s="2692"/>
      <c r="AB44" s="2693"/>
      <c r="AC44" s="2694"/>
      <c r="AD44" s="2695"/>
      <c r="AE44" s="2695"/>
      <c r="AF44" s="2695"/>
      <c r="AG44" s="2695"/>
      <c r="AH44" s="2695"/>
      <c r="AI44" s="2695"/>
      <c r="AJ44" s="2696"/>
      <c r="AK44" s="1599" t="s">
        <v>479</v>
      </c>
      <c r="AM44" s="841"/>
      <c r="AN44" s="841" t="str">
        <f>IF(T44="","",T44)</f>
        <v>Наименование признака дифференциации</v>
      </c>
      <c r="AO44" s="841"/>
      <c r="AP44" s="841"/>
      <c r="AQ44" s="1496">
        <v>23</v>
      </c>
    </row>
    <row customHeight="1" ht="24">
      <c r="A45" s="1704" t="s">
        <v>226</v>
      </c>
      <c r="B45" s="1704" t="s">
        <v>227</v>
      </c>
      <c r="C45" s="1704" t="s">
        <v>228</v>
      </c>
      <c r="D45" s="1704" t="s">
        <v>491</v>
      </c>
      <c r="E45" s="2600"/>
      <c r="F45" s="2600"/>
      <c r="G45" s="2600"/>
      <c r="H45" s="2600"/>
      <c r="I45" s="2627"/>
      <c r="J45" s="2597" t="str">
        <f>I44&amp;".1"</f>
        <v>...1.1</v>
      </c>
      <c r="K45" s="1704"/>
      <c r="L45" s="1705" t="s">
        <v>401</v>
      </c>
      <c r="P45" s="2598"/>
      <c r="Q45" s="2598">
        <v>1</v>
      </c>
      <c r="R45" s="698"/>
      <c r="S45" s="1798" t="str">
        <f>$J45</f>
        <v>...1.1</v>
      </c>
      <c r="T45" s="627" t="s">
        <v>402</v>
      </c>
      <c r="U45" s="641"/>
      <c r="V45" s="2586"/>
      <c r="W45" s="2587"/>
      <c r="X45" s="2587"/>
      <c r="Y45" s="2587"/>
      <c r="Z45" s="2587"/>
      <c r="AA45" s="2587"/>
      <c r="AB45" s="2588"/>
      <c r="AC45" s="2586"/>
      <c r="AD45" s="2587"/>
      <c r="AE45" s="2587"/>
      <c r="AF45" s="2587"/>
      <c r="AG45" s="2587"/>
      <c r="AH45" s="2587"/>
      <c r="AI45" s="2587"/>
      <c r="AJ45" s="2588"/>
      <c r="AK45" s="1648" t="s">
        <v>480</v>
      </c>
      <c r="AM45" s="841"/>
      <c r="AN45" s="841" t="str">
        <f>IF(T45="","",T45)</f>
        <v>Группа потребителей</v>
      </c>
      <c r="AO45" s="841"/>
      <c r="AP45" s="841"/>
      <c r="AQ45" s="1496">
        <v>23</v>
      </c>
    </row>
    <row customHeight="1" ht="24">
      <c r="A46" s="1704" t="s">
        <v>226</v>
      </c>
      <c r="B46" s="1704" t="s">
        <v>227</v>
      </c>
      <c r="C46" s="1704" t="s">
        <v>228</v>
      </c>
      <c r="D46" s="1704" t="s">
        <v>491</v>
      </c>
      <c r="E46" s="2600"/>
      <c r="F46" s="2600"/>
      <c r="G46" s="2600"/>
      <c r="H46" s="2600"/>
      <c r="I46" s="2627"/>
      <c r="J46" s="2627"/>
      <c r="K46" s="2597" t="str">
        <f>J45&amp;".1"</f>
        <v>...1.1.1</v>
      </c>
      <c r="L46" s="1705"/>
      <c r="P46" s="2598"/>
      <c r="Q46" s="2598"/>
      <c r="R46" s="698">
        <v>1</v>
      </c>
      <c r="S46" s="1798" t="str">
        <f>$K46</f>
        <v>...1.1.1</v>
      </c>
      <c r="T46" s="1778"/>
      <c r="U46" s="641"/>
      <c r="V46" s="1092"/>
      <c r="W46" s="1092"/>
      <c r="X46" s="1598"/>
      <c r="Y46" s="2606"/>
      <c r="Z46" s="2448" t="s">
        <v>65</v>
      </c>
      <c r="AA46" s="2606"/>
      <c r="AB46" s="2448" t="s">
        <v>65</v>
      </c>
      <c r="AC46" s="1092"/>
      <c r="AD46" s="1092"/>
      <c r="AE46" s="1598"/>
      <c r="AF46" s="2606"/>
      <c r="AG46" s="2448" t="s">
        <v>65</v>
      </c>
      <c r="AH46" s="2628"/>
      <c r="AI46" s="2448" t="s">
        <v>65</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226</v>
      </c>
      <c r="B47" s="1704" t="s">
        <v>227</v>
      </c>
      <c r="C47" s="1704" t="s">
        <v>228</v>
      </c>
      <c r="D47" s="1704" t="s">
        <v>491</v>
      </c>
      <c r="E47" s="2600"/>
      <c r="F47" s="2600"/>
      <c r="G47" s="2600"/>
      <c r="H47" s="2600"/>
      <c r="I47" s="2627"/>
      <c r="J47" s="2627"/>
      <c r="K47" s="2597"/>
      <c r="L47" s="1705"/>
      <c r="P47" s="2598"/>
      <c r="Q47" s="2598"/>
      <c r="R47" s="698"/>
      <c r="S47" s="1797"/>
      <c r="T47" s="641"/>
      <c r="U47" s="641"/>
      <c r="V47" s="666"/>
      <c r="W47" s="666"/>
      <c r="X47" s="669" t="str">
        <f>Y46&amp;"-"&amp;AA46</f>
        <v>-</v>
      </c>
      <c r="Y47" s="2607"/>
      <c r="Z47" s="2448"/>
      <c r="AA47" s="2607"/>
      <c r="AB47" s="2448"/>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226</v>
      </c>
      <c r="B48" s="1704" t="s">
        <v>227</v>
      </c>
      <c r="C48" s="1704" t="s">
        <v>228</v>
      </c>
      <c r="D48" s="1704" t="s">
        <v>491</v>
      </c>
      <c r="E48" s="2600"/>
      <c r="F48" s="2600"/>
      <c r="G48" s="2600"/>
      <c r="H48" s="2600"/>
      <c r="I48" s="2627"/>
      <c r="J48" s="2597"/>
      <c r="K48" s="1704"/>
      <c r="L48" s="1705"/>
      <c r="P48" s="2598"/>
      <c r="Q48" s="2598"/>
      <c r="R48" s="697"/>
      <c r="S48" s="1619"/>
      <c r="T48" s="628" t="s">
        <v>481</v>
      </c>
      <c r="U48" s="708"/>
      <c r="V48" s="708"/>
      <c r="W48" s="708"/>
      <c r="X48" s="708"/>
      <c r="Y48" s="708"/>
      <c r="Z48" s="708"/>
      <c r="AA48" s="708"/>
      <c r="AB48" s="708"/>
      <c r="AC48" s="708"/>
      <c r="AD48" s="708"/>
      <c r="AE48" s="708"/>
      <c r="AF48" s="708"/>
      <c r="AG48" s="708"/>
      <c r="AH48" s="708"/>
      <c r="AI48" s="708"/>
      <c r="AJ48" s="708"/>
      <c r="AK48" s="1599" t="s">
        <v>482</v>
      </c>
      <c r="AM48" s="841"/>
      <c r="AN48" s="841" t="str">
        <f>IF(T48="","",T48)</f>
        <v>Добавить значение признака дифференциации</v>
      </c>
      <c r="AO48" s="841"/>
      <c r="AP48" s="841"/>
      <c r="AQ48" s="1496">
        <v>20</v>
      </c>
    </row>
    <row customHeight="1" ht="22.049999999999997">
      <c r="A49" s="1704" t="s">
        <v>226</v>
      </c>
      <c r="B49" s="1704" t="s">
        <v>227</v>
      </c>
      <c r="C49" s="1704" t="s">
        <v>228</v>
      </c>
      <c r="D49" s="1704" t="s">
        <v>491</v>
      </c>
      <c r="E49" s="2600"/>
      <c r="F49" s="2600"/>
      <c r="G49" s="2600"/>
      <c r="H49" s="2600"/>
      <c r="I49" s="2597"/>
      <c r="J49" s="1704"/>
      <c r="K49" s="1704"/>
      <c r="L49" s="1705"/>
      <c r="P49" s="2598"/>
      <c r="Q49" s="1791"/>
      <c r="R49" s="697"/>
      <c r="S49" s="1619"/>
      <c r="T49" s="706" t="s">
        <v>407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226</v>
      </c>
      <c r="B50" s="1704" t="s">
        <v>227</v>
      </c>
      <c r="C50" s="1704" t="s">
        <v>228</v>
      </c>
      <c r="D50" s="1704" t="s">
        <v>491</v>
      </c>
      <c r="E50" s="2600"/>
      <c r="F50" s="2600"/>
      <c r="G50" s="2600"/>
      <c r="H50" s="2599"/>
      <c r="I50" s="1704"/>
      <c r="J50" s="1704"/>
      <c r="K50" s="1704"/>
      <c r="L50" s="1705"/>
      <c r="M50" s="1706"/>
      <c r="N50" s="1706"/>
      <c r="O50" s="878"/>
      <c r="P50" s="701"/>
      <c r="Q50" s="716"/>
      <c r="R50" s="696"/>
      <c r="S50" s="1619"/>
      <c r="T50" s="713" t="s">
        <v>483</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17316" customFormat="1" customHeight="1" ht="0">
      <c r="A51" s="1684" t="s">
        <v>226</v>
      </c>
      <c r="B51" s="1684" t="s">
        <v>227</v>
      </c>
      <c r="C51" s="1655"/>
      <c r="D51" s="1655"/>
      <c r="E51" s="2600"/>
      <c r="F51" s="2599"/>
      <c r="G51" s="1655"/>
      <c r="H51" s="1655"/>
      <c r="I51" s="1655"/>
      <c r="J51" s="1655"/>
      <c r="K51" s="1655"/>
      <c r="L51" s="1799"/>
      <c r="M51" s="1662"/>
      <c r="N51" s="1662"/>
      <c r="P51" s="1657"/>
      <c r="Q51" s="1658"/>
      <c r="R51" s="1657"/>
      <c r="S51" s="1663"/>
      <c r="T51" s="1666" t="s">
        <v>410</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17316" customFormat="1" customHeight="1" ht="0">
      <c r="A52" s="1684" t="s">
        <v>226</v>
      </c>
      <c r="B52" s="1684"/>
      <c r="C52" s="1684"/>
      <c r="D52" s="1684"/>
      <c r="E52" s="2599"/>
      <c r="F52" s="1684"/>
      <c r="G52" s="1684"/>
      <c r="H52" s="1684"/>
      <c r="I52" s="1684"/>
      <c r="J52" s="1684"/>
      <c r="K52" s="1684"/>
      <c r="L52" s="1687"/>
      <c r="M52" s="1662"/>
      <c r="N52" s="1662"/>
      <c r="O52" s="859"/>
      <c r="P52" s="721"/>
      <c r="Q52" s="1685"/>
      <c r="R52" s="721"/>
      <c r="S52" s="1663"/>
      <c r="T52" s="1666" t="s">
        <v>411</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17316" customFormat="1" customHeight="1" ht="0">
      <c r="A53" s="1655"/>
      <c r="B53" s="1655"/>
      <c r="C53" s="1655"/>
      <c r="D53" s="1655"/>
      <c r="E53" s="1684"/>
      <c r="F53" s="1655"/>
      <c r="G53" s="1655"/>
      <c r="H53" s="1655"/>
      <c r="I53" s="1655"/>
      <c r="J53" s="1655"/>
      <c r="K53" s="1655"/>
      <c r="L53" s="1799"/>
      <c r="M53" s="1662"/>
      <c r="N53" s="1662"/>
      <c r="P53" s="1657"/>
      <c r="Q53" s="1658"/>
      <c r="R53" s="1657"/>
      <c r="S53" s="1663"/>
      <c r="T53" s="1666" t="s">
        <v>443</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82</v>
      </c>
      <c r="B58" s="1501">
        <v>0</v>
      </c>
      <c r="C58" s="1501">
        <v>0</v>
      </c>
      <c r="D58" s="1501">
        <v>0</v>
      </c>
      <c r="E58" s="1501">
        <v>0</v>
      </c>
      <c r="F58" s="1501">
        <v>0</v>
      </c>
      <c r="G58" s="1501">
        <v>0</v>
      </c>
      <c r="H58" s="1501">
        <v>0</v>
      </c>
      <c r="I58" s="1501">
        <v>0</v>
      </c>
      <c r="J58" s="1501">
        <v>0</v>
      </c>
      <c r="K58" s="1501">
        <v>0</v>
      </c>
      <c r="L58" s="1788">
        <v>0</v>
      </c>
      <c r="M58" s="1703">
        <v>0</v>
      </c>
      <c r="N58" s="1703">
        <v>0</v>
      </c>
      <c r="O58" s="1703">
        <v>0</v>
      </c>
      <c r="P58" s="1787">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E3CAA9-8FA5-E062-E26A-3090EB07515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4.140625" hidden="1" customWidth="1"/>
    <col min="10" max="10" style="17315" width="9.8515625" hidden="1" customWidth="1"/>
    <col min="11" max="11" style="17315" width="14.71093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4" style="17239" width="24.7109375" hidden="1" customWidth="1"/>
    <col min="25" max="25" style="17239" width="11.7109375" hidden="1" customWidth="1"/>
    <col min="26" max="26" style="17239" width="3.7109375" hidden="1" customWidth="1"/>
    <col min="27" max="27" style="17239" width="11.7109375" hidden="1" customWidth="1"/>
    <col min="28" max="28" style="17239" width="8.57421875" hidden="1" customWidth="1"/>
    <col min="29" max="29" style="17239" width="24.7109375" customWidth="1"/>
    <col min="30" max="31" style="17239" width="24.00390625" customWidth="1"/>
    <col min="32" max="32" style="17239" width="11.00390625" customWidth="1"/>
    <col min="33" max="33" style="17239" width="3.7109375" customWidth="1"/>
    <col min="34" max="34" style="17239" width="11.00390625" customWidth="1"/>
    <col min="35" max="35" style="17239" width="8.57421875" hidden="1" customWidth="1"/>
    <col min="36" max="36" style="17239" width="4.00390625" customWidth="1"/>
    <col min="37" max="37" style="17239" width="115.00390625" customWidth="1"/>
    <col min="38" max="42" style="17316" width="10.00390625" customWidth="1"/>
    <col min="43" max="43" style="17239"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798">
        <f>INDEX(PT_DIFFERENTIATION_NUM_NTAR,MATCH(A2,PT_DIFFERENTIATION_NTAR_ID,0))</f>
      </c>
      <c r="T2" s="639" t="s">
        <v>120</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794"/>
      <c r="Q3" s="693"/>
      <c r="R3" s="694"/>
      <c r="S3" s="1798">
        <f>INDEX(PT_DIFFERENTIATION_NUM_TER,MATCH(B3,PT_DIFFERENTIATION_TER_ID,0))</f>
      </c>
      <c r="T3" s="649" t="s">
        <v>392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393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798">
        <f>INDEX(PT_DIFFERENTIATION_NUM_CS,MATCH(C4,PT_DIFFERENTIATION_CS_ID,0))</f>
      </c>
      <c r="T4" s="650" t="s">
        <v>476</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477</v>
      </c>
      <c r="AM4" s="841"/>
      <c r="AN4" s="841" t="str">
        <f>IF(T4="","",T4)</f>
        <v>Наименование централизованной системы холодного водоснабжения</v>
      </c>
      <c r="AO4" s="841"/>
      <c r="AP4" s="841"/>
      <c r="AQ4" s="1496">
        <v>0</v>
      </c>
    </row>
    <row customHeight="1" ht="23.25" hidden="1">
      <c r="A5" s="1704"/>
      <c r="B5" s="1704"/>
      <c r="C5" s="1704"/>
      <c r="D5" s="1704"/>
      <c r="E5" s="2600"/>
      <c r="F5" s="2600"/>
      <c r="G5" s="2600"/>
      <c r="H5" s="2600"/>
      <c r="I5" s="2597">
        <f>S4&amp;".1"</f>
      </c>
      <c r="J5" s="1704"/>
      <c r="K5" s="1704"/>
      <c r="L5" s="1705"/>
      <c r="P5" s="2598">
        <v>1</v>
      </c>
      <c r="Q5" s="1791"/>
      <c r="R5" s="697"/>
      <c r="S5" s="1798">
        <f>$I5</f>
      </c>
      <c r="T5" s="626" t="s">
        <v>478</v>
      </c>
      <c r="U5" s="641"/>
      <c r="V5" s="2691"/>
      <c r="W5" s="2692"/>
      <c r="X5" s="2692"/>
      <c r="Y5" s="2692"/>
      <c r="Z5" s="2692"/>
      <c r="AA5" s="2692"/>
      <c r="AB5" s="2693"/>
      <c r="AC5" s="2694"/>
      <c r="AD5" s="2695"/>
      <c r="AE5" s="2695"/>
      <c r="AF5" s="2695"/>
      <c r="AG5" s="2695"/>
      <c r="AH5" s="2695"/>
      <c r="AI5" s="2695"/>
      <c r="AJ5" s="2696"/>
      <c r="AK5" s="1599" t="s">
        <v>479</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401</v>
      </c>
      <c r="P6" s="2598"/>
      <c r="Q6" s="2598">
        <v>1</v>
      </c>
      <c r="R6" s="698"/>
      <c r="S6" s="1798">
        <f>$J6</f>
      </c>
      <c r="T6" s="627" t="s">
        <v>402</v>
      </c>
      <c r="U6" s="641"/>
      <c r="V6" s="2586"/>
      <c r="W6" s="2587"/>
      <c r="X6" s="2587"/>
      <c r="Y6" s="2587"/>
      <c r="Z6" s="2587"/>
      <c r="AA6" s="2587"/>
      <c r="AB6" s="2588"/>
      <c r="AC6" s="2586"/>
      <c r="AD6" s="2587"/>
      <c r="AE6" s="2587"/>
      <c r="AF6" s="2587"/>
      <c r="AG6" s="2587"/>
      <c r="AH6" s="2587"/>
      <c r="AI6" s="2587"/>
      <c r="AJ6" s="2588"/>
      <c r="AK6" s="1648" t="s">
        <v>480</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798">
        <f>$K7</f>
      </c>
      <c r="T7" s="1778"/>
      <c r="U7" s="641"/>
      <c r="V7" s="1092"/>
      <c r="W7" s="1092"/>
      <c r="X7" s="1598"/>
      <c r="Y7" s="2606"/>
      <c r="Z7" s="2448" t="s">
        <v>65</v>
      </c>
      <c r="AA7" s="2606"/>
      <c r="AB7" s="2448" t="s">
        <v>65</v>
      </c>
      <c r="AC7" s="1092"/>
      <c r="AD7" s="1092"/>
      <c r="AE7" s="1598"/>
      <c r="AF7" s="2606"/>
      <c r="AG7" s="2448" t="s">
        <v>65</v>
      </c>
      <c r="AH7" s="2628"/>
      <c r="AI7" s="2448" t="s">
        <v>65</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797"/>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481</v>
      </c>
      <c r="U9" s="708"/>
      <c r="V9" s="708"/>
      <c r="W9" s="708"/>
      <c r="X9" s="708"/>
      <c r="Y9" s="708"/>
      <c r="Z9" s="708"/>
      <c r="AA9" s="708"/>
      <c r="AB9" s="708"/>
      <c r="AC9" s="708"/>
      <c r="AD9" s="708"/>
      <c r="AE9" s="708"/>
      <c r="AF9" s="708"/>
      <c r="AG9" s="708"/>
      <c r="AH9" s="708"/>
      <c r="AI9" s="708"/>
      <c r="AJ9" s="708"/>
      <c r="AK9" s="1599" t="s">
        <v>482</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791"/>
      <c r="R10" s="697"/>
      <c r="S10" s="1619"/>
      <c r="T10" s="706" t="s">
        <v>407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483</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17316" customFormat="1" customHeight="1" ht="14.25" hidden="1">
      <c r="A12" s="1684"/>
      <c r="B12" s="1684"/>
      <c r="C12" s="1655"/>
      <c r="D12" s="1655"/>
      <c r="E12" s="2600"/>
      <c r="F12" s="2599"/>
      <c r="G12" s="1655"/>
      <c r="H12" s="1655"/>
      <c r="I12" s="1655"/>
      <c r="J12" s="1655"/>
      <c r="K12" s="1655"/>
      <c r="L12" s="1799"/>
      <c r="M12" s="1662"/>
      <c r="N12" s="1662"/>
      <c r="P12" s="1657"/>
      <c r="Q12" s="1658"/>
      <c r="R12" s="1657"/>
      <c r="S12" s="1663"/>
      <c r="T12" s="1666" t="s">
        <v>410</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1731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411</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65</v>
      </c>
      <c r="AH15" s="2608"/>
      <c r="AI15" s="2609" t="s">
        <v>65</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17315" customFormat="1" customHeight="1" ht="22.5" hidden="1">
      <c r="L18" s="1788"/>
      <c r="M18" s="1703"/>
      <c r="N18" s="1703"/>
      <c r="O18" s="1708" t="s">
        <v>412</v>
      </c>
      <c r="P18" s="1703"/>
      <c r="Q18" s="1712"/>
      <c r="R18" s="1712"/>
      <c r="S18" s="1070"/>
      <c r="Y18" s="1708"/>
      <c r="AA18" s="1708"/>
      <c r="AB18" s="1707"/>
      <c r="AF18" s="1708"/>
      <c r="AH18" s="1708"/>
      <c r="AI18" s="1707"/>
      <c r="AL18" s="852"/>
      <c r="AM18" s="852"/>
      <c r="AN18" s="852"/>
      <c r="AO18" s="852"/>
      <c r="AP18" s="852"/>
      <c r="AQ18" s="1501">
        <v>0</v>
      </c>
    </row>
    <row s="17315" customFormat="1" customHeight="1" ht="14.25" hidden="1">
      <c r="L19" s="1788"/>
      <c r="M19" s="1703"/>
      <c r="N19" s="1703"/>
      <c r="O19" s="1703"/>
      <c r="P19" s="1703"/>
      <c r="Q19" s="1712"/>
      <c r="R19" s="1712"/>
      <c r="S19" s="1070"/>
      <c r="AB19" s="1707"/>
      <c r="AI19" s="1707"/>
      <c r="AL19" s="852"/>
      <c r="AM19" s="852"/>
      <c r="AN19" s="852"/>
      <c r="AO19" s="852"/>
      <c r="AP19" s="852"/>
      <c r="AQ19" s="1501">
        <v>0</v>
      </c>
    </row>
    <row s="17315" customFormat="1" customHeight="1" ht="12" hidden="1">
      <c r="L20" s="1788"/>
      <c r="M20" s="1703"/>
      <c r="N20" s="1703"/>
      <c r="O20" s="1705" t="s">
        <v>413</v>
      </c>
      <c r="P20" s="1703"/>
      <c r="Q20" s="1783"/>
      <c r="R20" s="1783"/>
      <c r="S20" s="1070"/>
      <c r="T20" s="1501" t="s">
        <v>414</v>
      </c>
      <c r="Z20" s="527" t="s">
        <v>415</v>
      </c>
      <c r="AB20" s="527" t="s">
        <v>416</v>
      </c>
      <c r="AC20" s="1501" t="s">
        <v>414</v>
      </c>
      <c r="AG20" s="527" t="s">
        <v>417</v>
      </c>
      <c r="AI20" s="527" t="s">
        <v>416</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17442" customFormat="1" customHeight="1" ht="25.5" hidden="1">
      <c r="A27" s="1709"/>
      <c r="B27" s="1709"/>
      <c r="C27" s="1709"/>
      <c r="D27" s="1709"/>
      <c r="E27" s="1709"/>
      <c r="F27" s="1709"/>
      <c r="G27" s="1709"/>
      <c r="H27" s="1709"/>
      <c r="I27" s="1709"/>
      <c r="J27" s="1709"/>
      <c r="K27" s="1709"/>
      <c r="L27" s="1710"/>
      <c r="M27" s="1709"/>
      <c r="N27" s="1709"/>
      <c r="O27" s="1709"/>
      <c r="S27" s="2591" t="s">
        <v>41</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17442" customFormat="1" customHeight="1" ht="18.75" hidden="1">
      <c r="A28" s="1709"/>
      <c r="B28" s="1709"/>
      <c r="C28" s="1709"/>
      <c r="D28" s="1709"/>
      <c r="E28" s="1709"/>
      <c r="F28" s="1709"/>
      <c r="G28" s="1709"/>
      <c r="H28" s="1709"/>
      <c r="I28" s="1709"/>
      <c r="J28" s="1709"/>
      <c r="K28" s="1709"/>
      <c r="L28" s="1710"/>
      <c r="M28" s="1709"/>
      <c r="N28" s="1709"/>
      <c r="O28" s="1709"/>
      <c r="S28" s="2591" t="s">
        <v>418</v>
      </c>
      <c r="T28" s="2591"/>
      <c r="U28" s="1713"/>
      <c r="V28" s="2605" t="str">
        <f>IF(TITLE_DATE_PR_CHANGE="",IF(TITLE_DATE_PR="","",TITLE_DATE_PR),TITLE_DATE_PR_CHANGE)</f>
        <v/>
      </c>
      <c r="W28" s="2605"/>
      <c r="X28" s="2605"/>
      <c r="Y28" s="2605"/>
      <c r="Z28" s="2605"/>
      <c r="AA28" s="2605"/>
      <c r="AB28" s="667"/>
      <c r="AC28" s="2605" t="str">
        <f>IF(TITLE_DATE_PR_CHANGE="",IF(TITLE_DATE_PR="","",TITLE_DATE_PR),TITLE_DATE_PR_CHANGE)</f>
        <v/>
      </c>
      <c r="AD28" s="2605"/>
      <c r="AE28" s="2605"/>
      <c r="AF28" s="2605"/>
      <c r="AG28" s="2605"/>
      <c r="AH28" s="2605"/>
      <c r="AI28" s="667"/>
      <c r="AJ28" s="667"/>
      <c r="AK28" s="621"/>
      <c r="AL28" s="709"/>
      <c r="AM28" s="709"/>
      <c r="AN28" s="709"/>
      <c r="AO28" s="709"/>
      <c r="AP28" s="709"/>
      <c r="AQ28" s="759">
        <v>0</v>
      </c>
    </row>
    <row s="17442" customFormat="1" customHeight="1" ht="18.75" hidden="1">
      <c r="A29" s="1709"/>
      <c r="B29" s="1709"/>
      <c r="C29" s="1709"/>
      <c r="D29" s="1709"/>
      <c r="E29" s="1709"/>
      <c r="F29" s="1709"/>
      <c r="G29" s="1709"/>
      <c r="H29" s="1709"/>
      <c r="I29" s="1709"/>
      <c r="J29" s="1709"/>
      <c r="K29" s="1709"/>
      <c r="L29" s="1710"/>
      <c r="M29" s="1709"/>
      <c r="N29" s="1709"/>
      <c r="O29" s="1709"/>
      <c r="S29" s="2591" t="s">
        <v>419</v>
      </c>
      <c r="T29" s="2591"/>
      <c r="U29" s="1713"/>
      <c r="V29" s="2592" t="str">
        <f>IF(TITLE_NUMBER_PR_CHANGE="",IF(TITLE_NUMBER_PR="","",TITLE_NUMBER_PR),TITLE_NUMBER_PR_CHANGE)</f>
        <v/>
      </c>
      <c r="W29" s="2592"/>
      <c r="X29" s="2592"/>
      <c r="Y29" s="2592"/>
      <c r="Z29" s="2592"/>
      <c r="AA29" s="2592"/>
      <c r="AB29" s="667"/>
      <c r="AC29" s="2592" t="str">
        <f>IF(TITLE_NUMBER_PR_CHANGE="",IF(TITLE_NUMBER_PR="","",TITLE_NUMBER_PR),TITLE_NUMBER_PR_CHANGE)</f>
        <v/>
      </c>
      <c r="AD29" s="2592"/>
      <c r="AE29" s="2592"/>
      <c r="AF29" s="2592"/>
      <c r="AG29" s="2592"/>
      <c r="AH29" s="2592"/>
      <c r="AI29" s="667"/>
      <c r="AJ29" s="667"/>
      <c r="AK29" s="621"/>
      <c r="AL29" s="709"/>
      <c r="AM29" s="709"/>
      <c r="AN29" s="709"/>
      <c r="AO29" s="709"/>
      <c r="AP29" s="709"/>
      <c r="AQ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42</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hidden="1">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17442" customFormat="1" customHeight="1" ht="18.75" hidden="1">
      <c r="A32" s="1709"/>
      <c r="B32" s="1709"/>
      <c r="C32" s="1709"/>
      <c r="D32" s="1709"/>
      <c r="E32" s="1709"/>
      <c r="F32" s="1709"/>
      <c r="G32" s="1709"/>
      <c r="H32" s="1709"/>
      <c r="I32" s="1709"/>
      <c r="J32" s="1709"/>
      <c r="K32" s="1709"/>
      <c r="L32" s="1710"/>
      <c r="M32" s="1709"/>
      <c r="N32" s="1709"/>
      <c r="O32" s="1709"/>
      <c r="S32" s="2591" t="s">
        <v>420</v>
      </c>
      <c r="T32" s="2591"/>
      <c r="U32" s="1713"/>
      <c r="V32" s="2605" t="str">
        <f>IF(TITLE_DATE_PR_CHANGE="",IF(TITLE_DATE_PR="","",TITLE_DATE_PR),TITLE_DATE_PR_CHANGE)</f>
        <v/>
      </c>
      <c r="W32" s="2605"/>
      <c r="X32" s="2605"/>
      <c r="Y32" s="2605"/>
      <c r="Z32" s="2605"/>
      <c r="AA32" s="2605"/>
      <c r="AB32" s="667"/>
      <c r="AC32" s="2605" t="str">
        <f>IF(TITLE_DATE_PR_CHANGE="",IF(TITLE_DATE_PR="","",TITLE_DATE_PR),TITLE_DATE_PR_CHANGE)</f>
        <v/>
      </c>
      <c r="AD32" s="2605"/>
      <c r="AE32" s="2605"/>
      <c r="AF32" s="2605"/>
      <c r="AG32" s="2605"/>
      <c r="AH32" s="2605"/>
      <c r="AI32" s="667"/>
      <c r="AJ32" s="667"/>
      <c r="AK32" s="621"/>
      <c r="AL32" s="709"/>
      <c r="AM32" s="709"/>
      <c r="AN32" s="709"/>
      <c r="AO32" s="709"/>
      <c r="AP32" s="709"/>
      <c r="AQ32" s="759">
        <v>0</v>
      </c>
    </row>
    <row s="17442" customFormat="1" customHeight="1" ht="18.75" hidden="1">
      <c r="A33" s="1709"/>
      <c r="B33" s="1709"/>
      <c r="C33" s="1709"/>
      <c r="D33" s="1709"/>
      <c r="E33" s="1709"/>
      <c r="F33" s="1709"/>
      <c r="G33" s="1709"/>
      <c r="H33" s="1709"/>
      <c r="I33" s="1709"/>
      <c r="J33" s="1709"/>
      <c r="K33" s="1709"/>
      <c r="L33" s="1710"/>
      <c r="M33" s="1709"/>
      <c r="N33" s="1709"/>
      <c r="O33" s="1709"/>
      <c r="S33" s="2591" t="s">
        <v>421</v>
      </c>
      <c r="T33" s="2591"/>
      <c r="U33" s="1713"/>
      <c r="V33" s="2592" t="str">
        <f>IF(TITLE_NUMBER_PR_CHANGE="",IF(TITLE_NUMBER_PR="","",TITLE_NUMBER_PR),TITLE_NUMBER_PR_CHANGE)</f>
        <v/>
      </c>
      <c r="W33" s="2592"/>
      <c r="X33" s="2592"/>
      <c r="Y33" s="2592"/>
      <c r="Z33" s="2592"/>
      <c r="AA33" s="2592"/>
      <c r="AB33" s="667"/>
      <c r="AC33" s="2592" t="str">
        <f>IF(TITLE_NUMBER_PR_CHANGE="",IF(TITLE_NUMBER_PR="","",TITLE_NUMBER_PR),TITLE_NUMBER_PR_CHANGE)</f>
        <v/>
      </c>
      <c r="AD33" s="2592"/>
      <c r="AE33" s="2592"/>
      <c r="AF33" s="2592"/>
      <c r="AG33" s="2592"/>
      <c r="AH33" s="2592"/>
      <c r="AI33" s="667"/>
      <c r="AJ33" s="667"/>
      <c r="AK33" s="621"/>
      <c r="AL33" s="709"/>
      <c r="AM33" s="709"/>
      <c r="AN33" s="709"/>
      <c r="AO33" s="709"/>
      <c r="AP33" s="709"/>
      <c r="AQ33" s="759">
        <v>0</v>
      </c>
    </row>
    <row s="17442" customFormat="1" customHeight="1" ht="1.05">
      <c r="A34" s="1709"/>
      <c r="B34" s="1709"/>
      <c r="C34" s="1709"/>
      <c r="D34" s="1709"/>
      <c r="E34" s="1709"/>
      <c r="F34" s="1709"/>
      <c r="G34" s="1709"/>
      <c r="H34" s="1709"/>
      <c r="I34" s="1709"/>
      <c r="J34" s="1709"/>
      <c r="K34" s="1709"/>
      <c r="L34" s="1710"/>
      <c r="M34" s="1709"/>
      <c r="N34" s="1709"/>
      <c r="O34" s="1709"/>
      <c r="S34" s="664"/>
      <c r="T34" s="664"/>
      <c r="U34" s="1795"/>
      <c r="V34" s="667"/>
      <c r="W34" s="667"/>
      <c r="X34" s="667"/>
      <c r="Y34" s="667"/>
      <c r="Z34" s="667"/>
      <c r="AA34" s="667"/>
      <c r="AB34" s="619" t="s">
        <v>422</v>
      </c>
      <c r="AC34" s="667"/>
      <c r="AD34" s="667"/>
      <c r="AE34" s="667"/>
      <c r="AF34" s="667"/>
      <c r="AG34" s="667"/>
      <c r="AH34" s="667"/>
      <c r="AI34" s="619" t="s">
        <v>422</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295</v>
      </c>
      <c r="T36" s="2468"/>
      <c r="U36" s="2468"/>
      <c r="V36" s="2468"/>
      <c r="W36" s="2468"/>
      <c r="X36" s="2468"/>
      <c r="Y36" s="2468"/>
      <c r="Z36" s="2468"/>
      <c r="AA36" s="2468"/>
      <c r="AB36" s="2468"/>
      <c r="AC36" s="2468"/>
      <c r="AD36" s="2468"/>
      <c r="AE36" s="2468"/>
      <c r="AF36" s="2468"/>
      <c r="AG36" s="2468"/>
      <c r="AH36" s="2468"/>
      <c r="AI36" s="2468"/>
      <c r="AJ36" s="2468"/>
      <c r="AK36" s="2468" t="s">
        <v>296</v>
      </c>
      <c r="AQ36" s="1496">
        <v>14</v>
      </c>
    </row>
    <row customHeight="1" ht="14.699999999999998">
      <c r="Q37" s="717"/>
      <c r="R37" s="717"/>
      <c r="S37" s="2614" t="s">
        <v>88</v>
      </c>
      <c r="T37" s="2550" t="s">
        <v>423</v>
      </c>
      <c r="U37" s="642"/>
      <c r="V37" s="2615" t="s">
        <v>424</v>
      </c>
      <c r="W37" s="2616"/>
      <c r="X37" s="2616"/>
      <c r="Y37" s="2616"/>
      <c r="Z37" s="2616"/>
      <c r="AA37" s="2617"/>
      <c r="AB37" s="2618" t="s">
        <v>425</v>
      </c>
      <c r="AC37" s="2615" t="s">
        <v>424</v>
      </c>
      <c r="AD37" s="2616"/>
      <c r="AE37" s="2616"/>
      <c r="AF37" s="2616"/>
      <c r="AG37" s="2616"/>
      <c r="AH37" s="2617"/>
      <c r="AI37" s="2618" t="s">
        <v>426</v>
      </c>
      <c r="AJ37" s="2621" t="s">
        <v>427</v>
      </c>
      <c r="AK37" s="2468"/>
      <c r="AQ37" s="1496">
        <v>14</v>
      </c>
    </row>
    <row customHeight="1" ht="35.699999999999996">
      <c r="Q38" s="717"/>
      <c r="R38" s="717"/>
      <c r="S38" s="2614"/>
      <c r="T38" s="2550"/>
      <c r="U38" s="1372"/>
      <c r="V38" s="1793" t="s">
        <v>484</v>
      </c>
      <c r="W38" s="2603" t="s">
        <v>430</v>
      </c>
      <c r="X38" s="2604"/>
      <c r="Y38" s="2603" t="s">
        <v>431</v>
      </c>
      <c r="Z38" s="2610"/>
      <c r="AA38" s="2604"/>
      <c r="AB38" s="2619"/>
      <c r="AC38" s="1793" t="s">
        <v>484</v>
      </c>
      <c r="AD38" s="2603" t="s">
        <v>430</v>
      </c>
      <c r="AE38" s="2604"/>
      <c r="AF38" s="2603" t="s">
        <v>431</v>
      </c>
      <c r="AG38" s="2610"/>
      <c r="AH38" s="2604"/>
      <c r="AI38" s="2619"/>
      <c r="AJ38" s="2622"/>
      <c r="AK38" s="2468"/>
      <c r="AQ38" s="1496">
        <v>34</v>
      </c>
    </row>
    <row customHeight="1" ht="35.699999999999996">
      <c r="A39" s="1711"/>
      <c r="B39" s="1711" t="s">
        <v>132</v>
      </c>
      <c r="C39" s="1711" t="s">
        <v>133</v>
      </c>
      <c r="D39" s="1711" t="s">
        <v>134</v>
      </c>
      <c r="E39" s="1705" t="s">
        <v>432</v>
      </c>
      <c r="F39" s="1705" t="s">
        <v>433</v>
      </c>
      <c r="G39" s="1705" t="s">
        <v>434</v>
      </c>
      <c r="H39" s="1705"/>
      <c r="I39" s="1705" t="s">
        <v>485</v>
      </c>
      <c r="J39" s="1705" t="s">
        <v>437</v>
      </c>
      <c r="K39" s="1705" t="s">
        <v>486</v>
      </c>
      <c r="L39" s="1705" t="s">
        <v>413</v>
      </c>
      <c r="Q39" s="717"/>
      <c r="R39" s="717"/>
      <c r="S39" s="2614"/>
      <c r="T39" s="2550"/>
      <c r="U39" s="643"/>
      <c r="V39" s="1793" t="s">
        <v>487</v>
      </c>
      <c r="W39" s="1563" t="s">
        <v>488</v>
      </c>
      <c r="X39" s="1563" t="s">
        <v>489</v>
      </c>
      <c r="Y39" s="1796" t="s">
        <v>441</v>
      </c>
      <c r="Z39" s="2611" t="s">
        <v>442</v>
      </c>
      <c r="AA39" s="2612"/>
      <c r="AB39" s="2620"/>
      <c r="AC39" s="1793" t="s">
        <v>487</v>
      </c>
      <c r="AD39" s="1563" t="s">
        <v>488</v>
      </c>
      <c r="AE39" s="1563" t="s">
        <v>489</v>
      </c>
      <c r="AF39" s="1796" t="s">
        <v>441</v>
      </c>
      <c r="AG39" s="2611" t="s">
        <v>442</v>
      </c>
      <c r="AH39" s="2612"/>
      <c r="AI39" s="2620"/>
      <c r="AJ39" s="2623"/>
      <c r="AK39" s="2468"/>
      <c r="AQ39" s="1496">
        <v>34</v>
      </c>
    </row>
    <row s="17832" customFormat="1" customHeight="1" ht="0">
      <c r="A40" s="1711"/>
      <c r="B40" s="1711"/>
      <c r="C40" s="1711"/>
      <c r="D40" s="1711"/>
      <c r="E40" s="1711"/>
      <c r="F40" s="1711"/>
      <c r="G40" s="1711"/>
      <c r="H40" s="1711"/>
      <c r="I40" s="1711"/>
      <c r="J40" s="1711"/>
      <c r="K40" s="1711"/>
      <c r="L40" s="1705"/>
      <c r="M40" s="1703"/>
      <c r="N40" s="1703"/>
      <c r="O40" s="1703"/>
      <c r="P40" s="1587"/>
      <c r="Q40" s="1588"/>
      <c r="R40" s="1595">
        <v>1</v>
      </c>
      <c r="S40" s="1618" t="s">
        <v>106</v>
      </c>
      <c r="T40" s="1596" t="s">
        <v>107</v>
      </c>
      <c r="U40" s="1586" t="str">
        <f>OFFSET(U40,0,-1)</f>
        <v>2</v>
      </c>
      <c r="V40" s="1792">
        <f>OFFSET(V40,0,-1)+1</f>
        <v>3</v>
      </c>
      <c r="W40" s="1792">
        <f>OFFSET(W40,0,-1)+1</f>
        <v>4</v>
      </c>
      <c r="X40" s="1792">
        <f>OFFSET(X40,0,-1)+1</f>
        <v>5</v>
      </c>
      <c r="Y40" s="1792">
        <f>OFFSET(Y40,0,-1)+1</f>
        <v>6</v>
      </c>
      <c r="Z40" s="2613">
        <f>OFFSET(Z40,0,-1)+1</f>
        <v>7</v>
      </c>
      <c r="AA40" s="2613"/>
      <c r="AB40" s="1792">
        <f>OFFSET(AB40,0,-2)+1</f>
        <v>8</v>
      </c>
      <c r="AC40" s="1792">
        <f>OFFSET(AC40,0,-1)+1</f>
        <v>9</v>
      </c>
      <c r="AD40" s="1792">
        <f>OFFSET(AD40,0,-1)+1</f>
        <v>10</v>
      </c>
      <c r="AE40" s="1792">
        <f>OFFSET(AE40,0,-1)+1</f>
        <v>11</v>
      </c>
      <c r="AF40" s="1792">
        <f>OFFSET(AF40,0,-1)+1</f>
        <v>12</v>
      </c>
      <c r="AG40" s="2613">
        <f>OFFSET(AG40,0,-1)+1</f>
        <v>13</v>
      </c>
      <c r="AH40" s="2613"/>
      <c r="AI40" s="1792">
        <f>OFFSET(AI40,0,-2)+1</f>
        <v>14</v>
      </c>
      <c r="AJ40" s="1586">
        <f>OFFSET(AJ40,0,-1)</f>
        <v>14</v>
      </c>
      <c r="AK40" s="1792">
        <f>OFFSET(AK40,0,-1)+1</f>
        <v>15</v>
      </c>
      <c r="AL40" s="852"/>
      <c r="AM40" s="852"/>
      <c r="AN40" s="852"/>
      <c r="AO40" s="852"/>
      <c r="AP40" s="852"/>
      <c r="AQ40" s="837">
        <v>0</v>
      </c>
    </row>
    <row customHeight="1" ht="24">
      <c r="A41" s="1704" t="s">
        <v>231</v>
      </c>
      <c r="B41" s="1704"/>
      <c r="C41" s="1704"/>
      <c r="D41" s="1704"/>
      <c r="E41" s="2599">
        <v>1</v>
      </c>
      <c r="F41" s="1704"/>
      <c r="G41" s="1704"/>
      <c r="H41" s="1704"/>
      <c r="I41" s="1704"/>
      <c r="J41" s="1704"/>
      <c r="K41" s="1704"/>
      <c r="L41" s="1705"/>
      <c r="M41" s="1706"/>
      <c r="N41" s="1706"/>
      <c r="O41" s="1706"/>
      <c r="P41" s="702"/>
      <c r="Q41" s="701"/>
      <c r="R41" s="696"/>
      <c r="S41" s="1798">
        <f>INDEX(PT_DIFFERENTIATION_NUM_NTAR,MATCH(A41,PT_DIFFERENTIATION_NTAR_ID,0))</f>
        <v>0</v>
      </c>
      <c r="T41" s="639" t="s">
        <v>120</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231</v>
      </c>
      <c r="B42" s="1704" t="s">
        <v>232</v>
      </c>
      <c r="C42" s="1704"/>
      <c r="D42" s="1704"/>
      <c r="E42" s="2600"/>
      <c r="F42" s="2599">
        <v>1</v>
      </c>
      <c r="G42" s="1704"/>
      <c r="H42" s="1704"/>
      <c r="I42" s="1704"/>
      <c r="J42" s="1704"/>
      <c r="K42" s="1704"/>
      <c r="L42" s="1705"/>
      <c r="M42" s="1706"/>
      <c r="N42" s="1706"/>
      <c r="O42" s="1706"/>
      <c r="P42" s="1794"/>
      <c r="Q42" s="693"/>
      <c r="R42" s="694"/>
      <c r="S42" s="1798" t="str">
        <f>INDEX(PT_DIFFERENTIATION_NUM_TER,MATCH(B42,PT_DIFFERENTIATION_TER_ID,0))</f>
        <v>.</v>
      </c>
      <c r="T42" s="649" t="s">
        <v>392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393</v>
      </c>
      <c r="AM42" s="841"/>
      <c r="AN42" s="841" t="str">
        <f>IF(T42="","",T42)</f>
        <v>Территория действия тарифа</v>
      </c>
      <c r="AO42" s="841"/>
      <c r="AP42" s="841"/>
      <c r="AQ42" s="1496">
        <v>23</v>
      </c>
    </row>
    <row customHeight="1" ht="24">
      <c r="A43" s="1704" t="s">
        <v>231</v>
      </c>
      <c r="B43" s="1704" t="s">
        <v>232</v>
      </c>
      <c r="C43" s="1704" t="s">
        <v>233</v>
      </c>
      <c r="D43" s="1704"/>
      <c r="E43" s="2600"/>
      <c r="F43" s="2600"/>
      <c r="G43" s="2599">
        <v>1</v>
      </c>
      <c r="H43" s="1704"/>
      <c r="I43" s="1704"/>
      <c r="J43" s="1704"/>
      <c r="K43" s="1704"/>
      <c r="L43" s="1705"/>
      <c r="M43" s="1706"/>
      <c r="N43" s="1706"/>
      <c r="O43" s="1706"/>
      <c r="P43" s="695"/>
      <c r="Q43" s="693"/>
      <c r="R43" s="694"/>
      <c r="S43" s="1798" t="str">
        <f>INDEX(PT_DIFFERENTIATION_NUM_CS,MATCH(C43,PT_DIFFERENTIATION_CS_ID,0))</f>
        <v>..</v>
      </c>
      <c r="T43" s="650" t="s">
        <v>476</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477</v>
      </c>
      <c r="AM43" s="841"/>
      <c r="AN43" s="841" t="str">
        <f>IF(T43="","",T43)</f>
        <v>Наименование централизованной системы холодного водоснабжения</v>
      </c>
      <c r="AO43" s="841"/>
      <c r="AP43" s="841"/>
      <c r="AQ43" s="1496">
        <v>23</v>
      </c>
    </row>
    <row customHeight="1" ht="24">
      <c r="A44" s="1704" t="s">
        <v>231</v>
      </c>
      <c r="B44" s="1704" t="s">
        <v>232</v>
      </c>
      <c r="C44" s="1704" t="s">
        <v>233</v>
      </c>
      <c r="D44" s="1704" t="s">
        <v>492</v>
      </c>
      <c r="E44" s="2600"/>
      <c r="F44" s="2600"/>
      <c r="G44" s="2600"/>
      <c r="H44" s="2600"/>
      <c r="I44" s="2597" t="str">
        <f>S43&amp;".1"</f>
        <v>...1</v>
      </c>
      <c r="J44" s="1704"/>
      <c r="K44" s="1704"/>
      <c r="L44" s="1705"/>
      <c r="P44" s="2598">
        <v>1</v>
      </c>
      <c r="Q44" s="1791"/>
      <c r="R44" s="697"/>
      <c r="S44" s="1798" t="str">
        <f>$I44</f>
        <v>...1</v>
      </c>
      <c r="T44" s="626" t="s">
        <v>478</v>
      </c>
      <c r="U44" s="641"/>
      <c r="V44" s="2691"/>
      <c r="W44" s="2692"/>
      <c r="X44" s="2692"/>
      <c r="Y44" s="2692"/>
      <c r="Z44" s="2692"/>
      <c r="AA44" s="2692"/>
      <c r="AB44" s="2693"/>
      <c r="AC44" s="2694"/>
      <c r="AD44" s="2695"/>
      <c r="AE44" s="2695"/>
      <c r="AF44" s="2695"/>
      <c r="AG44" s="2695"/>
      <c r="AH44" s="2695"/>
      <c r="AI44" s="2695"/>
      <c r="AJ44" s="2696"/>
      <c r="AK44" s="1599" t="s">
        <v>479</v>
      </c>
      <c r="AM44" s="841"/>
      <c r="AN44" s="841" t="str">
        <f>IF(T44="","",T44)</f>
        <v>Наименование признака дифференциации</v>
      </c>
      <c r="AO44" s="841"/>
      <c r="AP44" s="841"/>
      <c r="AQ44" s="1496">
        <v>23</v>
      </c>
    </row>
    <row customHeight="1" ht="24">
      <c r="A45" s="1704" t="s">
        <v>231</v>
      </c>
      <c r="B45" s="1704" t="s">
        <v>232</v>
      </c>
      <c r="C45" s="1704" t="s">
        <v>233</v>
      </c>
      <c r="D45" s="1704" t="s">
        <v>492</v>
      </c>
      <c r="E45" s="2600"/>
      <c r="F45" s="2600"/>
      <c r="G45" s="2600"/>
      <c r="H45" s="2600"/>
      <c r="I45" s="2627"/>
      <c r="J45" s="2597" t="str">
        <f>I44&amp;".1"</f>
        <v>...1.1</v>
      </c>
      <c r="K45" s="1704"/>
      <c r="L45" s="1705" t="s">
        <v>401</v>
      </c>
      <c r="P45" s="2598"/>
      <c r="Q45" s="2598">
        <v>1</v>
      </c>
      <c r="R45" s="698"/>
      <c r="S45" s="1798" t="str">
        <f>$J45</f>
        <v>...1.1</v>
      </c>
      <c r="T45" s="627" t="s">
        <v>402</v>
      </c>
      <c r="U45" s="641"/>
      <c r="V45" s="2586"/>
      <c r="W45" s="2587"/>
      <c r="X45" s="2587"/>
      <c r="Y45" s="2587"/>
      <c r="Z45" s="2587"/>
      <c r="AA45" s="2587"/>
      <c r="AB45" s="2588"/>
      <c r="AC45" s="2586"/>
      <c r="AD45" s="2587"/>
      <c r="AE45" s="2587"/>
      <c r="AF45" s="2587"/>
      <c r="AG45" s="2587"/>
      <c r="AH45" s="2587"/>
      <c r="AI45" s="2587"/>
      <c r="AJ45" s="2588"/>
      <c r="AK45" s="1648" t="s">
        <v>480</v>
      </c>
      <c r="AM45" s="841"/>
      <c r="AN45" s="841" t="str">
        <f>IF(T45="","",T45)</f>
        <v>Группа потребителей</v>
      </c>
      <c r="AO45" s="841"/>
      <c r="AP45" s="841"/>
      <c r="AQ45" s="1496">
        <v>23</v>
      </c>
    </row>
    <row customHeight="1" ht="24">
      <c r="A46" s="1704" t="s">
        <v>231</v>
      </c>
      <c r="B46" s="1704" t="s">
        <v>232</v>
      </c>
      <c r="C46" s="1704" t="s">
        <v>233</v>
      </c>
      <c r="D46" s="1704" t="s">
        <v>492</v>
      </c>
      <c r="E46" s="2600"/>
      <c r="F46" s="2600"/>
      <c r="G46" s="2600"/>
      <c r="H46" s="2600"/>
      <c r="I46" s="2627"/>
      <c r="J46" s="2627"/>
      <c r="K46" s="2597" t="str">
        <f>J45&amp;".1"</f>
        <v>...1.1.1</v>
      </c>
      <c r="L46" s="1705"/>
      <c r="P46" s="2598"/>
      <c r="Q46" s="2598"/>
      <c r="R46" s="698">
        <v>1</v>
      </c>
      <c r="S46" s="1798" t="str">
        <f>$K46</f>
        <v>...1.1.1</v>
      </c>
      <c r="T46" s="1778"/>
      <c r="U46" s="641"/>
      <c r="V46" s="1092"/>
      <c r="W46" s="1092"/>
      <c r="X46" s="1598"/>
      <c r="Y46" s="2606"/>
      <c r="Z46" s="2448" t="s">
        <v>65</v>
      </c>
      <c r="AA46" s="2606"/>
      <c r="AB46" s="2448" t="s">
        <v>65</v>
      </c>
      <c r="AC46" s="1092"/>
      <c r="AD46" s="1092"/>
      <c r="AE46" s="1598"/>
      <c r="AF46" s="2606"/>
      <c r="AG46" s="2448" t="s">
        <v>65</v>
      </c>
      <c r="AH46" s="2628"/>
      <c r="AI46" s="2448" t="s">
        <v>65</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231</v>
      </c>
      <c r="B47" s="1704" t="s">
        <v>232</v>
      </c>
      <c r="C47" s="1704" t="s">
        <v>233</v>
      </c>
      <c r="D47" s="1704" t="s">
        <v>492</v>
      </c>
      <c r="E47" s="2600"/>
      <c r="F47" s="2600"/>
      <c r="G47" s="2600"/>
      <c r="H47" s="2600"/>
      <c r="I47" s="2627"/>
      <c r="J47" s="2627"/>
      <c r="K47" s="2597"/>
      <c r="L47" s="1705"/>
      <c r="P47" s="2598"/>
      <c r="Q47" s="2598"/>
      <c r="R47" s="698"/>
      <c r="S47" s="1797"/>
      <c r="T47" s="641"/>
      <c r="U47" s="641"/>
      <c r="V47" s="666"/>
      <c r="W47" s="666"/>
      <c r="X47" s="669" t="str">
        <f>Y46&amp;"-"&amp;AA46</f>
        <v>-</v>
      </c>
      <c r="Y47" s="2607"/>
      <c r="Z47" s="2448"/>
      <c r="AA47" s="2607"/>
      <c r="AB47" s="2448"/>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231</v>
      </c>
      <c r="B48" s="1704" t="s">
        <v>232</v>
      </c>
      <c r="C48" s="1704" t="s">
        <v>233</v>
      </c>
      <c r="D48" s="1704" t="s">
        <v>492</v>
      </c>
      <c r="E48" s="2600"/>
      <c r="F48" s="2600"/>
      <c r="G48" s="2600"/>
      <c r="H48" s="2600"/>
      <c r="I48" s="2627"/>
      <c r="J48" s="2597"/>
      <c r="K48" s="1704"/>
      <c r="L48" s="1705"/>
      <c r="P48" s="2598"/>
      <c r="Q48" s="2598"/>
      <c r="R48" s="697"/>
      <c r="S48" s="1619"/>
      <c r="T48" s="628" t="s">
        <v>481</v>
      </c>
      <c r="U48" s="708"/>
      <c r="V48" s="708"/>
      <c r="W48" s="708"/>
      <c r="X48" s="708"/>
      <c r="Y48" s="708"/>
      <c r="Z48" s="708"/>
      <c r="AA48" s="708"/>
      <c r="AB48" s="708"/>
      <c r="AC48" s="708"/>
      <c r="AD48" s="708"/>
      <c r="AE48" s="708"/>
      <c r="AF48" s="708"/>
      <c r="AG48" s="708"/>
      <c r="AH48" s="708"/>
      <c r="AI48" s="708"/>
      <c r="AJ48" s="708"/>
      <c r="AK48" s="1599" t="s">
        <v>482</v>
      </c>
      <c r="AM48" s="841"/>
      <c r="AN48" s="841" t="str">
        <f>IF(T48="","",T48)</f>
        <v>Добавить значение признака дифференциации</v>
      </c>
      <c r="AO48" s="841"/>
      <c r="AP48" s="841"/>
      <c r="AQ48" s="1496">
        <v>20</v>
      </c>
    </row>
    <row customHeight="1" ht="22.049999999999997">
      <c r="A49" s="1704" t="s">
        <v>231</v>
      </c>
      <c r="B49" s="1704" t="s">
        <v>232</v>
      </c>
      <c r="C49" s="1704" t="s">
        <v>233</v>
      </c>
      <c r="D49" s="1704" t="s">
        <v>492</v>
      </c>
      <c r="E49" s="2600"/>
      <c r="F49" s="2600"/>
      <c r="G49" s="2600"/>
      <c r="H49" s="2600"/>
      <c r="I49" s="2597"/>
      <c r="J49" s="1704"/>
      <c r="K49" s="1704"/>
      <c r="L49" s="1705"/>
      <c r="P49" s="2598"/>
      <c r="Q49" s="1791"/>
      <c r="R49" s="697"/>
      <c r="S49" s="1619"/>
      <c r="T49" s="706" t="s">
        <v>407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231</v>
      </c>
      <c r="B50" s="1704" t="s">
        <v>232</v>
      </c>
      <c r="C50" s="1704" t="s">
        <v>233</v>
      </c>
      <c r="D50" s="1704" t="s">
        <v>492</v>
      </c>
      <c r="E50" s="2600"/>
      <c r="F50" s="2600"/>
      <c r="G50" s="2600"/>
      <c r="H50" s="2599"/>
      <c r="I50" s="1704"/>
      <c r="J50" s="1704"/>
      <c r="K50" s="1704"/>
      <c r="L50" s="1705"/>
      <c r="M50" s="1706"/>
      <c r="N50" s="1706"/>
      <c r="O50" s="878"/>
      <c r="P50" s="701"/>
      <c r="Q50" s="716"/>
      <c r="R50" s="696"/>
      <c r="S50" s="1619"/>
      <c r="T50" s="713" t="s">
        <v>483</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17316" customFormat="1" customHeight="1" ht="0">
      <c r="A51" s="1684" t="s">
        <v>231</v>
      </c>
      <c r="B51" s="1684" t="s">
        <v>232</v>
      </c>
      <c r="C51" s="1655"/>
      <c r="D51" s="1655"/>
      <c r="E51" s="2600"/>
      <c r="F51" s="2599"/>
      <c r="G51" s="1655"/>
      <c r="H51" s="1655"/>
      <c r="I51" s="1655"/>
      <c r="J51" s="1655"/>
      <c r="K51" s="1655"/>
      <c r="L51" s="1799"/>
      <c r="M51" s="1662"/>
      <c r="N51" s="1662"/>
      <c r="P51" s="1657"/>
      <c r="Q51" s="1658"/>
      <c r="R51" s="1657"/>
      <c r="S51" s="1663"/>
      <c r="T51" s="1666" t="s">
        <v>410</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17316" customFormat="1" customHeight="1" ht="0">
      <c r="A52" s="1684" t="s">
        <v>231</v>
      </c>
      <c r="B52" s="1684"/>
      <c r="C52" s="1684"/>
      <c r="D52" s="1684"/>
      <c r="E52" s="2599"/>
      <c r="F52" s="1684"/>
      <c r="G52" s="1684"/>
      <c r="H52" s="1684"/>
      <c r="I52" s="1684"/>
      <c r="J52" s="1684"/>
      <c r="K52" s="1684"/>
      <c r="L52" s="1687"/>
      <c r="M52" s="1662"/>
      <c r="N52" s="1662"/>
      <c r="O52" s="859"/>
      <c r="P52" s="721"/>
      <c r="Q52" s="1685"/>
      <c r="R52" s="721"/>
      <c r="S52" s="1663"/>
      <c r="T52" s="1666" t="s">
        <v>411</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17316" customFormat="1" customHeight="1" ht="0">
      <c r="A53" s="1655"/>
      <c r="B53" s="1655"/>
      <c r="C53" s="1655"/>
      <c r="D53" s="1655"/>
      <c r="E53" s="1684"/>
      <c r="F53" s="1655"/>
      <c r="G53" s="1655"/>
      <c r="H53" s="1655"/>
      <c r="I53" s="1655"/>
      <c r="J53" s="1655"/>
      <c r="K53" s="1655"/>
      <c r="L53" s="1799"/>
      <c r="M53" s="1662"/>
      <c r="N53" s="1662"/>
      <c r="P53" s="1657"/>
      <c r="Q53" s="1658"/>
      <c r="R53" s="1657"/>
      <c r="S53" s="1663"/>
      <c r="T53" s="1666" t="s">
        <v>443</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82</v>
      </c>
      <c r="B58" s="1501">
        <v>0</v>
      </c>
      <c r="C58" s="1501">
        <v>0</v>
      </c>
      <c r="D58" s="1501">
        <v>0</v>
      </c>
      <c r="E58" s="1501">
        <v>0</v>
      </c>
      <c r="F58" s="1501">
        <v>0</v>
      </c>
      <c r="G58" s="1501">
        <v>0</v>
      </c>
      <c r="H58" s="1501">
        <v>0</v>
      </c>
      <c r="I58" s="1501">
        <v>0</v>
      </c>
      <c r="J58" s="1501">
        <v>0</v>
      </c>
      <c r="K58" s="1501">
        <v>0</v>
      </c>
      <c r="L58" s="1788">
        <v>0</v>
      </c>
      <c r="M58" s="1703">
        <v>0</v>
      </c>
      <c r="N58" s="1703">
        <v>0</v>
      </c>
      <c r="O58" s="1703">
        <v>0</v>
      </c>
      <c r="P58" s="1787">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C3AF56-972F-6D59-C094-DE7D9081C65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4.140625" hidden="1" customWidth="1"/>
    <col min="10" max="10" style="17315" width="9.8515625" hidden="1" customWidth="1"/>
    <col min="11" max="11" style="17315" width="14.71093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4" style="17239" width="24.7109375" hidden="1" customWidth="1"/>
    <col min="25" max="25" style="17239" width="11.7109375" hidden="1" customWidth="1"/>
    <col min="26" max="26" style="17239" width="3.7109375" hidden="1" customWidth="1"/>
    <col min="27" max="27" style="17239" width="11.7109375" hidden="1" customWidth="1"/>
    <col min="28" max="28" style="17239" width="8.57421875" hidden="1" customWidth="1"/>
    <col min="29" max="29" style="17239" width="24.7109375" customWidth="1"/>
    <col min="30" max="31" style="17239" width="24.00390625" customWidth="1"/>
    <col min="32" max="32" style="17239" width="11.00390625" customWidth="1"/>
    <col min="33" max="33" style="17239" width="3.7109375" customWidth="1"/>
    <col min="34" max="34" style="17239" width="11.00390625" customWidth="1"/>
    <col min="35" max="35" style="17239" width="8.57421875" hidden="1" customWidth="1"/>
    <col min="36" max="36" style="17239" width="4.00390625" customWidth="1"/>
    <col min="37" max="37" style="17239" width="115.00390625" customWidth="1"/>
    <col min="38" max="42" style="17316" width="10.00390625" customWidth="1"/>
    <col min="43" max="43" style="17239"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798">
        <f>INDEX(PT_DIFFERENTIATION_NUM_NTAR,MATCH(A2,PT_DIFFERENTIATION_NTAR_ID,0))</f>
      </c>
      <c r="T2" s="639" t="s">
        <v>120</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794"/>
      <c r="Q3" s="693"/>
      <c r="R3" s="694"/>
      <c r="S3" s="1798">
        <f>INDEX(PT_DIFFERENTIATION_NUM_TER,MATCH(B3,PT_DIFFERENTIATION_TER_ID,0))</f>
      </c>
      <c r="T3" s="649" t="s">
        <v>392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393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798">
        <f>INDEX(PT_DIFFERENTIATION_NUM_CS,MATCH(C4,PT_DIFFERENTIATION_CS_ID,0))</f>
      </c>
      <c r="T4" s="650" t="s">
        <v>476</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477</v>
      </c>
      <c r="AM4" s="841"/>
      <c r="AN4" s="841" t="str">
        <f>IF(T4="","",T4)</f>
        <v>Наименование централизованной системы холодного водоснабжения</v>
      </c>
      <c r="AO4" s="841"/>
      <c r="AP4" s="841"/>
      <c r="AQ4" s="1496">
        <v>0</v>
      </c>
    </row>
    <row customHeight="1" ht="23.25" hidden="1">
      <c r="A5" s="1704"/>
      <c r="B5" s="1704"/>
      <c r="C5" s="1704"/>
      <c r="D5" s="1704"/>
      <c r="E5" s="2600"/>
      <c r="F5" s="2600"/>
      <c r="G5" s="2600"/>
      <c r="H5" s="2600"/>
      <c r="I5" s="2597">
        <f>S4&amp;".1"</f>
      </c>
      <c r="J5" s="1704"/>
      <c r="K5" s="1704"/>
      <c r="L5" s="1705"/>
      <c r="P5" s="2598">
        <v>1</v>
      </c>
      <c r="Q5" s="1791"/>
      <c r="R5" s="697"/>
      <c r="S5" s="1798">
        <f>$I5</f>
      </c>
      <c r="T5" s="626" t="s">
        <v>478</v>
      </c>
      <c r="U5" s="641"/>
      <c r="V5" s="2691"/>
      <c r="W5" s="2692"/>
      <c r="X5" s="2692"/>
      <c r="Y5" s="2692"/>
      <c r="Z5" s="2692"/>
      <c r="AA5" s="2692"/>
      <c r="AB5" s="2693"/>
      <c r="AC5" s="2694"/>
      <c r="AD5" s="2695"/>
      <c r="AE5" s="2695"/>
      <c r="AF5" s="2695"/>
      <c r="AG5" s="2695"/>
      <c r="AH5" s="2695"/>
      <c r="AI5" s="2695"/>
      <c r="AJ5" s="2696"/>
      <c r="AK5" s="1599" t="s">
        <v>479</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401</v>
      </c>
      <c r="P6" s="2598"/>
      <c r="Q6" s="2598">
        <v>1</v>
      </c>
      <c r="R6" s="698"/>
      <c r="S6" s="1798">
        <f>$J6</f>
      </c>
      <c r="T6" s="627" t="s">
        <v>402</v>
      </c>
      <c r="U6" s="641"/>
      <c r="V6" s="2586"/>
      <c r="W6" s="2587"/>
      <c r="X6" s="2587"/>
      <c r="Y6" s="2587"/>
      <c r="Z6" s="2587"/>
      <c r="AA6" s="2587"/>
      <c r="AB6" s="2588"/>
      <c r="AC6" s="2586"/>
      <c r="AD6" s="2587"/>
      <c r="AE6" s="2587"/>
      <c r="AF6" s="2587"/>
      <c r="AG6" s="2587"/>
      <c r="AH6" s="2587"/>
      <c r="AI6" s="2587"/>
      <c r="AJ6" s="2588"/>
      <c r="AK6" s="1648" t="s">
        <v>480</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798">
        <f>$K7</f>
      </c>
      <c r="T7" s="1778"/>
      <c r="U7" s="641"/>
      <c r="V7" s="1092"/>
      <c r="W7" s="1092"/>
      <c r="X7" s="1598"/>
      <c r="Y7" s="2606"/>
      <c r="Z7" s="2448" t="s">
        <v>65</v>
      </c>
      <c r="AA7" s="2606"/>
      <c r="AB7" s="2448" t="s">
        <v>65</v>
      </c>
      <c r="AC7" s="1092"/>
      <c r="AD7" s="1092"/>
      <c r="AE7" s="1598"/>
      <c r="AF7" s="2606"/>
      <c r="AG7" s="2448" t="s">
        <v>65</v>
      </c>
      <c r="AH7" s="2628"/>
      <c r="AI7" s="2448" t="s">
        <v>65</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797"/>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481</v>
      </c>
      <c r="U9" s="708"/>
      <c r="V9" s="708"/>
      <c r="W9" s="708"/>
      <c r="X9" s="708"/>
      <c r="Y9" s="708"/>
      <c r="Z9" s="708"/>
      <c r="AA9" s="708"/>
      <c r="AB9" s="708"/>
      <c r="AC9" s="708"/>
      <c r="AD9" s="708"/>
      <c r="AE9" s="708"/>
      <c r="AF9" s="708"/>
      <c r="AG9" s="708"/>
      <c r="AH9" s="708"/>
      <c r="AI9" s="708"/>
      <c r="AJ9" s="708"/>
      <c r="AK9" s="1599" t="s">
        <v>482</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791"/>
      <c r="R10" s="697"/>
      <c r="S10" s="1619"/>
      <c r="T10" s="706" t="s">
        <v>407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483</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17316" customFormat="1" customHeight="1" ht="14.25" hidden="1">
      <c r="A12" s="1684"/>
      <c r="B12" s="1684"/>
      <c r="C12" s="1655"/>
      <c r="D12" s="1655"/>
      <c r="E12" s="2600"/>
      <c r="F12" s="2599"/>
      <c r="G12" s="1655"/>
      <c r="H12" s="1655"/>
      <c r="I12" s="1655"/>
      <c r="J12" s="1655"/>
      <c r="K12" s="1655"/>
      <c r="L12" s="1799"/>
      <c r="M12" s="1662"/>
      <c r="N12" s="1662"/>
      <c r="P12" s="1657"/>
      <c r="Q12" s="1658"/>
      <c r="R12" s="1657"/>
      <c r="S12" s="1663"/>
      <c r="T12" s="1666" t="s">
        <v>410</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1731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411</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65</v>
      </c>
      <c r="AH15" s="2608"/>
      <c r="AI15" s="2609" t="s">
        <v>65</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17315" customFormat="1" customHeight="1" ht="22.5" hidden="1">
      <c r="L18" s="1788"/>
      <c r="M18" s="1703"/>
      <c r="N18" s="1703"/>
      <c r="O18" s="1708" t="s">
        <v>412</v>
      </c>
      <c r="P18" s="1703"/>
      <c r="Q18" s="1712"/>
      <c r="R18" s="1712"/>
      <c r="S18" s="1070"/>
      <c r="Y18" s="1708"/>
      <c r="AA18" s="1708"/>
      <c r="AB18" s="1707"/>
      <c r="AF18" s="1708"/>
      <c r="AH18" s="1708"/>
      <c r="AI18" s="1707"/>
      <c r="AL18" s="852"/>
      <c r="AM18" s="852"/>
      <c r="AN18" s="852"/>
      <c r="AO18" s="852"/>
      <c r="AP18" s="852"/>
      <c r="AQ18" s="1501">
        <v>0</v>
      </c>
    </row>
    <row s="17315" customFormat="1" customHeight="1" ht="14.25" hidden="1">
      <c r="L19" s="1788"/>
      <c r="M19" s="1703"/>
      <c r="N19" s="1703"/>
      <c r="O19" s="1703"/>
      <c r="P19" s="1703"/>
      <c r="Q19" s="1712"/>
      <c r="R19" s="1712"/>
      <c r="S19" s="1070"/>
      <c r="AB19" s="1707"/>
      <c r="AI19" s="1707"/>
      <c r="AL19" s="852"/>
      <c r="AM19" s="852"/>
      <c r="AN19" s="852"/>
      <c r="AO19" s="852"/>
      <c r="AP19" s="852"/>
      <c r="AQ19" s="1501">
        <v>0</v>
      </c>
    </row>
    <row s="17315" customFormat="1" customHeight="1" ht="12" hidden="1">
      <c r="L20" s="1788"/>
      <c r="M20" s="1703"/>
      <c r="N20" s="1703"/>
      <c r="O20" s="1705" t="s">
        <v>413</v>
      </c>
      <c r="P20" s="1703"/>
      <c r="Q20" s="1783"/>
      <c r="R20" s="1783"/>
      <c r="S20" s="1070"/>
      <c r="T20" s="1501" t="s">
        <v>414</v>
      </c>
      <c r="Z20" s="527" t="s">
        <v>415</v>
      </c>
      <c r="AB20" s="527" t="s">
        <v>416</v>
      </c>
      <c r="AC20" s="1501" t="s">
        <v>414</v>
      </c>
      <c r="AG20" s="527" t="s">
        <v>417</v>
      </c>
      <c r="AI20" s="527" t="s">
        <v>416</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17442" customFormat="1" customHeight="1" ht="25.5" hidden="1">
      <c r="A27" s="1709"/>
      <c r="B27" s="1709"/>
      <c r="C27" s="1709"/>
      <c r="D27" s="1709"/>
      <c r="E27" s="1709"/>
      <c r="F27" s="1709"/>
      <c r="G27" s="1709"/>
      <c r="H27" s="1709"/>
      <c r="I27" s="1709"/>
      <c r="J27" s="1709"/>
      <c r="K27" s="1709"/>
      <c r="L27" s="1710"/>
      <c r="M27" s="1709"/>
      <c r="N27" s="1709"/>
      <c r="O27" s="1709"/>
      <c r="S27" s="2591" t="s">
        <v>41</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17442" customFormat="1" customHeight="1" ht="18.75" hidden="1">
      <c r="A28" s="1709"/>
      <c r="B28" s="1709"/>
      <c r="C28" s="1709"/>
      <c r="D28" s="1709"/>
      <c r="E28" s="1709"/>
      <c r="F28" s="1709"/>
      <c r="G28" s="1709"/>
      <c r="H28" s="1709"/>
      <c r="I28" s="1709"/>
      <c r="J28" s="1709"/>
      <c r="K28" s="1709"/>
      <c r="L28" s="1710"/>
      <c r="M28" s="1709"/>
      <c r="N28" s="1709"/>
      <c r="O28" s="1709"/>
      <c r="S28" s="2591" t="s">
        <v>418</v>
      </c>
      <c r="T28" s="2591"/>
      <c r="U28" s="1713"/>
      <c r="V28" s="2605" t="str">
        <f>IF(TITLE_DATE_PR_CHANGE="",IF(TITLE_DATE_PR="","",TITLE_DATE_PR),TITLE_DATE_PR_CHANGE)</f>
        <v/>
      </c>
      <c r="W28" s="2605"/>
      <c r="X28" s="2605"/>
      <c r="Y28" s="2605"/>
      <c r="Z28" s="2605"/>
      <c r="AA28" s="2605"/>
      <c r="AB28" s="667"/>
      <c r="AC28" s="2605" t="str">
        <f>IF(TITLE_DATE_PR_CHANGE="",IF(TITLE_DATE_PR="","",TITLE_DATE_PR),TITLE_DATE_PR_CHANGE)</f>
        <v/>
      </c>
      <c r="AD28" s="2605"/>
      <c r="AE28" s="2605"/>
      <c r="AF28" s="2605"/>
      <c r="AG28" s="2605"/>
      <c r="AH28" s="2605"/>
      <c r="AI28" s="667"/>
      <c r="AJ28" s="667"/>
      <c r="AK28" s="621"/>
      <c r="AL28" s="709"/>
      <c r="AM28" s="709"/>
      <c r="AN28" s="709"/>
      <c r="AO28" s="709"/>
      <c r="AP28" s="709"/>
      <c r="AQ28" s="759">
        <v>0</v>
      </c>
    </row>
    <row s="17442" customFormat="1" customHeight="1" ht="18.75" hidden="1">
      <c r="A29" s="1709"/>
      <c r="B29" s="1709"/>
      <c r="C29" s="1709"/>
      <c r="D29" s="1709"/>
      <c r="E29" s="1709"/>
      <c r="F29" s="1709"/>
      <c r="G29" s="1709"/>
      <c r="H29" s="1709"/>
      <c r="I29" s="1709"/>
      <c r="J29" s="1709"/>
      <c r="K29" s="1709"/>
      <c r="L29" s="1710"/>
      <c r="M29" s="1709"/>
      <c r="N29" s="1709"/>
      <c r="O29" s="1709"/>
      <c r="S29" s="2591" t="s">
        <v>419</v>
      </c>
      <c r="T29" s="2591"/>
      <c r="U29" s="1713"/>
      <c r="V29" s="2592" t="str">
        <f>IF(TITLE_NUMBER_PR_CHANGE="",IF(TITLE_NUMBER_PR="","",TITLE_NUMBER_PR),TITLE_NUMBER_PR_CHANGE)</f>
        <v/>
      </c>
      <c r="W29" s="2592"/>
      <c r="X29" s="2592"/>
      <c r="Y29" s="2592"/>
      <c r="Z29" s="2592"/>
      <c r="AA29" s="2592"/>
      <c r="AB29" s="667"/>
      <c r="AC29" s="2592" t="str">
        <f>IF(TITLE_NUMBER_PR_CHANGE="",IF(TITLE_NUMBER_PR="","",TITLE_NUMBER_PR),TITLE_NUMBER_PR_CHANGE)</f>
        <v/>
      </c>
      <c r="AD29" s="2592"/>
      <c r="AE29" s="2592"/>
      <c r="AF29" s="2592"/>
      <c r="AG29" s="2592"/>
      <c r="AH29" s="2592"/>
      <c r="AI29" s="667"/>
      <c r="AJ29" s="667"/>
      <c r="AK29" s="621"/>
      <c r="AL29" s="709"/>
      <c r="AM29" s="709"/>
      <c r="AN29" s="709"/>
      <c r="AO29" s="709"/>
      <c r="AP29" s="709"/>
      <c r="AQ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42</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hidden="1">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17442" customFormat="1" customHeight="1" ht="18.75" hidden="1">
      <c r="A32" s="1709"/>
      <c r="B32" s="1709"/>
      <c r="C32" s="1709"/>
      <c r="D32" s="1709"/>
      <c r="E32" s="1709"/>
      <c r="F32" s="1709"/>
      <c r="G32" s="1709"/>
      <c r="H32" s="1709"/>
      <c r="I32" s="1709"/>
      <c r="J32" s="1709"/>
      <c r="K32" s="1709"/>
      <c r="L32" s="1710"/>
      <c r="M32" s="1709"/>
      <c r="N32" s="1709"/>
      <c r="O32" s="1709"/>
      <c r="S32" s="2591" t="s">
        <v>420</v>
      </c>
      <c r="T32" s="2591"/>
      <c r="U32" s="1713"/>
      <c r="V32" s="2605" t="str">
        <f>IF(TITLE_DATE_PR_CHANGE="",IF(TITLE_DATE_PR="","",TITLE_DATE_PR),TITLE_DATE_PR_CHANGE)</f>
        <v/>
      </c>
      <c r="W32" s="2605"/>
      <c r="X32" s="2605"/>
      <c r="Y32" s="2605"/>
      <c r="Z32" s="2605"/>
      <c r="AA32" s="2605"/>
      <c r="AB32" s="667"/>
      <c r="AC32" s="2605" t="str">
        <f>IF(TITLE_DATE_PR_CHANGE="",IF(TITLE_DATE_PR="","",TITLE_DATE_PR),TITLE_DATE_PR_CHANGE)</f>
        <v/>
      </c>
      <c r="AD32" s="2605"/>
      <c r="AE32" s="2605"/>
      <c r="AF32" s="2605"/>
      <c r="AG32" s="2605"/>
      <c r="AH32" s="2605"/>
      <c r="AI32" s="667"/>
      <c r="AJ32" s="667"/>
      <c r="AK32" s="621"/>
      <c r="AL32" s="709"/>
      <c r="AM32" s="709"/>
      <c r="AN32" s="709"/>
      <c r="AO32" s="709"/>
      <c r="AP32" s="709"/>
      <c r="AQ32" s="759">
        <v>0</v>
      </c>
    </row>
    <row s="17442" customFormat="1" customHeight="1" ht="18.75" hidden="1">
      <c r="A33" s="1709"/>
      <c r="B33" s="1709"/>
      <c r="C33" s="1709"/>
      <c r="D33" s="1709"/>
      <c r="E33" s="1709"/>
      <c r="F33" s="1709"/>
      <c r="G33" s="1709"/>
      <c r="H33" s="1709"/>
      <c r="I33" s="1709"/>
      <c r="J33" s="1709"/>
      <c r="K33" s="1709"/>
      <c r="L33" s="1710"/>
      <c r="M33" s="1709"/>
      <c r="N33" s="1709"/>
      <c r="O33" s="1709"/>
      <c r="S33" s="2591" t="s">
        <v>421</v>
      </c>
      <c r="T33" s="2591"/>
      <c r="U33" s="1713"/>
      <c r="V33" s="2592" t="str">
        <f>IF(TITLE_NUMBER_PR_CHANGE="",IF(TITLE_NUMBER_PR="","",TITLE_NUMBER_PR),TITLE_NUMBER_PR_CHANGE)</f>
        <v/>
      </c>
      <c r="W33" s="2592"/>
      <c r="X33" s="2592"/>
      <c r="Y33" s="2592"/>
      <c r="Z33" s="2592"/>
      <c r="AA33" s="2592"/>
      <c r="AB33" s="667"/>
      <c r="AC33" s="2592" t="str">
        <f>IF(TITLE_NUMBER_PR_CHANGE="",IF(TITLE_NUMBER_PR="","",TITLE_NUMBER_PR),TITLE_NUMBER_PR_CHANGE)</f>
        <v/>
      </c>
      <c r="AD33" s="2592"/>
      <c r="AE33" s="2592"/>
      <c r="AF33" s="2592"/>
      <c r="AG33" s="2592"/>
      <c r="AH33" s="2592"/>
      <c r="AI33" s="667"/>
      <c r="AJ33" s="667"/>
      <c r="AK33" s="621"/>
      <c r="AL33" s="709"/>
      <c r="AM33" s="709"/>
      <c r="AN33" s="709"/>
      <c r="AO33" s="709"/>
      <c r="AP33" s="709"/>
      <c r="AQ33" s="759">
        <v>0</v>
      </c>
    </row>
    <row s="17442" customFormat="1" customHeight="1" ht="1.05">
      <c r="A34" s="1709"/>
      <c r="B34" s="1709"/>
      <c r="C34" s="1709"/>
      <c r="D34" s="1709"/>
      <c r="E34" s="1709"/>
      <c r="F34" s="1709"/>
      <c r="G34" s="1709"/>
      <c r="H34" s="1709"/>
      <c r="I34" s="1709"/>
      <c r="J34" s="1709"/>
      <c r="K34" s="1709"/>
      <c r="L34" s="1710"/>
      <c r="M34" s="1709"/>
      <c r="N34" s="1709"/>
      <c r="O34" s="1709"/>
      <c r="S34" s="664"/>
      <c r="T34" s="664"/>
      <c r="U34" s="1795"/>
      <c r="V34" s="667"/>
      <c r="W34" s="667"/>
      <c r="X34" s="667"/>
      <c r="Y34" s="667"/>
      <c r="Z34" s="667"/>
      <c r="AA34" s="667"/>
      <c r="AB34" s="619" t="s">
        <v>422</v>
      </c>
      <c r="AC34" s="667"/>
      <c r="AD34" s="667"/>
      <c r="AE34" s="667"/>
      <c r="AF34" s="667"/>
      <c r="AG34" s="667"/>
      <c r="AH34" s="667"/>
      <c r="AI34" s="619" t="s">
        <v>422</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295</v>
      </c>
      <c r="T36" s="2468"/>
      <c r="U36" s="2468"/>
      <c r="V36" s="2468"/>
      <c r="W36" s="2468"/>
      <c r="X36" s="2468"/>
      <c r="Y36" s="2468"/>
      <c r="Z36" s="2468"/>
      <c r="AA36" s="2468"/>
      <c r="AB36" s="2468"/>
      <c r="AC36" s="2468"/>
      <c r="AD36" s="2468"/>
      <c r="AE36" s="2468"/>
      <c r="AF36" s="2468"/>
      <c r="AG36" s="2468"/>
      <c r="AH36" s="2468"/>
      <c r="AI36" s="2468"/>
      <c r="AJ36" s="2468"/>
      <c r="AK36" s="2468" t="s">
        <v>296</v>
      </c>
      <c r="AQ36" s="1496">
        <v>14</v>
      </c>
    </row>
    <row customHeight="1" ht="14.699999999999998">
      <c r="Q37" s="717"/>
      <c r="R37" s="717"/>
      <c r="S37" s="2614" t="s">
        <v>88</v>
      </c>
      <c r="T37" s="2550" t="s">
        <v>423</v>
      </c>
      <c r="U37" s="642"/>
      <c r="V37" s="2615" t="s">
        <v>424</v>
      </c>
      <c r="W37" s="2616"/>
      <c r="X37" s="2616"/>
      <c r="Y37" s="2616"/>
      <c r="Z37" s="2616"/>
      <c r="AA37" s="2617"/>
      <c r="AB37" s="2618" t="s">
        <v>425</v>
      </c>
      <c r="AC37" s="2615" t="s">
        <v>424</v>
      </c>
      <c r="AD37" s="2616"/>
      <c r="AE37" s="2616"/>
      <c r="AF37" s="2616"/>
      <c r="AG37" s="2616"/>
      <c r="AH37" s="2617"/>
      <c r="AI37" s="2618" t="s">
        <v>426</v>
      </c>
      <c r="AJ37" s="2621" t="s">
        <v>427</v>
      </c>
      <c r="AK37" s="2468"/>
      <c r="AQ37" s="1496">
        <v>14</v>
      </c>
    </row>
    <row customHeight="1" ht="35.699999999999996">
      <c r="Q38" s="717"/>
      <c r="R38" s="717"/>
      <c r="S38" s="2614"/>
      <c r="T38" s="2550"/>
      <c r="U38" s="1372"/>
      <c r="V38" s="1793" t="s">
        <v>484</v>
      </c>
      <c r="W38" s="2603" t="s">
        <v>430</v>
      </c>
      <c r="X38" s="2604"/>
      <c r="Y38" s="2603" t="s">
        <v>431</v>
      </c>
      <c r="Z38" s="2610"/>
      <c r="AA38" s="2604"/>
      <c r="AB38" s="2619"/>
      <c r="AC38" s="1793" t="s">
        <v>484</v>
      </c>
      <c r="AD38" s="2603" t="s">
        <v>430</v>
      </c>
      <c r="AE38" s="2604"/>
      <c r="AF38" s="2603" t="s">
        <v>431</v>
      </c>
      <c r="AG38" s="2610"/>
      <c r="AH38" s="2604"/>
      <c r="AI38" s="2619"/>
      <c r="AJ38" s="2622"/>
      <c r="AK38" s="2468"/>
      <c r="AQ38" s="1496">
        <v>34</v>
      </c>
    </row>
    <row customHeight="1" ht="35.699999999999996">
      <c r="A39" s="1711"/>
      <c r="B39" s="1711" t="s">
        <v>132</v>
      </c>
      <c r="C39" s="1711" t="s">
        <v>133</v>
      </c>
      <c r="D39" s="1711" t="s">
        <v>134</v>
      </c>
      <c r="E39" s="1705" t="s">
        <v>432</v>
      </c>
      <c r="F39" s="1705" t="s">
        <v>433</v>
      </c>
      <c r="G39" s="1705" t="s">
        <v>434</v>
      </c>
      <c r="H39" s="1705"/>
      <c r="I39" s="1705" t="s">
        <v>485</v>
      </c>
      <c r="J39" s="1705" t="s">
        <v>437</v>
      </c>
      <c r="K39" s="1705" t="s">
        <v>486</v>
      </c>
      <c r="L39" s="1705" t="s">
        <v>413</v>
      </c>
      <c r="Q39" s="717"/>
      <c r="R39" s="717"/>
      <c r="S39" s="2614"/>
      <c r="T39" s="2550"/>
      <c r="U39" s="643"/>
      <c r="V39" s="1793" t="s">
        <v>487</v>
      </c>
      <c r="W39" s="1563" t="s">
        <v>488</v>
      </c>
      <c r="X39" s="1563" t="s">
        <v>489</v>
      </c>
      <c r="Y39" s="1796" t="s">
        <v>441</v>
      </c>
      <c r="Z39" s="2611" t="s">
        <v>442</v>
      </c>
      <c r="AA39" s="2612"/>
      <c r="AB39" s="2620"/>
      <c r="AC39" s="1793" t="s">
        <v>487</v>
      </c>
      <c r="AD39" s="1563" t="s">
        <v>488</v>
      </c>
      <c r="AE39" s="1563" t="s">
        <v>489</v>
      </c>
      <c r="AF39" s="1796" t="s">
        <v>441</v>
      </c>
      <c r="AG39" s="2611" t="s">
        <v>442</v>
      </c>
      <c r="AH39" s="2612"/>
      <c r="AI39" s="2620"/>
      <c r="AJ39" s="2623"/>
      <c r="AK39" s="2468"/>
      <c r="AQ39" s="1496">
        <v>34</v>
      </c>
    </row>
    <row s="17832" customFormat="1" customHeight="1" ht="0">
      <c r="A40" s="1711"/>
      <c r="B40" s="1711"/>
      <c r="C40" s="1711"/>
      <c r="D40" s="1711"/>
      <c r="E40" s="1711"/>
      <c r="F40" s="1711"/>
      <c r="G40" s="1711"/>
      <c r="H40" s="1711"/>
      <c r="I40" s="1711"/>
      <c r="J40" s="1711"/>
      <c r="K40" s="1711"/>
      <c r="L40" s="1705"/>
      <c r="M40" s="1703"/>
      <c r="N40" s="1703"/>
      <c r="O40" s="1703"/>
      <c r="P40" s="1587"/>
      <c r="Q40" s="1588"/>
      <c r="R40" s="1595">
        <v>1</v>
      </c>
      <c r="S40" s="1618" t="s">
        <v>106</v>
      </c>
      <c r="T40" s="1596" t="s">
        <v>107</v>
      </c>
      <c r="U40" s="1586" t="str">
        <f>OFFSET(U40,0,-1)</f>
        <v>2</v>
      </c>
      <c r="V40" s="1792">
        <f>OFFSET(V40,0,-1)+1</f>
        <v>3</v>
      </c>
      <c r="W40" s="1792">
        <f>OFFSET(W40,0,-1)+1</f>
        <v>4</v>
      </c>
      <c r="X40" s="1792">
        <f>OFFSET(X40,0,-1)+1</f>
        <v>5</v>
      </c>
      <c r="Y40" s="1792">
        <f>OFFSET(Y40,0,-1)+1</f>
        <v>6</v>
      </c>
      <c r="Z40" s="2613">
        <f>OFFSET(Z40,0,-1)+1</f>
        <v>7</v>
      </c>
      <c r="AA40" s="2613"/>
      <c r="AB40" s="1792">
        <f>OFFSET(AB40,0,-2)+1</f>
        <v>8</v>
      </c>
      <c r="AC40" s="1792">
        <f>OFFSET(AC40,0,-1)+1</f>
        <v>9</v>
      </c>
      <c r="AD40" s="1792">
        <f>OFFSET(AD40,0,-1)+1</f>
        <v>10</v>
      </c>
      <c r="AE40" s="1792">
        <f>OFFSET(AE40,0,-1)+1</f>
        <v>11</v>
      </c>
      <c r="AF40" s="1792">
        <f>OFFSET(AF40,0,-1)+1</f>
        <v>12</v>
      </c>
      <c r="AG40" s="2613">
        <f>OFFSET(AG40,0,-1)+1</f>
        <v>13</v>
      </c>
      <c r="AH40" s="2613"/>
      <c r="AI40" s="1792">
        <f>OFFSET(AI40,0,-2)+1</f>
        <v>14</v>
      </c>
      <c r="AJ40" s="1586">
        <f>OFFSET(AJ40,0,-1)</f>
        <v>14</v>
      </c>
      <c r="AK40" s="1792">
        <f>OFFSET(AK40,0,-1)+1</f>
        <v>15</v>
      </c>
      <c r="AL40" s="852"/>
      <c r="AM40" s="852"/>
      <c r="AN40" s="852"/>
      <c r="AO40" s="852"/>
      <c r="AP40" s="852"/>
      <c r="AQ40" s="837">
        <v>0</v>
      </c>
    </row>
    <row customHeight="1" ht="24">
      <c r="A41" s="1704" t="s">
        <v>236</v>
      </c>
      <c r="B41" s="1704"/>
      <c r="C41" s="1704"/>
      <c r="D41" s="1704"/>
      <c r="E41" s="2599">
        <v>1</v>
      </c>
      <c r="F41" s="1704"/>
      <c r="G41" s="1704"/>
      <c r="H41" s="1704"/>
      <c r="I41" s="1704"/>
      <c r="J41" s="1704"/>
      <c r="K41" s="1704"/>
      <c r="L41" s="1705"/>
      <c r="M41" s="1706"/>
      <c r="N41" s="1706"/>
      <c r="O41" s="1706"/>
      <c r="P41" s="702"/>
      <c r="Q41" s="701"/>
      <c r="R41" s="696"/>
      <c r="S41" s="1798">
        <f>INDEX(PT_DIFFERENTIATION_NUM_NTAR,MATCH(A41,PT_DIFFERENTIATION_NTAR_ID,0))</f>
        <v>0</v>
      </c>
      <c r="T41" s="639" t="s">
        <v>120</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236</v>
      </c>
      <c r="B42" s="1704" t="s">
        <v>237</v>
      </c>
      <c r="C42" s="1704"/>
      <c r="D42" s="1704"/>
      <c r="E42" s="2600"/>
      <c r="F42" s="2599">
        <v>1</v>
      </c>
      <c r="G42" s="1704"/>
      <c r="H42" s="1704"/>
      <c r="I42" s="1704"/>
      <c r="J42" s="1704"/>
      <c r="K42" s="1704"/>
      <c r="L42" s="1705"/>
      <c r="M42" s="1706"/>
      <c r="N42" s="1706"/>
      <c r="O42" s="1706"/>
      <c r="P42" s="1794"/>
      <c r="Q42" s="693"/>
      <c r="R42" s="694"/>
      <c r="S42" s="1798" t="str">
        <f>INDEX(PT_DIFFERENTIATION_NUM_TER,MATCH(B42,PT_DIFFERENTIATION_TER_ID,0))</f>
        <v>.</v>
      </c>
      <c r="T42" s="649" t="s">
        <v>392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393</v>
      </c>
      <c r="AM42" s="841"/>
      <c r="AN42" s="841" t="str">
        <f>IF(T42="","",T42)</f>
        <v>Территория действия тарифа</v>
      </c>
      <c r="AO42" s="841"/>
      <c r="AP42" s="841"/>
      <c r="AQ42" s="1496">
        <v>23</v>
      </c>
    </row>
    <row customHeight="1" ht="24">
      <c r="A43" s="1704" t="s">
        <v>236</v>
      </c>
      <c r="B43" s="1704" t="s">
        <v>237</v>
      </c>
      <c r="C43" s="1704" t="s">
        <v>238</v>
      </c>
      <c r="D43" s="1704"/>
      <c r="E43" s="2600"/>
      <c r="F43" s="2600"/>
      <c r="G43" s="2599">
        <v>1</v>
      </c>
      <c r="H43" s="1704"/>
      <c r="I43" s="1704"/>
      <c r="J43" s="1704"/>
      <c r="K43" s="1704"/>
      <c r="L43" s="1705"/>
      <c r="M43" s="1706"/>
      <c r="N43" s="1706"/>
      <c r="O43" s="1706"/>
      <c r="P43" s="695"/>
      <c r="Q43" s="693"/>
      <c r="R43" s="694"/>
      <c r="S43" s="1798" t="str">
        <f>INDEX(PT_DIFFERENTIATION_NUM_CS,MATCH(C43,PT_DIFFERENTIATION_CS_ID,0))</f>
        <v>..</v>
      </c>
      <c r="T43" s="650" t="s">
        <v>476</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477</v>
      </c>
      <c r="AM43" s="841"/>
      <c r="AN43" s="841" t="str">
        <f>IF(T43="","",T43)</f>
        <v>Наименование централизованной системы холодного водоснабжения</v>
      </c>
      <c r="AO43" s="841"/>
      <c r="AP43" s="841"/>
      <c r="AQ43" s="1496">
        <v>23</v>
      </c>
    </row>
    <row customHeight="1" ht="24">
      <c r="A44" s="1704" t="s">
        <v>236</v>
      </c>
      <c r="B44" s="1704" t="s">
        <v>237</v>
      </c>
      <c r="C44" s="1704" t="s">
        <v>238</v>
      </c>
      <c r="D44" s="1704" t="s">
        <v>493</v>
      </c>
      <c r="E44" s="2600"/>
      <c r="F44" s="2600"/>
      <c r="G44" s="2600"/>
      <c r="H44" s="2600"/>
      <c r="I44" s="2597" t="str">
        <f>S43&amp;".1"</f>
        <v>...1</v>
      </c>
      <c r="J44" s="1704"/>
      <c r="K44" s="1704"/>
      <c r="L44" s="1705"/>
      <c r="P44" s="2598">
        <v>1</v>
      </c>
      <c r="Q44" s="1791"/>
      <c r="R44" s="697"/>
      <c r="S44" s="1798" t="str">
        <f>$I44</f>
        <v>...1</v>
      </c>
      <c r="T44" s="626" t="s">
        <v>478</v>
      </c>
      <c r="U44" s="641"/>
      <c r="V44" s="2691"/>
      <c r="W44" s="2692"/>
      <c r="X44" s="2692"/>
      <c r="Y44" s="2692"/>
      <c r="Z44" s="2692"/>
      <c r="AA44" s="2692"/>
      <c r="AB44" s="2693"/>
      <c r="AC44" s="2694"/>
      <c r="AD44" s="2695"/>
      <c r="AE44" s="2695"/>
      <c r="AF44" s="2695"/>
      <c r="AG44" s="2695"/>
      <c r="AH44" s="2695"/>
      <c r="AI44" s="2695"/>
      <c r="AJ44" s="2696"/>
      <c r="AK44" s="1599" t="s">
        <v>479</v>
      </c>
      <c r="AM44" s="841"/>
      <c r="AN44" s="841" t="str">
        <f>IF(T44="","",T44)</f>
        <v>Наименование признака дифференциации</v>
      </c>
      <c r="AO44" s="841"/>
      <c r="AP44" s="841"/>
      <c r="AQ44" s="1496">
        <v>23</v>
      </c>
    </row>
    <row customHeight="1" ht="24">
      <c r="A45" s="1704" t="s">
        <v>236</v>
      </c>
      <c r="B45" s="1704" t="s">
        <v>237</v>
      </c>
      <c r="C45" s="1704" t="s">
        <v>238</v>
      </c>
      <c r="D45" s="1704" t="s">
        <v>493</v>
      </c>
      <c r="E45" s="2600"/>
      <c r="F45" s="2600"/>
      <c r="G45" s="2600"/>
      <c r="H45" s="2600"/>
      <c r="I45" s="2627"/>
      <c r="J45" s="2597" t="str">
        <f>I44&amp;".1"</f>
        <v>...1.1</v>
      </c>
      <c r="K45" s="1704"/>
      <c r="L45" s="1705" t="s">
        <v>401</v>
      </c>
      <c r="P45" s="2598"/>
      <c r="Q45" s="2598">
        <v>1</v>
      </c>
      <c r="R45" s="698"/>
      <c r="S45" s="1798" t="str">
        <f>$J45</f>
        <v>...1.1</v>
      </c>
      <c r="T45" s="627" t="s">
        <v>402</v>
      </c>
      <c r="U45" s="641"/>
      <c r="V45" s="2586"/>
      <c r="W45" s="2587"/>
      <c r="X45" s="2587"/>
      <c r="Y45" s="2587"/>
      <c r="Z45" s="2587"/>
      <c r="AA45" s="2587"/>
      <c r="AB45" s="2588"/>
      <c r="AC45" s="2586"/>
      <c r="AD45" s="2587"/>
      <c r="AE45" s="2587"/>
      <c r="AF45" s="2587"/>
      <c r="AG45" s="2587"/>
      <c r="AH45" s="2587"/>
      <c r="AI45" s="2587"/>
      <c r="AJ45" s="2588"/>
      <c r="AK45" s="1648" t="s">
        <v>480</v>
      </c>
      <c r="AM45" s="841"/>
      <c r="AN45" s="841" t="str">
        <f>IF(T45="","",T45)</f>
        <v>Группа потребителей</v>
      </c>
      <c r="AO45" s="841"/>
      <c r="AP45" s="841"/>
      <c r="AQ45" s="1496">
        <v>23</v>
      </c>
    </row>
    <row customHeight="1" ht="24">
      <c r="A46" s="1704" t="s">
        <v>236</v>
      </c>
      <c r="B46" s="1704" t="s">
        <v>237</v>
      </c>
      <c r="C46" s="1704" t="s">
        <v>238</v>
      </c>
      <c r="D46" s="1704" t="s">
        <v>493</v>
      </c>
      <c r="E46" s="2600"/>
      <c r="F46" s="2600"/>
      <c r="G46" s="2600"/>
      <c r="H46" s="2600"/>
      <c r="I46" s="2627"/>
      <c r="J46" s="2627"/>
      <c r="K46" s="2597" t="str">
        <f>J45&amp;".1"</f>
        <v>...1.1.1</v>
      </c>
      <c r="L46" s="1705"/>
      <c r="P46" s="2598"/>
      <c r="Q46" s="2598"/>
      <c r="R46" s="698">
        <v>1</v>
      </c>
      <c r="S46" s="1798" t="str">
        <f>$K46</f>
        <v>...1.1.1</v>
      </c>
      <c r="T46" s="1778"/>
      <c r="U46" s="641"/>
      <c r="V46" s="1092"/>
      <c r="W46" s="1092"/>
      <c r="X46" s="1598"/>
      <c r="Y46" s="2606"/>
      <c r="Z46" s="2448" t="s">
        <v>65</v>
      </c>
      <c r="AA46" s="2606"/>
      <c r="AB46" s="2448" t="s">
        <v>65</v>
      </c>
      <c r="AC46" s="1092"/>
      <c r="AD46" s="1092"/>
      <c r="AE46" s="1598"/>
      <c r="AF46" s="2606"/>
      <c r="AG46" s="2448" t="s">
        <v>65</v>
      </c>
      <c r="AH46" s="2628"/>
      <c r="AI46" s="2448" t="s">
        <v>65</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236</v>
      </c>
      <c r="B47" s="1704" t="s">
        <v>237</v>
      </c>
      <c r="C47" s="1704" t="s">
        <v>238</v>
      </c>
      <c r="D47" s="1704" t="s">
        <v>493</v>
      </c>
      <c r="E47" s="2600"/>
      <c r="F47" s="2600"/>
      <c r="G47" s="2600"/>
      <c r="H47" s="2600"/>
      <c r="I47" s="2627"/>
      <c r="J47" s="2627"/>
      <c r="K47" s="2597"/>
      <c r="L47" s="1705"/>
      <c r="P47" s="2598"/>
      <c r="Q47" s="2598"/>
      <c r="R47" s="698"/>
      <c r="S47" s="1797"/>
      <c r="T47" s="641"/>
      <c r="U47" s="641"/>
      <c r="V47" s="666"/>
      <c r="W47" s="666"/>
      <c r="X47" s="669" t="str">
        <f>Y46&amp;"-"&amp;AA46</f>
        <v>-</v>
      </c>
      <c r="Y47" s="2607"/>
      <c r="Z47" s="2448"/>
      <c r="AA47" s="2607"/>
      <c r="AB47" s="2448"/>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236</v>
      </c>
      <c r="B48" s="1704" t="s">
        <v>237</v>
      </c>
      <c r="C48" s="1704" t="s">
        <v>238</v>
      </c>
      <c r="D48" s="1704" t="s">
        <v>493</v>
      </c>
      <c r="E48" s="2600"/>
      <c r="F48" s="2600"/>
      <c r="G48" s="2600"/>
      <c r="H48" s="2600"/>
      <c r="I48" s="2627"/>
      <c r="J48" s="2597"/>
      <c r="K48" s="1704"/>
      <c r="L48" s="1705"/>
      <c r="P48" s="2598"/>
      <c r="Q48" s="2598"/>
      <c r="R48" s="697"/>
      <c r="S48" s="1619"/>
      <c r="T48" s="628" t="s">
        <v>481</v>
      </c>
      <c r="U48" s="708"/>
      <c r="V48" s="708"/>
      <c r="W48" s="708"/>
      <c r="X48" s="708"/>
      <c r="Y48" s="708"/>
      <c r="Z48" s="708"/>
      <c r="AA48" s="708"/>
      <c r="AB48" s="708"/>
      <c r="AC48" s="708"/>
      <c r="AD48" s="708"/>
      <c r="AE48" s="708"/>
      <c r="AF48" s="708"/>
      <c r="AG48" s="708"/>
      <c r="AH48" s="708"/>
      <c r="AI48" s="708"/>
      <c r="AJ48" s="708"/>
      <c r="AK48" s="1599" t="s">
        <v>482</v>
      </c>
      <c r="AM48" s="841"/>
      <c r="AN48" s="841" t="str">
        <f>IF(T48="","",T48)</f>
        <v>Добавить значение признака дифференциации</v>
      </c>
      <c r="AO48" s="841"/>
      <c r="AP48" s="841"/>
      <c r="AQ48" s="1496">
        <v>20</v>
      </c>
    </row>
    <row customHeight="1" ht="22.049999999999997">
      <c r="A49" s="1704" t="s">
        <v>236</v>
      </c>
      <c r="B49" s="1704" t="s">
        <v>237</v>
      </c>
      <c r="C49" s="1704" t="s">
        <v>238</v>
      </c>
      <c r="D49" s="1704" t="s">
        <v>493</v>
      </c>
      <c r="E49" s="2600"/>
      <c r="F49" s="2600"/>
      <c r="G49" s="2600"/>
      <c r="H49" s="2600"/>
      <c r="I49" s="2597"/>
      <c r="J49" s="1704"/>
      <c r="K49" s="1704"/>
      <c r="L49" s="1705"/>
      <c r="P49" s="2598"/>
      <c r="Q49" s="1791"/>
      <c r="R49" s="697"/>
      <c r="S49" s="1619"/>
      <c r="T49" s="706" t="s">
        <v>407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236</v>
      </c>
      <c r="B50" s="1704" t="s">
        <v>237</v>
      </c>
      <c r="C50" s="1704" t="s">
        <v>238</v>
      </c>
      <c r="D50" s="1704" t="s">
        <v>493</v>
      </c>
      <c r="E50" s="2600"/>
      <c r="F50" s="2600"/>
      <c r="G50" s="2600"/>
      <c r="H50" s="2599"/>
      <c r="I50" s="1704"/>
      <c r="J50" s="1704"/>
      <c r="K50" s="1704"/>
      <c r="L50" s="1705"/>
      <c r="M50" s="1706"/>
      <c r="N50" s="1706"/>
      <c r="O50" s="878"/>
      <c r="P50" s="701"/>
      <c r="Q50" s="716"/>
      <c r="R50" s="696"/>
      <c r="S50" s="1619"/>
      <c r="T50" s="713" t="s">
        <v>483</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17316" customFormat="1" customHeight="1" ht="0">
      <c r="A51" s="1684" t="s">
        <v>236</v>
      </c>
      <c r="B51" s="1684" t="s">
        <v>237</v>
      </c>
      <c r="C51" s="1655"/>
      <c r="D51" s="1655"/>
      <c r="E51" s="2600"/>
      <c r="F51" s="2599"/>
      <c r="G51" s="1655"/>
      <c r="H51" s="1655"/>
      <c r="I51" s="1655"/>
      <c r="J51" s="1655"/>
      <c r="K51" s="1655"/>
      <c r="L51" s="1799"/>
      <c r="M51" s="1662"/>
      <c r="N51" s="1662"/>
      <c r="P51" s="1657"/>
      <c r="Q51" s="1658"/>
      <c r="R51" s="1657"/>
      <c r="S51" s="1663"/>
      <c r="T51" s="1666" t="s">
        <v>410</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17316" customFormat="1" customHeight="1" ht="0">
      <c r="A52" s="1684" t="s">
        <v>236</v>
      </c>
      <c r="B52" s="1684"/>
      <c r="C52" s="1684"/>
      <c r="D52" s="1684"/>
      <c r="E52" s="2599"/>
      <c r="F52" s="1684"/>
      <c r="G52" s="1684"/>
      <c r="H52" s="1684"/>
      <c r="I52" s="1684"/>
      <c r="J52" s="1684"/>
      <c r="K52" s="1684"/>
      <c r="L52" s="1687"/>
      <c r="M52" s="1662"/>
      <c r="N52" s="1662"/>
      <c r="O52" s="859"/>
      <c r="P52" s="721"/>
      <c r="Q52" s="1685"/>
      <c r="R52" s="721"/>
      <c r="S52" s="1663"/>
      <c r="T52" s="1666" t="s">
        <v>411</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17316" customFormat="1" customHeight="1" ht="0">
      <c r="A53" s="1655"/>
      <c r="B53" s="1655"/>
      <c r="C53" s="1655"/>
      <c r="D53" s="1655"/>
      <c r="E53" s="1684"/>
      <c r="F53" s="1655"/>
      <c r="G53" s="1655"/>
      <c r="H53" s="1655"/>
      <c r="I53" s="1655"/>
      <c r="J53" s="1655"/>
      <c r="K53" s="1655"/>
      <c r="L53" s="1799"/>
      <c r="M53" s="1662"/>
      <c r="N53" s="1662"/>
      <c r="P53" s="1657"/>
      <c r="Q53" s="1658"/>
      <c r="R53" s="1657"/>
      <c r="S53" s="1663"/>
      <c r="T53" s="1666" t="s">
        <v>443</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82</v>
      </c>
      <c r="B58" s="1501">
        <v>0</v>
      </c>
      <c r="C58" s="1501">
        <v>0</v>
      </c>
      <c r="D58" s="1501">
        <v>0</v>
      </c>
      <c r="E58" s="1501">
        <v>0</v>
      </c>
      <c r="F58" s="1501">
        <v>0</v>
      </c>
      <c r="G58" s="1501">
        <v>0</v>
      </c>
      <c r="H58" s="1501">
        <v>0</v>
      </c>
      <c r="I58" s="1501">
        <v>0</v>
      </c>
      <c r="J58" s="1501">
        <v>0</v>
      </c>
      <c r="K58" s="1501">
        <v>0</v>
      </c>
      <c r="L58" s="1788">
        <v>0</v>
      </c>
      <c r="M58" s="1703">
        <v>0</v>
      </c>
      <c r="N58" s="1703">
        <v>0</v>
      </c>
      <c r="O58" s="1703">
        <v>0</v>
      </c>
      <c r="P58" s="1787">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6D6BA8-EE8A-C802-F0B9-A02BAD49C234}"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7239" width="10.140625" hidden="1" customWidth="1"/>
    <col min="4" max="4" style="17239" width="11.8515625" hidden="1" customWidth="1"/>
    <col min="5" max="11" style="17239" width="10.140625" hidden="1" customWidth="1"/>
    <col min="12" max="12" style="17313" width="10.140625" hidden="1" customWidth="1"/>
    <col min="13" max="15" style="18078" width="10.140625" hidden="1" customWidth="1"/>
    <col min="16" max="16" style="18077" width="3.00390625" customWidth="1"/>
    <col min="17" max="17" style="18263" width="3.00390625" customWidth="1"/>
    <col min="18" max="18" style="18079" width="3.00390625" customWidth="1"/>
    <col min="19" max="19" style="18080" width="12.00390625" customWidth="1"/>
    <col min="20" max="20" style="17239" width="31.00390625" customWidth="1"/>
    <col min="21" max="21" style="17239" width="0.140625" customWidth="1"/>
    <col min="22" max="23" style="17239" width="21.7109375" hidden="1" customWidth="1"/>
    <col min="24" max="24" style="17239" width="11.7109375" hidden="1" customWidth="1"/>
    <col min="25" max="25" style="17239" width="3.7109375" hidden="1" customWidth="1"/>
    <col min="26" max="26" style="17239" width="11.7109375" hidden="1" customWidth="1"/>
    <col min="27" max="27" style="17239" width="8.57421875" hidden="1" customWidth="1"/>
    <col min="28" max="28" style="17239" width="27.00390625" customWidth="1"/>
    <col min="29" max="29" style="17239" width="24.57421875" customWidth="1"/>
    <col min="30" max="31" style="17239" width="21.00390625" customWidth="1"/>
    <col min="32" max="32" style="17239" width="11.00390625" customWidth="1"/>
    <col min="33" max="33" style="17239" width="3.7109375" customWidth="1"/>
    <col min="34" max="34" style="17239" width="11.00390625" customWidth="1"/>
    <col min="35" max="35" style="17239" width="8.57421875" hidden="1" customWidth="1"/>
    <col min="36" max="36" style="17239" width="4.00390625" customWidth="1"/>
    <col min="37" max="37" style="17239" width="115.00390625" customWidth="1"/>
    <col min="38" max="42" style="17316" width="10.00390625" customWidth="1"/>
    <col min="43" max="43" style="17239" width="10.57421875" hidden="1"/>
  </cols>
  <sheetData>
    <row customHeight="1" ht="0.75" hidden="1">
      <c r="AQ1" s="1972" t="s">
        <v>14</v>
      </c>
    </row>
    <row customHeight="1" ht="21" hidden="1">
      <c r="A2" s="1608"/>
      <c r="B2" s="1608"/>
      <c r="C2" s="1608"/>
      <c r="D2" s="1608"/>
      <c r="E2" s="2630">
        <v>1</v>
      </c>
      <c r="F2" s="1608"/>
      <c r="G2" s="1608"/>
      <c r="H2" s="1608"/>
      <c r="I2" s="1608"/>
      <c r="J2" s="1608"/>
      <c r="K2" s="1608"/>
      <c r="L2" s="1651"/>
      <c r="M2" s="1951"/>
      <c r="N2" s="1951"/>
      <c r="O2" s="1951"/>
      <c r="P2" s="1750"/>
      <c r="Q2" s="1214"/>
      <c r="R2" s="696"/>
      <c r="S2" s="2299">
        <f>INDEX(PT_DIFFERENTIATION_NUM_NTAR,MATCH(A2,PT_DIFFERENTIATION_NTAR_ID,0))</f>
      </c>
      <c r="T2" s="1866" t="s">
        <v>120</v>
      </c>
      <c r="U2" s="641"/>
      <c r="V2" s="2584"/>
      <c r="W2" s="2584"/>
      <c r="X2" s="2584"/>
      <c r="Y2" s="2584"/>
      <c r="Z2" s="2584"/>
      <c r="AA2" s="2585"/>
      <c r="AB2" s="2293"/>
      <c r="AC2" s="2584">
        <f>INDEX(PT_DIFFERENTIATION_NTAR,MATCH(A2,PT_DIFFERENTIATION_NTAR_ID,0))</f>
      </c>
      <c r="AD2" s="2584"/>
      <c r="AE2" s="2584"/>
      <c r="AF2" s="2584"/>
      <c r="AG2" s="2584"/>
      <c r="AH2" s="2584"/>
      <c r="AI2" s="2584"/>
      <c r="AJ2" s="2585"/>
      <c r="AK2" s="1599" t="s">
        <v>391</v>
      </c>
      <c r="AM2" s="1965"/>
      <c r="AN2" s="1965" t="str">
        <f>IF(T2="","",T2)</f>
        <v>Наименование тарифа</v>
      </c>
      <c r="AO2" s="1965"/>
      <c r="AP2" s="1965"/>
      <c r="AQ2" s="1972">
        <v>0</v>
      </c>
    </row>
    <row customHeight="1" ht="21" hidden="1">
      <c r="A3" s="1608"/>
      <c r="B3" s="1608"/>
      <c r="C3" s="1608"/>
      <c r="D3" s="1608"/>
      <c r="E3" s="2631"/>
      <c r="F3" s="2630">
        <v>1</v>
      </c>
      <c r="G3" s="1608"/>
      <c r="H3" s="1608"/>
      <c r="I3" s="1608"/>
      <c r="J3" s="1608"/>
      <c r="K3" s="1608"/>
      <c r="L3" s="1651"/>
      <c r="M3" s="1951"/>
      <c r="N3" s="1951"/>
      <c r="O3" s="1951"/>
      <c r="P3" s="2310"/>
      <c r="Q3" s="1752"/>
      <c r="R3" s="694"/>
      <c r="S3" s="2299">
        <f>INDEX(PT_DIFFERENTIATION_NUM_TER,MATCH(B3,PT_DIFFERENTIATION_TER_ID,0))</f>
      </c>
      <c r="T3" s="1863" t="s">
        <v>392</v>
      </c>
      <c r="U3" s="641"/>
      <c r="V3" s="2584"/>
      <c r="W3" s="2584"/>
      <c r="X3" s="2584"/>
      <c r="Y3" s="2584"/>
      <c r="Z3" s="2584"/>
      <c r="AA3" s="2585"/>
      <c r="AB3" s="2293"/>
      <c r="AC3" s="2584">
        <f>INDEX(PT_DIFFERENTIATION_TER,MATCH(B3,PT_DIFFERENTIATION_TER_ID,0))</f>
      </c>
      <c r="AD3" s="2584"/>
      <c r="AE3" s="2584"/>
      <c r="AF3" s="2584"/>
      <c r="AG3" s="2584"/>
      <c r="AH3" s="2584"/>
      <c r="AI3" s="2584"/>
      <c r="AJ3" s="2585"/>
      <c r="AK3" s="1599" t="s">
        <v>393</v>
      </c>
      <c r="AM3" s="1965"/>
      <c r="AN3" s="1965" t="str">
        <f>IF(T3="","",T3)</f>
        <v>Территория действия тарифа</v>
      </c>
      <c r="AO3" s="1965"/>
      <c r="AP3" s="1965"/>
      <c r="AQ3" s="1972">
        <v>0</v>
      </c>
    </row>
    <row customHeight="1" ht="22.5" hidden="1">
      <c r="A4" s="1608"/>
      <c r="B4" s="1608"/>
      <c r="C4" s="1608"/>
      <c r="D4" s="1608"/>
      <c r="E4" s="2631"/>
      <c r="F4" s="2631"/>
      <c r="G4" s="2630">
        <v>1</v>
      </c>
      <c r="H4" s="1608"/>
      <c r="I4" s="1608"/>
      <c r="J4" s="1608"/>
      <c r="K4" s="1608"/>
      <c r="L4" s="1651"/>
      <c r="M4" s="1951"/>
      <c r="N4" s="1951"/>
      <c r="O4" s="1951"/>
      <c r="P4" s="1753"/>
      <c r="Q4" s="1752"/>
      <c r="R4" s="694"/>
      <c r="S4" s="2299">
        <f>INDEX(PT_DIFFERENTIATION_NUM_CS,MATCH(C4,PT_DIFFERENTIATION_CS_ID,0))</f>
      </c>
      <c r="T4" s="650" t="s">
        <v>394</v>
      </c>
      <c r="U4" s="641"/>
      <c r="V4" s="2584"/>
      <c r="W4" s="2584"/>
      <c r="X4" s="2584"/>
      <c r="Y4" s="2584"/>
      <c r="Z4" s="2584"/>
      <c r="AA4" s="2585"/>
      <c r="AB4" s="2293"/>
      <c r="AC4" s="2584">
        <f>INDEX(PT_DIFFERENTIATION_CS,MATCH(C4,PT_DIFFERENTIATION_CS_ID,0))</f>
      </c>
      <c r="AD4" s="2584"/>
      <c r="AE4" s="2584"/>
      <c r="AF4" s="2584"/>
      <c r="AG4" s="2584"/>
      <c r="AH4" s="2584"/>
      <c r="AI4" s="2584"/>
      <c r="AJ4" s="2585"/>
      <c r="AK4" s="1599" t="s">
        <v>395</v>
      </c>
      <c r="AM4" s="1965"/>
      <c r="AN4" s="1965" t="str">
        <f>IF(T4="","",T4)</f>
        <v>Наименование системы теплоснабжения </v>
      </c>
      <c r="AO4" s="1965"/>
      <c r="AP4" s="1965"/>
      <c r="AQ4" s="1972">
        <v>0</v>
      </c>
    </row>
    <row customHeight="1" ht="21" hidden="1">
      <c r="A5" s="1608"/>
      <c r="B5" s="1608"/>
      <c r="C5" s="1608"/>
      <c r="D5" s="1608"/>
      <c r="E5" s="2631"/>
      <c r="F5" s="2631"/>
      <c r="G5" s="2631"/>
      <c r="H5" s="2630">
        <v>1</v>
      </c>
      <c r="I5" s="1608"/>
      <c r="J5" s="1608"/>
      <c r="K5" s="1608"/>
      <c r="L5" s="1651"/>
      <c r="M5" s="1951"/>
      <c r="N5" s="1951"/>
      <c r="O5" s="1951"/>
      <c r="P5" s="1753"/>
      <c r="Q5" s="1752"/>
      <c r="R5" s="694"/>
      <c r="S5" s="2299">
        <f>INDEX(PT_DIFFERENTIATION_NUM_IST_TE,MATCH(D5,PT_DIFFERENTIATION_IST_TE_ID,0))</f>
      </c>
      <c r="T5" s="651" t="s">
        <v>396</v>
      </c>
      <c r="U5" s="641"/>
      <c r="V5" s="2584"/>
      <c r="W5" s="2584"/>
      <c r="X5" s="2584"/>
      <c r="Y5" s="2584"/>
      <c r="Z5" s="2584"/>
      <c r="AA5" s="2585"/>
      <c r="AB5" s="2293"/>
      <c r="AC5" s="2584">
        <f>INDEX(PT_DIFFERENTIATION_IST_TE,MATCH(D5,PT_DIFFERENTIATION_IST_TE_ID,0))</f>
      </c>
      <c r="AD5" s="2584"/>
      <c r="AE5" s="2584"/>
      <c r="AF5" s="2584"/>
      <c r="AG5" s="2584"/>
      <c r="AH5" s="2584"/>
      <c r="AI5" s="2584"/>
      <c r="AJ5" s="2585"/>
      <c r="AK5" s="1599" t="s">
        <v>397</v>
      </c>
      <c r="AM5" s="1965"/>
      <c r="AN5" s="1965" t="str">
        <f>IF(T5="","",T5)</f>
        <v>Источник тепловой энергии  </v>
      </c>
      <c r="AO5" s="1965"/>
      <c r="AP5" s="1965"/>
      <c r="AQ5" s="1972">
        <v>0</v>
      </c>
    </row>
    <row s="17316" customFormat="1" customHeight="1" ht="0.75" hidden="1">
      <c r="A6" s="1716"/>
      <c r="B6" s="1716"/>
      <c r="C6" s="1716"/>
      <c r="D6" s="1716"/>
      <c r="E6" s="2631"/>
      <c r="F6" s="2631"/>
      <c r="G6" s="2631"/>
      <c r="H6" s="2631"/>
      <c r="I6" s="2468">
        <f>S5&amp;".1"</f>
      </c>
      <c r="J6" s="1716"/>
      <c r="K6" s="1716"/>
      <c r="L6" s="1722" t="s">
        <v>398</v>
      </c>
      <c r="M6" s="1587"/>
      <c r="N6" s="1587"/>
      <c r="O6" s="1587"/>
      <c r="P6" s="2598">
        <v>1</v>
      </c>
      <c r="Q6" s="2295"/>
      <c r="R6" s="697"/>
      <c r="S6" s="1383"/>
      <c r="T6" s="1724"/>
      <c r="U6" s="1725"/>
      <c r="V6" s="2638"/>
      <c r="W6" s="2638"/>
      <c r="X6" s="2638"/>
      <c r="Y6" s="2638"/>
      <c r="Z6" s="2638"/>
      <c r="AA6" s="2639"/>
      <c r="AB6" s="2301"/>
      <c r="AC6" s="2638"/>
      <c r="AD6" s="2638"/>
      <c r="AE6" s="2638"/>
      <c r="AF6" s="2638"/>
      <c r="AG6" s="2638"/>
      <c r="AH6" s="2638"/>
      <c r="AI6" s="2638"/>
      <c r="AJ6" s="2639"/>
      <c r="AK6" s="1726"/>
      <c r="AM6" s="1965"/>
      <c r="AN6" s="1965" t="str">
        <f>IF(T6="","",T6)</f>
        <v/>
      </c>
      <c r="AO6" s="1965"/>
      <c r="AP6" s="1965"/>
      <c r="AQ6" s="1977">
        <v>0</v>
      </c>
    </row>
    <row s="17316" customFormat="1" customHeight="1" ht="0.75" hidden="1">
      <c r="A7" s="1716"/>
      <c r="B7" s="1716"/>
      <c r="C7" s="1716"/>
      <c r="D7" s="1716"/>
      <c r="E7" s="2631"/>
      <c r="F7" s="2631"/>
      <c r="G7" s="2631"/>
      <c r="H7" s="2631"/>
      <c r="I7" s="2442"/>
      <c r="J7" s="2468">
        <f>S5&amp;".1"</f>
      </c>
      <c r="K7" s="1716"/>
      <c r="L7" s="1722"/>
      <c r="M7" s="1587"/>
      <c r="N7" s="1587"/>
      <c r="O7" s="1587"/>
      <c r="P7" s="2598"/>
      <c r="Q7" s="2598">
        <v>1</v>
      </c>
      <c r="R7" s="698"/>
      <c r="S7" s="1383"/>
      <c r="T7" s="1740"/>
      <c r="U7" s="1725"/>
      <c r="V7" s="2638"/>
      <c r="W7" s="2638"/>
      <c r="X7" s="2638"/>
      <c r="Y7" s="2638"/>
      <c r="Z7" s="2638"/>
      <c r="AA7" s="2639"/>
      <c r="AB7" s="2301"/>
      <c r="AC7" s="2638"/>
      <c r="AD7" s="2638"/>
      <c r="AE7" s="2638"/>
      <c r="AF7" s="2638"/>
      <c r="AG7" s="2638"/>
      <c r="AH7" s="2638"/>
      <c r="AI7" s="2638"/>
      <c r="AJ7" s="2639"/>
      <c r="AK7" s="1726"/>
      <c r="AM7" s="1965"/>
      <c r="AN7" s="1965" t="str">
        <f>IF(T7="","",T7)</f>
        <v/>
      </c>
      <c r="AO7" s="1965"/>
      <c r="AP7" s="1965"/>
      <c r="AQ7" s="1977">
        <v>0</v>
      </c>
    </row>
    <row customHeight="1" ht="21" hidden="1">
      <c r="A8" s="1608"/>
      <c r="B8" s="1608"/>
      <c r="C8" s="1608"/>
      <c r="D8" s="1608"/>
      <c r="E8" s="2631"/>
      <c r="F8" s="2631"/>
      <c r="G8" s="2631"/>
      <c r="H8" s="2631"/>
      <c r="I8" s="2442"/>
      <c r="J8" s="2442"/>
      <c r="K8" s="2332">
        <f>S5&amp;".1"</f>
      </c>
      <c r="L8" s="1651"/>
      <c r="P8" s="2598"/>
      <c r="Q8" s="2598"/>
      <c r="R8" s="2336">
        <v>1</v>
      </c>
      <c r="S8" s="2334">
        <f>$K8</f>
      </c>
      <c r="T8" s="2335"/>
      <c r="U8" s="641"/>
      <c r="V8" s="1092"/>
      <c r="W8" s="1598"/>
      <c r="X8" s="2333"/>
      <c r="Y8" s="2331" t="s">
        <v>65</v>
      </c>
      <c r="Z8" s="2333"/>
      <c r="AA8" s="2331" t="s">
        <v>65</v>
      </c>
      <c r="AB8" s="2337"/>
      <c r="AC8" s="2338" t="s">
        <v>22</v>
      </c>
      <c r="AD8" s="1092"/>
      <c r="AE8" s="1598"/>
      <c r="AF8" s="2296"/>
      <c r="AG8" s="2283" t="s">
        <v>65</v>
      </c>
      <c r="AH8" s="2296"/>
      <c r="AI8" s="2283" t="s">
        <v>65</v>
      </c>
      <c r="AJ8" s="1689"/>
      <c r="AK8" s="2594" t="s">
        <v>459</v>
      </c>
      <c r="AL8" s="1977">
        <f>STRCHECKDATE(#REF!)</f>
      </c>
      <c r="AM8" s="1965"/>
      <c r="AN8" s="1965" t="str">
        <f>IF(T8="","",T8)</f>
        <v/>
      </c>
      <c r="AO8" s="1965"/>
      <c r="AP8" s="1965"/>
      <c r="AQ8" s="1972">
        <v>0</v>
      </c>
    </row>
    <row customHeight="1" ht="11.25" hidden="1">
      <c r="A9" s="1608"/>
      <c r="B9" s="1608"/>
      <c r="C9" s="1608"/>
      <c r="D9" s="1608"/>
      <c r="E9" s="2631"/>
      <c r="F9" s="2631"/>
      <c r="G9" s="2631"/>
      <c r="H9" s="2631"/>
      <c r="I9" s="2442"/>
      <c r="J9" s="2468"/>
      <c r="K9" s="1608"/>
      <c r="L9" s="1651"/>
      <c r="P9" s="2598"/>
      <c r="Q9" s="2598"/>
      <c r="R9" s="697"/>
      <c r="S9" s="1619"/>
      <c r="T9" s="628" t="s">
        <v>463</v>
      </c>
      <c r="U9" s="941"/>
      <c r="V9" s="941"/>
      <c r="W9" s="941"/>
      <c r="X9" s="941"/>
      <c r="Y9" s="941"/>
      <c r="Z9" s="941"/>
      <c r="AA9" s="941"/>
      <c r="AB9" s="941"/>
      <c r="AC9" s="941"/>
      <c r="AD9" s="941"/>
      <c r="AE9" s="941"/>
      <c r="AF9" s="941"/>
      <c r="AG9" s="941"/>
      <c r="AH9" s="941"/>
      <c r="AI9" s="941"/>
      <c r="AJ9" s="665"/>
      <c r="AK9" s="2596"/>
      <c r="AM9" s="1965"/>
      <c r="AN9" s="1965" t="str">
        <f>IF(T9="","",T9)</f>
        <v>Добавить строку</v>
      </c>
      <c r="AO9" s="1965"/>
      <c r="AP9" s="1965"/>
      <c r="AQ9" s="1972">
        <v>0</v>
      </c>
    </row>
    <row s="17316" customFormat="1" customHeight="1" ht="0.75" hidden="1">
      <c r="A10" s="1716"/>
      <c r="B10" s="1716"/>
      <c r="C10" s="1716"/>
      <c r="D10" s="1716"/>
      <c r="E10" s="2631"/>
      <c r="F10" s="2631"/>
      <c r="G10" s="2631"/>
      <c r="H10" s="2631"/>
      <c r="I10" s="2468"/>
      <c r="J10" s="1716"/>
      <c r="K10" s="1716"/>
      <c r="L10" s="1722"/>
      <c r="M10" s="1587"/>
      <c r="N10" s="1587"/>
      <c r="O10" s="1587"/>
      <c r="P10" s="2598"/>
      <c r="Q10" s="2295"/>
      <c r="R10" s="697"/>
      <c r="S10" s="1727"/>
      <c r="T10" s="1728"/>
      <c r="U10" s="1729"/>
      <c r="V10" s="1729"/>
      <c r="W10" s="1729"/>
      <c r="X10" s="1729"/>
      <c r="Y10" s="1729"/>
      <c r="Z10" s="1729"/>
      <c r="AA10" s="1729"/>
      <c r="AB10" s="1729"/>
      <c r="AC10" s="1729"/>
      <c r="AD10" s="1729"/>
      <c r="AE10" s="1729"/>
      <c r="AF10" s="1729"/>
      <c r="AG10" s="1729"/>
      <c r="AH10" s="1729"/>
      <c r="AI10" s="1729"/>
      <c r="AJ10" s="1729"/>
      <c r="AK10" s="1730"/>
      <c r="AM10" s="1965"/>
      <c r="AN10" s="1965" t="str">
        <f>IF(T10="","",T10)</f>
        <v/>
      </c>
      <c r="AO10" s="1965"/>
      <c r="AP10" s="1965"/>
      <c r="AQ10" s="1977">
        <v>0</v>
      </c>
    </row>
    <row s="17316" customFormat="1" customHeight="1" ht="0.75" hidden="1">
      <c r="A11" s="1716"/>
      <c r="B11" s="1716"/>
      <c r="C11" s="1716"/>
      <c r="D11" s="1716"/>
      <c r="E11" s="2631"/>
      <c r="F11" s="2631"/>
      <c r="G11" s="2631"/>
      <c r="H11" s="2630"/>
      <c r="I11" s="1716"/>
      <c r="J11" s="1716"/>
      <c r="K11" s="1716"/>
      <c r="L11" s="1722"/>
      <c r="M11" s="1719"/>
      <c r="N11" s="1719"/>
      <c r="O11" s="692"/>
      <c r="P11" s="721"/>
      <c r="Q11" s="1685"/>
      <c r="R11" s="1742"/>
      <c r="S11" s="1727"/>
      <c r="T11" s="1728"/>
      <c r="U11" s="1729"/>
      <c r="V11" s="1729"/>
      <c r="W11" s="1729"/>
      <c r="X11" s="1729"/>
      <c r="Y11" s="1729"/>
      <c r="Z11" s="1729"/>
      <c r="AA11" s="1729"/>
      <c r="AB11" s="1729"/>
      <c r="AC11" s="1729"/>
      <c r="AD11" s="1729"/>
      <c r="AE11" s="1729"/>
      <c r="AF11" s="1729"/>
      <c r="AG11" s="1729"/>
      <c r="AH11" s="1729"/>
      <c r="AI11" s="1729"/>
      <c r="AJ11" s="1729"/>
      <c r="AK11" s="1730"/>
      <c r="AM11" s="1965"/>
      <c r="AN11" s="1965" t="str">
        <f>IF(T11="","",T11)</f>
        <v/>
      </c>
      <c r="AO11" s="1965"/>
      <c r="AP11" s="1965"/>
      <c r="AQ11" s="1977">
        <v>0</v>
      </c>
    </row>
    <row s="17316" customFormat="1" customHeight="1" ht="0.75" hidden="1">
      <c r="A12" s="1716"/>
      <c r="B12" s="1716"/>
      <c r="C12" s="1716"/>
      <c r="D12" s="1715"/>
      <c r="E12" s="2631"/>
      <c r="F12" s="2631"/>
      <c r="G12" s="2630"/>
      <c r="H12" s="1715"/>
      <c r="I12" s="1715"/>
      <c r="J12" s="1715"/>
      <c r="K12" s="1715"/>
      <c r="L12" s="1718"/>
      <c r="M12" s="1719"/>
      <c r="N12" s="1719"/>
      <c r="O12" s="692"/>
      <c r="P12" s="1657"/>
      <c r="Q12" s="1658"/>
      <c r="R12" s="1657"/>
      <c r="S12" s="1663"/>
      <c r="T12" s="1666" t="s">
        <v>409</v>
      </c>
      <c r="U12" s="1665"/>
      <c r="V12" s="1665"/>
      <c r="W12" s="1665"/>
      <c r="X12" s="1665"/>
      <c r="Y12" s="1665"/>
      <c r="Z12" s="1665"/>
      <c r="AA12" s="1665"/>
      <c r="AB12" s="1665"/>
      <c r="AC12" s="1665"/>
      <c r="AD12" s="1665"/>
      <c r="AE12" s="1665"/>
      <c r="AF12" s="1665"/>
      <c r="AG12" s="1665"/>
      <c r="AH12" s="1665"/>
      <c r="AI12" s="1665"/>
      <c r="AJ12" s="1665"/>
      <c r="AK12" s="1665"/>
      <c r="AM12" s="1592"/>
      <c r="AN12" s="1592" t="str">
        <f>IF(T12="","",T12)</f>
        <v>Добавить источник для дифференциации</v>
      </c>
      <c r="AO12" s="1592"/>
      <c r="AP12" s="1592"/>
      <c r="AQ12" s="1983">
        <v>0</v>
      </c>
    </row>
    <row s="17316" customFormat="1" customHeight="1" ht="0.75" hidden="1">
      <c r="A13" s="1716"/>
      <c r="B13" s="1716"/>
      <c r="C13" s="1715"/>
      <c r="D13" s="1715"/>
      <c r="E13" s="2631"/>
      <c r="F13" s="2630"/>
      <c r="G13" s="1715"/>
      <c r="H13" s="1715"/>
      <c r="I13" s="1715"/>
      <c r="J13" s="1715"/>
      <c r="K13" s="1715"/>
      <c r="L13" s="1718"/>
      <c r="M13" s="1720"/>
      <c r="N13" s="1720"/>
      <c r="O13" s="692"/>
      <c r="P13" s="1657"/>
      <c r="Q13" s="1658"/>
      <c r="R13" s="1657"/>
      <c r="S13" s="1663"/>
      <c r="T13" s="1666" t="s">
        <v>410</v>
      </c>
      <c r="U13" s="1665"/>
      <c r="V13" s="1665"/>
      <c r="W13" s="1665"/>
      <c r="X13" s="1665"/>
      <c r="Y13" s="1665"/>
      <c r="Z13" s="1665"/>
      <c r="AA13" s="1665"/>
      <c r="AB13" s="1665"/>
      <c r="AC13" s="1665"/>
      <c r="AD13" s="1665"/>
      <c r="AE13" s="1665"/>
      <c r="AF13" s="1665"/>
      <c r="AG13" s="1665"/>
      <c r="AH13" s="1665"/>
      <c r="AI13" s="1665"/>
      <c r="AJ13" s="1665"/>
      <c r="AK13" s="1665"/>
      <c r="AM13" s="1592"/>
      <c r="AN13" s="1592" t="str">
        <f>IF(T13="","",T13)</f>
        <v>Добавить централизованную систему для дифференциации</v>
      </c>
      <c r="AO13" s="1592"/>
      <c r="AP13" s="1592"/>
      <c r="AQ13" s="1983">
        <v>0</v>
      </c>
    </row>
    <row s="17316" customFormat="1" customHeight="1" ht="0.75" hidden="1">
      <c r="A14" s="1716"/>
      <c r="B14" s="1716"/>
      <c r="C14" s="1716"/>
      <c r="D14" s="1716"/>
      <c r="E14" s="2630"/>
      <c r="F14" s="1716"/>
      <c r="G14" s="1716"/>
      <c r="H14" s="1716"/>
      <c r="I14" s="1716"/>
      <c r="J14" s="1716"/>
      <c r="K14" s="1716"/>
      <c r="L14" s="1722"/>
      <c r="M14" s="1720"/>
      <c r="N14" s="1720"/>
      <c r="O14" s="692"/>
      <c r="P14" s="721"/>
      <c r="Q14" s="1685"/>
      <c r="R14" s="721"/>
      <c r="S14" s="1663"/>
      <c r="T14" s="1666" t="s">
        <v>411</v>
      </c>
      <c r="U14" s="1665"/>
      <c r="V14" s="1665"/>
      <c r="W14" s="1665"/>
      <c r="X14" s="1665"/>
      <c r="Y14" s="1665"/>
      <c r="Z14" s="1665"/>
      <c r="AA14" s="1665"/>
      <c r="AB14" s="1665"/>
      <c r="AC14" s="1665"/>
      <c r="AD14" s="1665"/>
      <c r="AE14" s="1665"/>
      <c r="AF14" s="1665"/>
      <c r="AG14" s="1665"/>
      <c r="AH14" s="1665"/>
      <c r="AI14" s="1665"/>
      <c r="AJ14" s="1665"/>
      <c r="AK14" s="1665"/>
      <c r="AM14" s="1965"/>
      <c r="AN14" s="1965" t="str">
        <f>IF(T14="","",T14)</f>
        <v>Добавить территорию для дифференциации</v>
      </c>
      <c r="AO14" s="1965"/>
      <c r="AP14" s="1965"/>
      <c r="AQ14" s="1977">
        <v>0</v>
      </c>
    </row>
    <row customHeight="1" ht="14.25" hidden="1">
      <c r="AQ15" s="1972">
        <v>0</v>
      </c>
    </row>
    <row customHeight="1" ht="14.25" hidden="1">
      <c r="AC16" s="1843"/>
      <c r="AD16" s="1744"/>
      <c r="AE16" s="1745"/>
      <c r="AF16" s="2077"/>
      <c r="AG16" s="2307" t="s">
        <v>65</v>
      </c>
      <c r="AH16" s="2077"/>
      <c r="AI16" s="2307" t="s">
        <v>65</v>
      </c>
      <c r="AQ16" s="1972">
        <v>0</v>
      </c>
    </row>
    <row customHeight="1" ht="14.25" hidden="1">
      <c r="AL17" s="1982"/>
      <c r="AM17" s="1982"/>
      <c r="AN17" s="1982"/>
      <c r="AO17" s="1982"/>
      <c r="AP17" s="1982"/>
      <c r="AQ17" s="1972">
        <v>0</v>
      </c>
    </row>
    <row customHeight="1" ht="14.25" hidden="1">
      <c r="O18" s="1686" t="s">
        <v>412</v>
      </c>
      <c r="X18" s="1686"/>
      <c r="Z18" s="1686"/>
      <c r="AF18" s="1686"/>
      <c r="AH18" s="1686"/>
      <c r="AL18" s="1982"/>
      <c r="AM18" s="1982"/>
      <c r="AN18" s="1982"/>
      <c r="AO18" s="1982"/>
      <c r="AP18" s="1982"/>
      <c r="AQ18" s="1972">
        <v>0</v>
      </c>
    </row>
    <row customHeight="1" ht="14.25" hidden="1">
      <c r="AL19" s="1982"/>
      <c r="AM19" s="1982"/>
      <c r="AN19" s="1982"/>
      <c r="AO19" s="1982"/>
      <c r="AP19" s="1982"/>
      <c r="AQ19" s="1972">
        <v>0</v>
      </c>
    </row>
    <row s="18234" customFormat="1" customHeight="1" ht="14.25" hidden="1">
      <c r="A20" s="2312"/>
      <c r="B20" s="2312"/>
      <c r="C20" s="2312"/>
      <c r="D20" s="2312"/>
      <c r="E20" s="2312"/>
      <c r="F20" s="2312"/>
      <c r="G20" s="2312"/>
      <c r="H20" s="2312"/>
      <c r="I20" s="2312"/>
      <c r="J20" s="2312"/>
      <c r="K20" s="2312"/>
      <c r="L20" s="2312"/>
      <c r="M20" s="2313"/>
      <c r="N20" s="2313"/>
      <c r="O20" s="2314" t="s">
        <v>413</v>
      </c>
      <c r="P20" s="1849"/>
      <c r="Q20" s="1851"/>
      <c r="R20" s="1851"/>
      <c r="Y20" s="1848" t="s">
        <v>415</v>
      </c>
      <c r="AA20" s="1848" t="s">
        <v>416</v>
      </c>
      <c r="AC20" s="1848" t="s">
        <v>465</v>
      </c>
      <c r="AG20" s="1848" t="s">
        <v>415</v>
      </c>
      <c r="AI20" s="1848" t="s">
        <v>416</v>
      </c>
      <c r="AL20" s="1852"/>
      <c r="AM20" s="1852"/>
      <c r="AN20" s="1852"/>
      <c r="AO20" s="1852"/>
      <c r="AP20" s="1852"/>
      <c r="AQ20" s="1848">
        <v>0</v>
      </c>
    </row>
    <row customHeight="1" ht="14.25" hidden="1">
      <c r="O21" s="1651"/>
      <c r="AL21" s="1982"/>
      <c r="AM21" s="1982"/>
      <c r="AN21" s="1982"/>
      <c r="AO21" s="1982"/>
      <c r="AP21" s="1982"/>
      <c r="AQ21" s="1972">
        <v>0</v>
      </c>
    </row>
    <row customHeight="1" ht="14.25" hidden="1">
      <c r="O22" s="1651"/>
      <c r="AL22" s="1982"/>
      <c r="AM22" s="1982"/>
      <c r="AN22" s="1982"/>
      <c r="AO22" s="1982"/>
      <c r="AP22" s="1982"/>
      <c r="AQ22" s="1972">
        <v>0</v>
      </c>
    </row>
    <row customHeight="1" ht="14.699999999999998">
      <c r="Q23" s="632"/>
      <c r="R23" s="717"/>
      <c r="S23" s="1616"/>
      <c r="T23" s="798"/>
      <c r="U23" s="798"/>
      <c r="V23" s="1976"/>
      <c r="W23" s="1976"/>
      <c r="X23" s="1976"/>
      <c r="Y23" s="1976"/>
      <c r="Z23" s="1976"/>
      <c r="AA23" s="1976"/>
      <c r="AB23" s="1976"/>
      <c r="AC23" s="1976"/>
      <c r="AD23" s="1976"/>
      <c r="AE23" s="1976"/>
      <c r="AF23" s="1976"/>
      <c r="AG23" s="1976"/>
      <c r="AH23" s="1976"/>
      <c r="AI23" s="1976"/>
      <c r="AQ23" s="1972">
        <v>14</v>
      </c>
    </row>
    <row customHeight="1" ht="39.75">
      <c r="Q24" s="632"/>
      <c r="R24" s="717"/>
      <c r="S24" s="258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89"/>
      <c r="U24" s="2589"/>
      <c r="V24" s="2589"/>
      <c r="W24" s="2589"/>
      <c r="X24" s="2589"/>
      <c r="Y24" s="2589"/>
      <c r="Z24" s="2589"/>
      <c r="AA24" s="2589"/>
      <c r="AB24" s="2589"/>
      <c r="AC24" s="2589"/>
      <c r="AD24" s="2589"/>
      <c r="AE24" s="2589"/>
      <c r="AF24" s="2589"/>
      <c r="AG24" s="2589"/>
      <c r="AH24" s="2589"/>
      <c r="AI24" s="1584"/>
      <c r="AQ24" s="1972">
        <v>38</v>
      </c>
    </row>
    <row customHeight="1" ht="14.699999999999998">
      <c r="Q25" s="632"/>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972">
        <v>14</v>
      </c>
    </row>
    <row customHeight="1" ht="14.25" hidden="1">
      <c r="Q26" s="632"/>
      <c r="R26" s="717"/>
      <c r="S26" s="1616"/>
      <c r="T26" s="798"/>
      <c r="U26" s="798"/>
      <c r="V26" s="663"/>
      <c r="W26" s="663"/>
      <c r="X26" s="663"/>
      <c r="Y26" s="663"/>
      <c r="Z26" s="663"/>
      <c r="AA26" s="663"/>
      <c r="AB26" s="663"/>
      <c r="AC26" s="663"/>
      <c r="AD26" s="663"/>
      <c r="AE26" s="663"/>
      <c r="AF26" s="663"/>
      <c r="AG26" s="663"/>
      <c r="AH26" s="663"/>
      <c r="AI26" s="663"/>
      <c r="AJ26" s="1976"/>
      <c r="AQ26" s="1972">
        <v>0</v>
      </c>
    </row>
    <row s="17442" customFormat="1" customHeight="1" ht="25.5" hidden="1">
      <c r="A27" s="1589"/>
      <c r="B27" s="1589"/>
      <c r="C27" s="1589"/>
      <c r="D27" s="1589"/>
      <c r="E27" s="1589"/>
      <c r="F27" s="1589"/>
      <c r="G27" s="1589"/>
      <c r="H27" s="1589"/>
      <c r="I27" s="1589"/>
      <c r="J27" s="1589"/>
      <c r="K27" s="1589"/>
      <c r="L27" s="1721"/>
      <c r="M27" s="1589"/>
      <c r="N27" s="1589"/>
      <c r="O27" s="1589"/>
      <c r="P27" s="1709"/>
      <c r="Q27" s="1709"/>
      <c r="S27" s="2591" t="s">
        <v>41</v>
      </c>
      <c r="T27" s="2591"/>
      <c r="U27" s="1713"/>
      <c r="V27" s="2592" t="str">
        <f>IF(TITLE_NAME_OR_PR_CHANGE="",IF(TITLE_NAME_OR_PR="","",TITLE_NAME_OR_PR),TITLE_NAME_OR_PR_CHANGE)</f>
        <v/>
      </c>
      <c r="W27" s="2592"/>
      <c r="X27" s="2592"/>
      <c r="Y27" s="2592"/>
      <c r="Z27" s="2592"/>
      <c r="AA27" s="1976"/>
      <c r="AB27" s="1976"/>
      <c r="AC27" s="2592"/>
      <c r="AD27" s="2592"/>
      <c r="AE27" s="2592"/>
      <c r="AF27" s="2592"/>
      <c r="AG27" s="2592"/>
      <c r="AH27" s="2592"/>
      <c r="AI27" s="1976"/>
      <c r="AJ27" s="1976"/>
      <c r="AK27" s="621"/>
      <c r="AL27" s="709"/>
      <c r="AM27" s="709"/>
      <c r="AN27" s="709"/>
      <c r="AO27" s="709"/>
      <c r="AP27" s="709"/>
      <c r="AQ27" s="759">
        <v>0</v>
      </c>
    </row>
    <row s="17442" customFormat="1" customHeight="1" ht="18.75" hidden="1">
      <c r="A28" s="1589"/>
      <c r="B28" s="1589"/>
      <c r="C28" s="1589"/>
      <c r="D28" s="1589"/>
      <c r="E28" s="1589"/>
      <c r="F28" s="1589"/>
      <c r="G28" s="1589"/>
      <c r="H28" s="1589"/>
      <c r="I28" s="1589"/>
      <c r="J28" s="1589"/>
      <c r="K28" s="1589"/>
      <c r="L28" s="1721"/>
      <c r="M28" s="1589"/>
      <c r="N28" s="1589"/>
      <c r="O28" s="1589"/>
      <c r="P28" s="1709"/>
      <c r="Q28" s="1709"/>
      <c r="S28" s="2591" t="s">
        <v>418</v>
      </c>
      <c r="T28" s="2591"/>
      <c r="U28" s="1713"/>
      <c r="V28" s="2605" t="str">
        <f>IF(TITLE_DATE_PR_CHANGE="",IF(TITLE_DATE_PR="","",TITLE_DATE_PR),TITLE_DATE_PR_CHANGE)</f>
        <v/>
      </c>
      <c r="W28" s="2605"/>
      <c r="X28" s="2605"/>
      <c r="Y28" s="2605"/>
      <c r="Z28" s="2605"/>
      <c r="AA28" s="1976"/>
      <c r="AB28" s="1976"/>
      <c r="AC28" s="2605"/>
      <c r="AD28" s="2605"/>
      <c r="AE28" s="2605"/>
      <c r="AF28" s="2605"/>
      <c r="AG28" s="2605"/>
      <c r="AH28" s="2605"/>
      <c r="AI28" s="1976"/>
      <c r="AJ28" s="1976"/>
      <c r="AK28" s="621"/>
      <c r="AL28" s="709"/>
      <c r="AM28" s="709"/>
      <c r="AN28" s="709"/>
      <c r="AO28" s="709"/>
      <c r="AP28" s="709"/>
      <c r="AQ28" s="759">
        <v>0</v>
      </c>
    </row>
    <row s="17442" customFormat="1" customHeight="1" ht="18.75" hidden="1">
      <c r="A29" s="1589"/>
      <c r="B29" s="1589"/>
      <c r="C29" s="1589"/>
      <c r="D29" s="1589"/>
      <c r="E29" s="1589"/>
      <c r="F29" s="1589"/>
      <c r="G29" s="1589"/>
      <c r="H29" s="1589"/>
      <c r="I29" s="1589"/>
      <c r="J29" s="1589"/>
      <c r="K29" s="1589"/>
      <c r="L29" s="1721"/>
      <c r="M29" s="1589"/>
      <c r="N29" s="1589"/>
      <c r="O29" s="1589"/>
      <c r="P29" s="1709"/>
      <c r="Q29" s="1709"/>
      <c r="S29" s="2591" t="s">
        <v>419</v>
      </c>
      <c r="T29" s="2591"/>
      <c r="U29" s="1713"/>
      <c r="V29" s="2592" t="str">
        <f>IF(TITLE_NUMBER_PR_CHANGE="",IF(TITLE_NUMBER_PR="","",TITLE_NUMBER_PR),TITLE_NUMBER_PR_CHANGE)</f>
        <v/>
      </c>
      <c r="W29" s="2592"/>
      <c r="X29" s="2592"/>
      <c r="Y29" s="2592"/>
      <c r="Z29" s="2592"/>
      <c r="AA29" s="1976"/>
      <c r="AB29" s="1976"/>
      <c r="AC29" s="2592"/>
      <c r="AD29" s="2592"/>
      <c r="AE29" s="2592"/>
      <c r="AF29" s="2592"/>
      <c r="AG29" s="2592"/>
      <c r="AH29" s="2592"/>
      <c r="AI29" s="1976"/>
      <c r="AJ29" s="1976"/>
      <c r="AK29" s="621"/>
      <c r="AL29" s="709"/>
      <c r="AM29" s="709"/>
      <c r="AN29" s="709"/>
      <c r="AO29" s="709"/>
      <c r="AP29" s="709"/>
      <c r="AQ29" s="759">
        <v>0</v>
      </c>
    </row>
    <row s="17442" customFormat="1" customHeight="1" ht="18.75" hidden="1">
      <c r="A30" s="1589"/>
      <c r="B30" s="1589"/>
      <c r="C30" s="1589"/>
      <c r="D30" s="1589"/>
      <c r="E30" s="1589"/>
      <c r="F30" s="1589"/>
      <c r="G30" s="1589"/>
      <c r="H30" s="1589"/>
      <c r="I30" s="1589"/>
      <c r="J30" s="1589"/>
      <c r="K30" s="1589"/>
      <c r="L30" s="1721"/>
      <c r="M30" s="1589"/>
      <c r="N30" s="1589"/>
      <c r="O30" s="1589"/>
      <c r="P30" s="1709"/>
      <c r="Q30" s="1709"/>
      <c r="S30" s="2591" t="s">
        <v>42</v>
      </c>
      <c r="T30" s="2591"/>
      <c r="U30" s="1713"/>
      <c r="V30" s="2592" t="str">
        <f>IF(TITLE_IST_PUB_CHANGE="",IF(TITLE_IST_PUB="","",TITLE_IST_PUB),TITLE_IST_PUB_CHANGE)</f>
        <v/>
      </c>
      <c r="W30" s="2592"/>
      <c r="X30" s="2592"/>
      <c r="Y30" s="2592"/>
      <c r="Z30" s="2592"/>
      <c r="AA30" s="1976"/>
      <c r="AB30" s="1976"/>
      <c r="AC30" s="2592"/>
      <c r="AD30" s="2592"/>
      <c r="AE30" s="2592"/>
      <c r="AF30" s="2592"/>
      <c r="AG30" s="2592"/>
      <c r="AH30" s="2592"/>
      <c r="AI30" s="1976"/>
      <c r="AJ30" s="1976"/>
      <c r="AK30" s="621"/>
      <c r="AL30" s="709"/>
      <c r="AM30" s="709"/>
      <c r="AN30" s="709"/>
      <c r="AO30" s="709"/>
      <c r="AP30" s="709"/>
      <c r="AQ30" s="759">
        <v>0</v>
      </c>
    </row>
    <row customHeight="1" ht="14.25" hidden="1">
      <c r="Q31" s="632"/>
      <c r="R31" s="717"/>
      <c r="S31" s="1616"/>
      <c r="T31" s="798"/>
      <c r="U31" s="798"/>
      <c r="V31" s="663"/>
      <c r="W31" s="663"/>
      <c r="X31" s="663"/>
      <c r="Y31" s="663"/>
      <c r="Z31" s="663"/>
      <c r="AA31" s="663"/>
      <c r="AB31" s="663"/>
      <c r="AC31" s="663"/>
      <c r="AD31" s="663"/>
      <c r="AE31" s="663"/>
      <c r="AF31" s="663"/>
      <c r="AG31" s="663"/>
      <c r="AH31" s="663"/>
      <c r="AI31" s="663"/>
      <c r="AJ31" s="1976"/>
      <c r="AQ31" s="1972">
        <v>0</v>
      </c>
    </row>
    <row s="17442" customFormat="1" customHeight="1" ht="18.75" hidden="1">
      <c r="A32" s="1589"/>
      <c r="B32" s="1589"/>
      <c r="C32" s="1589"/>
      <c r="D32" s="1589"/>
      <c r="E32" s="1589"/>
      <c r="F32" s="1589"/>
      <c r="G32" s="1589"/>
      <c r="H32" s="1589"/>
      <c r="I32" s="1589"/>
      <c r="J32" s="1589"/>
      <c r="K32" s="1589"/>
      <c r="L32" s="1721"/>
      <c r="M32" s="1589"/>
      <c r="N32" s="1589"/>
      <c r="O32" s="1589"/>
      <c r="P32" s="1709"/>
      <c r="Q32" s="1709"/>
      <c r="S32" s="2591" t="s">
        <v>418</v>
      </c>
      <c r="T32" s="2591"/>
      <c r="U32" s="1713"/>
      <c r="V32" s="2605" t="str">
        <f>IF(TITLE_DATE_PR_CHANGE="",IF(TITLE_DATE_PR="","",TITLE_DATE_PR),TITLE_DATE_PR_CHANGE)</f>
        <v/>
      </c>
      <c r="W32" s="2605"/>
      <c r="X32" s="2605"/>
      <c r="Y32" s="2605"/>
      <c r="Z32" s="2605"/>
      <c r="AA32" s="1976"/>
      <c r="AB32" s="1976"/>
      <c r="AC32" s="2605"/>
      <c r="AD32" s="2605"/>
      <c r="AE32" s="2605"/>
      <c r="AF32" s="2605"/>
      <c r="AG32" s="2605"/>
      <c r="AH32" s="2605"/>
      <c r="AI32" s="1976"/>
      <c r="AJ32" s="1976"/>
      <c r="AK32" s="621"/>
      <c r="AL32" s="709"/>
      <c r="AM32" s="709"/>
      <c r="AN32" s="709"/>
      <c r="AO32" s="709"/>
      <c r="AP32" s="709"/>
      <c r="AQ32" s="759">
        <v>0</v>
      </c>
    </row>
    <row s="17442" customFormat="1" customHeight="1" ht="18" hidden="1">
      <c r="A33" s="1589"/>
      <c r="B33" s="1589"/>
      <c r="C33" s="1589"/>
      <c r="D33" s="1589"/>
      <c r="E33" s="1589"/>
      <c r="F33" s="1589"/>
      <c r="G33" s="1589"/>
      <c r="H33" s="1589"/>
      <c r="I33" s="1589"/>
      <c r="J33" s="1589"/>
      <c r="K33" s="1589"/>
      <c r="L33" s="1721"/>
      <c r="M33" s="1589"/>
      <c r="N33" s="1589"/>
      <c r="O33" s="1589"/>
      <c r="P33" s="1709"/>
      <c r="Q33" s="1709"/>
      <c r="S33" s="2591" t="s">
        <v>419</v>
      </c>
      <c r="T33" s="2591"/>
      <c r="U33" s="1713"/>
      <c r="V33" s="2592" t="str">
        <f>IF(TITLE_NUMBER_PR_CHANGE="",IF(TITLE_NUMBER_PR="","",TITLE_NUMBER_PR),TITLE_NUMBER_PR_CHANGE)</f>
        <v/>
      </c>
      <c r="W33" s="2592"/>
      <c r="X33" s="2592"/>
      <c r="Y33" s="2592"/>
      <c r="Z33" s="2592"/>
      <c r="AA33" s="1976"/>
      <c r="AB33" s="1976"/>
      <c r="AC33" s="2592"/>
      <c r="AD33" s="2592"/>
      <c r="AE33" s="2592"/>
      <c r="AF33" s="2592"/>
      <c r="AG33" s="2592"/>
      <c r="AH33" s="2592"/>
      <c r="AI33" s="1976"/>
      <c r="AJ33" s="1976"/>
      <c r="AK33" s="621"/>
      <c r="AL33" s="709"/>
      <c r="AM33" s="709"/>
      <c r="AN33" s="709"/>
      <c r="AO33" s="709"/>
      <c r="AP33" s="709"/>
      <c r="AQ33" s="759">
        <v>0</v>
      </c>
    </row>
    <row s="17442" customFormat="1" customHeight="1" ht="1.05">
      <c r="A34" s="1589"/>
      <c r="B34" s="1589"/>
      <c r="C34" s="1589"/>
      <c r="D34" s="1589"/>
      <c r="E34" s="1589"/>
      <c r="F34" s="1589"/>
      <c r="G34" s="1589"/>
      <c r="H34" s="1589"/>
      <c r="I34" s="1589"/>
      <c r="J34" s="1589"/>
      <c r="K34" s="1589"/>
      <c r="L34" s="1721"/>
      <c r="M34" s="1589"/>
      <c r="N34" s="1589"/>
      <c r="O34" s="1589"/>
      <c r="P34" s="1709"/>
      <c r="Q34" s="1709"/>
      <c r="S34" s="1976"/>
      <c r="T34" s="1976"/>
      <c r="U34" s="2311"/>
      <c r="V34" s="1976"/>
      <c r="W34" s="1976"/>
      <c r="X34" s="1976"/>
      <c r="Y34" s="1976"/>
      <c r="Z34" s="1976"/>
      <c r="AA34" s="1983" t="s">
        <v>422</v>
      </c>
      <c r="AB34" s="1983"/>
      <c r="AC34" s="1976"/>
      <c r="AD34" s="1976"/>
      <c r="AE34" s="1976"/>
      <c r="AF34" s="1976"/>
      <c r="AG34" s="1976"/>
      <c r="AH34" s="1976"/>
      <c r="AI34" s="1983" t="s">
        <v>422</v>
      </c>
      <c r="AL34" s="709"/>
      <c r="AM34" s="709"/>
      <c r="AN34" s="709"/>
      <c r="AO34" s="709"/>
      <c r="AP34" s="709"/>
      <c r="AQ34" s="759">
        <v>1</v>
      </c>
    </row>
    <row customHeight="1" ht="14.699999999999998">
      <c r="Q35" s="632"/>
      <c r="R35" s="717"/>
      <c r="S35" s="1616"/>
      <c r="T35" s="798"/>
      <c r="U35" s="1585"/>
      <c r="V35" s="2593"/>
      <c r="W35" s="2593"/>
      <c r="X35" s="2593"/>
      <c r="Y35" s="2593"/>
      <c r="Z35" s="2593"/>
      <c r="AA35" s="2593"/>
      <c r="AB35" s="2298"/>
      <c r="AC35" s="2593"/>
      <c r="AD35" s="2593"/>
      <c r="AE35" s="2593"/>
      <c r="AF35" s="2593"/>
      <c r="AG35" s="2593"/>
      <c r="AH35" s="2593"/>
      <c r="AI35" s="2593"/>
      <c r="AQ35" s="1972">
        <v>14</v>
      </c>
    </row>
    <row customHeight="1" ht="14.699999999999998">
      <c r="Q36" s="632"/>
      <c r="R36" s="717"/>
      <c r="S36" s="2468" t="s">
        <v>295</v>
      </c>
      <c r="T36" s="2468"/>
      <c r="U36" s="2468"/>
      <c r="V36" s="2468"/>
      <c r="W36" s="2468"/>
      <c r="X36" s="2468"/>
      <c r="Y36" s="2468"/>
      <c r="Z36" s="2468"/>
      <c r="AA36" s="2516"/>
      <c r="AB36" s="2516"/>
      <c r="AC36" s="2516"/>
      <c r="AD36" s="2468"/>
      <c r="AE36" s="2468"/>
      <c r="AF36" s="2468"/>
      <c r="AG36" s="2468"/>
      <c r="AH36" s="2468"/>
      <c r="AI36" s="2468"/>
      <c r="AJ36" s="2468"/>
      <c r="AK36" s="2468" t="s">
        <v>296</v>
      </c>
      <c r="AQ36" s="1972">
        <v>14</v>
      </c>
    </row>
    <row customHeight="1" ht="14.699999999999998">
      <c r="Q37" s="632"/>
      <c r="R37" s="717"/>
      <c r="S37" s="2614" t="s">
        <v>88</v>
      </c>
      <c r="T37" s="2550" t="s">
        <v>494</v>
      </c>
      <c r="U37" s="678"/>
      <c r="V37" s="2616"/>
      <c r="W37" s="2616"/>
      <c r="X37" s="2616"/>
      <c r="Y37" s="2616"/>
      <c r="Z37" s="2616"/>
      <c r="AA37" s="2550" t="s">
        <v>425</v>
      </c>
      <c r="AB37" s="2549" t="s">
        <v>495</v>
      </c>
      <c r="AC37" s="2549" t="s">
        <v>469</v>
      </c>
      <c r="AD37" s="2632" t="s">
        <v>424</v>
      </c>
      <c r="AE37" s="2632"/>
      <c r="AF37" s="2616"/>
      <c r="AG37" s="2616"/>
      <c r="AH37" s="2617"/>
      <c r="AI37" s="2618" t="s">
        <v>425</v>
      </c>
      <c r="AJ37" s="2621" t="s">
        <v>427</v>
      </c>
      <c r="AK37" s="2468"/>
      <c r="AQ37" s="1972">
        <v>14</v>
      </c>
    </row>
    <row customHeight="1" ht="35.699999999999996">
      <c r="Q38" s="632"/>
      <c r="R38" s="717"/>
      <c r="S38" s="2614"/>
      <c r="T38" s="2550"/>
      <c r="U38" s="1372"/>
      <c r="V38" s="2444" t="s">
        <v>472</v>
      </c>
      <c r="W38" s="2468"/>
      <c r="X38" s="2635" t="s">
        <v>431</v>
      </c>
      <c r="Y38" s="2654"/>
      <c r="Z38" s="2654"/>
      <c r="AA38" s="2550"/>
      <c r="AB38" s="2549"/>
      <c r="AC38" s="2549"/>
      <c r="AD38" s="2444" t="s">
        <v>472</v>
      </c>
      <c r="AE38" s="2468"/>
      <c r="AF38" s="2654" t="s">
        <v>431</v>
      </c>
      <c r="AG38" s="2654"/>
      <c r="AH38" s="2655"/>
      <c r="AI38" s="2619"/>
      <c r="AJ38" s="2622"/>
      <c r="AK38" s="2468"/>
      <c r="AQ38" s="1972">
        <v>34</v>
      </c>
    </row>
    <row customHeight="1" ht="14.699999999999998">
      <c r="Q39" s="632"/>
      <c r="R39" s="717"/>
      <c r="S39" s="2614"/>
      <c r="T39" s="2550"/>
      <c r="U39" s="1372"/>
      <c r="V39" s="2681" t="str">
        <f>IF($AD$39&lt;&gt;"",$AD$39,"")</f>
        <v/>
      </c>
      <c r="W39" s="2681"/>
      <c r="X39" s="2636"/>
      <c r="Y39" s="2656"/>
      <c r="Z39" s="2656"/>
      <c r="AA39" s="2550"/>
      <c r="AB39" s="2549"/>
      <c r="AC39" s="2549"/>
      <c r="AD39" s="2697"/>
      <c r="AE39" s="2680"/>
      <c r="AF39" s="2656"/>
      <c r="AG39" s="2656"/>
      <c r="AH39" s="2657"/>
      <c r="AI39" s="2619"/>
      <c r="AJ39" s="2622"/>
      <c r="AK39" s="2468"/>
      <c r="AQ39" s="1972">
        <v>14</v>
      </c>
    </row>
    <row customHeight="1" ht="14.699999999999998">
      <c r="A40" s="1607"/>
      <c r="B40" s="1607" t="s">
        <v>132</v>
      </c>
      <c r="C40" s="1607" t="s">
        <v>133</v>
      </c>
      <c r="D40" s="1607" t="s">
        <v>134</v>
      </c>
      <c r="E40" s="1651" t="s">
        <v>432</v>
      </c>
      <c r="F40" s="1651" t="s">
        <v>433</v>
      </c>
      <c r="G40" s="1651" t="s">
        <v>434</v>
      </c>
      <c r="H40" s="1651" t="s">
        <v>435</v>
      </c>
      <c r="I40" s="1651" t="s">
        <v>436</v>
      </c>
      <c r="J40" s="1651" t="s">
        <v>437</v>
      </c>
      <c r="K40" s="1651" t="s">
        <v>438</v>
      </c>
      <c r="L40" s="1651" t="s">
        <v>413</v>
      </c>
      <c r="Q40" s="632"/>
      <c r="R40" s="717"/>
      <c r="S40" s="2614"/>
      <c r="T40" s="2550"/>
      <c r="U40" s="643"/>
      <c r="V40" s="2291" t="s">
        <v>473</v>
      </c>
      <c r="W40" s="2291" t="s">
        <v>474</v>
      </c>
      <c r="X40" s="2279" t="s">
        <v>441</v>
      </c>
      <c r="Y40" s="2611" t="s">
        <v>442</v>
      </c>
      <c r="Z40" s="2661"/>
      <c r="AA40" s="2550"/>
      <c r="AB40" s="2549"/>
      <c r="AC40" s="2549"/>
      <c r="AD40" s="2309" t="s">
        <v>473</v>
      </c>
      <c r="AE40" s="2300" t="s">
        <v>474</v>
      </c>
      <c r="AF40" s="2279" t="s">
        <v>441</v>
      </c>
      <c r="AG40" s="2611" t="s">
        <v>442</v>
      </c>
      <c r="AH40" s="2612"/>
      <c r="AI40" s="2620"/>
      <c r="AJ40" s="2623"/>
      <c r="AK40" s="2468"/>
      <c r="AQ40" s="1972">
        <v>14</v>
      </c>
    </row>
    <row s="17832" customFormat="1" customHeight="1" ht="11.25" hidden="1">
      <c r="A41" s="1607"/>
      <c r="B41" s="1607"/>
      <c r="C41" s="1607"/>
      <c r="D41" s="1607"/>
      <c r="E41" s="1607"/>
      <c r="F41" s="1607"/>
      <c r="G41" s="1607"/>
      <c r="H41" s="1607"/>
      <c r="I41" s="1607"/>
      <c r="J41" s="1607"/>
      <c r="K41" s="1607"/>
      <c r="L41" s="1651"/>
      <c r="M41" s="2306"/>
      <c r="N41" s="2306"/>
      <c r="O41" s="2306"/>
      <c r="P41" s="851"/>
      <c r="Q41" s="1595"/>
      <c r="R41" s="1595">
        <v>1</v>
      </c>
      <c r="S41" s="1618" t="s">
        <v>106</v>
      </c>
      <c r="T41" s="1596" t="s">
        <v>107</v>
      </c>
      <c r="U41" s="1586" t="str">
        <f>OFFSET(U41,0,-1)</f>
        <v>2</v>
      </c>
      <c r="V41" s="2297">
        <f>OFFSET(V41,0,-1)+1</f>
        <v>3</v>
      </c>
      <c r="W41" s="2297">
        <f>OFFSET(W41,0,-1)+1</f>
        <v>4</v>
      </c>
      <c r="X41" s="2297">
        <f>OFFSET(X41,0,-1)+1</f>
        <v>5</v>
      </c>
      <c r="Y41" s="2613">
        <f>OFFSET(Y41,0,-1)+1</f>
        <v>6</v>
      </c>
      <c r="Z41" s="2613"/>
      <c r="AA41" s="1682">
        <f>OFFSET(AA41,0,-2)+1</f>
        <v>7</v>
      </c>
      <c r="AB41" s="1682"/>
      <c r="AC41" s="1682"/>
      <c r="AD41" s="2297">
        <f>OFFSET(AD41,0,-1)+1</f>
        <v>1</v>
      </c>
      <c r="AE41" s="2297">
        <f>OFFSET(AE41,0,-1)+1</f>
        <v>2</v>
      </c>
      <c r="AF41" s="2297">
        <f>OFFSET(AF41,0,-1)+1</f>
        <v>3</v>
      </c>
      <c r="AG41" s="2613">
        <f>OFFSET(AG41,0,-1)+1</f>
        <v>4</v>
      </c>
      <c r="AH41" s="2613"/>
      <c r="AI41" s="2297">
        <f>OFFSET(AI41,0,-2)+1</f>
        <v>5</v>
      </c>
      <c r="AJ41" s="1586">
        <f>OFFSET(AJ41,0,-1)</f>
        <v>5</v>
      </c>
      <c r="AK41" s="2297">
        <f>OFFSET(AK41,0,-1)+1</f>
        <v>6</v>
      </c>
      <c r="AL41" s="1977"/>
      <c r="AM41" s="1977"/>
      <c r="AN41" s="1977"/>
      <c r="AO41" s="1977"/>
      <c r="AP41" s="1977"/>
      <c r="AQ41" s="1982">
        <v>0</v>
      </c>
    </row>
    <row customHeight="1" ht="107.25">
      <c r="A42" s="1608" t="s">
        <v>201</v>
      </c>
      <c r="B42" s="1608"/>
      <c r="C42" s="1608"/>
      <c r="D42" s="1608"/>
      <c r="E42" s="2630">
        <v>1</v>
      </c>
      <c r="F42" s="1608"/>
      <c r="G42" s="1608"/>
      <c r="H42" s="1608"/>
      <c r="I42" s="1608"/>
      <c r="J42" s="1608"/>
      <c r="K42" s="1608"/>
      <c r="L42" s="1651"/>
      <c r="M42" s="1951"/>
      <c r="N42" s="1951"/>
      <c r="O42" s="1951"/>
      <c r="P42" s="1750"/>
      <c r="Q42" s="1214"/>
      <c r="R42" s="696"/>
      <c r="S42" s="2299">
        <f>INDEX(PT_DIFFERENTIATION_NUM_NTAR,MATCH(A42,PT_DIFFERENTIATION_NTAR_ID,0))</f>
        <v>0</v>
      </c>
      <c r="T42" s="1866" t="s">
        <v>120</v>
      </c>
      <c r="U42" s="641"/>
      <c r="V42" s="2584"/>
      <c r="W42" s="2584"/>
      <c r="X42" s="2584"/>
      <c r="Y42" s="2584"/>
      <c r="Z42" s="2584"/>
      <c r="AA42" s="2585"/>
      <c r="AB42" s="2293"/>
      <c r="AC42" s="2584" t="str">
        <f>INDEX(PT_DIFFERENTIATION_NTAR,MATCH(A42,PT_DIFFERENTIATION_NTAR_ID,0))</f>
        <v/>
      </c>
      <c r="AD42" s="2584"/>
      <c r="AE42" s="2584"/>
      <c r="AF42" s="2584"/>
      <c r="AG42" s="2584"/>
      <c r="AH42" s="2584"/>
      <c r="AI42" s="2584"/>
      <c r="AJ42" s="2585"/>
      <c r="AK42" s="159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965"/>
      <c r="AN42" s="1965" t="str">
        <f>IF(T42="","",T42)</f>
        <v>Наименование тарифа</v>
      </c>
      <c r="AO42" s="1965"/>
      <c r="AP42" s="1965"/>
      <c r="AQ42" s="1972">
        <v>102</v>
      </c>
    </row>
    <row customHeight="1" ht="22.049999999999997">
      <c r="A43" s="1608" t="s">
        <v>201</v>
      </c>
      <c r="B43" s="1608" t="s">
        <v>202</v>
      </c>
      <c r="C43" s="1608"/>
      <c r="D43" s="1608"/>
      <c r="E43" s="2631"/>
      <c r="F43" s="2630">
        <v>1</v>
      </c>
      <c r="G43" s="1608"/>
      <c r="H43" s="1608"/>
      <c r="I43" s="1608"/>
      <c r="J43" s="1608"/>
      <c r="K43" s="1608"/>
      <c r="L43" s="1651"/>
      <c r="M43" s="1951"/>
      <c r="N43" s="1951"/>
      <c r="O43" s="1951"/>
      <c r="P43" s="2310"/>
      <c r="Q43" s="1752"/>
      <c r="R43" s="694"/>
      <c r="S43" s="2299" t="str">
        <f>INDEX(PT_DIFFERENTIATION_NUM_TER,MATCH(B43,PT_DIFFERENTIATION_TER_ID,0))</f>
        <v>.</v>
      </c>
      <c r="T43" s="1863" t="s">
        <v>392</v>
      </c>
      <c r="U43" s="641"/>
      <c r="V43" s="2584"/>
      <c r="W43" s="2584"/>
      <c r="X43" s="2584"/>
      <c r="Y43" s="2584"/>
      <c r="Z43" s="2584"/>
      <c r="AA43" s="2585"/>
      <c r="AB43" s="2293"/>
      <c r="AC43" s="2584" t="str">
        <f>INDEX(PT_DIFFERENTIATION_TER,MATCH(B43,PT_DIFFERENTIATION_TER_ID,0))</f>
        <v/>
      </c>
      <c r="AD43" s="2584"/>
      <c r="AE43" s="2584"/>
      <c r="AF43" s="2584"/>
      <c r="AG43" s="2584"/>
      <c r="AH43" s="2584"/>
      <c r="AI43" s="2584"/>
      <c r="AJ43" s="2585"/>
      <c r="AK43" s="1599" t="s">
        <v>393</v>
      </c>
      <c r="AM43" s="1965"/>
      <c r="AN43" s="1965" t="str">
        <f>IF(T43="","",T43)</f>
        <v>Территория действия тарифа</v>
      </c>
      <c r="AO43" s="1965"/>
      <c r="AP43" s="1965"/>
      <c r="AQ43" s="1972">
        <v>21</v>
      </c>
    </row>
    <row customHeight="1" ht="24">
      <c r="A44" s="1608" t="s">
        <v>201</v>
      </c>
      <c r="B44" s="1608" t="s">
        <v>202</v>
      </c>
      <c r="C44" s="1608" t="s">
        <v>203</v>
      </c>
      <c r="D44" s="1608"/>
      <c r="E44" s="2631"/>
      <c r="F44" s="2631"/>
      <c r="G44" s="2630">
        <v>1</v>
      </c>
      <c r="H44" s="1608"/>
      <c r="I44" s="1608"/>
      <c r="J44" s="1608"/>
      <c r="K44" s="1608"/>
      <c r="L44" s="1651"/>
      <c r="M44" s="1951"/>
      <c r="N44" s="1951"/>
      <c r="O44" s="1951"/>
      <c r="P44" s="1753"/>
      <c r="Q44" s="1752"/>
      <c r="R44" s="694"/>
      <c r="S44" s="2299" t="str">
        <f>INDEX(PT_DIFFERENTIATION_NUM_CS,MATCH(C44,PT_DIFFERENTIATION_CS_ID,0))</f>
        <v>..</v>
      </c>
      <c r="T44" s="650" t="s">
        <v>394</v>
      </c>
      <c r="U44" s="641"/>
      <c r="V44" s="2584"/>
      <c r="W44" s="2584"/>
      <c r="X44" s="2584"/>
      <c r="Y44" s="2584"/>
      <c r="Z44" s="2584"/>
      <c r="AA44" s="2585"/>
      <c r="AB44" s="2293"/>
      <c r="AC44" s="2584" t="str">
        <f>INDEX(PT_DIFFERENTIATION_CS,MATCH(C44,PT_DIFFERENTIATION_CS_ID,0))</f>
        <v/>
      </c>
      <c r="AD44" s="2584"/>
      <c r="AE44" s="2584"/>
      <c r="AF44" s="2584"/>
      <c r="AG44" s="2584"/>
      <c r="AH44" s="2584"/>
      <c r="AI44" s="2584"/>
      <c r="AJ44" s="2585"/>
      <c r="AK44" s="1599" t="s">
        <v>395</v>
      </c>
      <c r="AM44" s="1965"/>
      <c r="AN44" s="1965" t="str">
        <f>IF(T44="","",T44)</f>
        <v>Наименование системы теплоснабжения </v>
      </c>
      <c r="AO44" s="1965"/>
      <c r="AP44" s="1965"/>
      <c r="AQ44" s="1972">
        <v>23</v>
      </c>
    </row>
    <row customHeight="1" ht="22.049999999999997">
      <c r="A45" s="1608" t="s">
        <v>201</v>
      </c>
      <c r="B45" s="1608" t="s">
        <v>202</v>
      </c>
      <c r="C45" s="1608" t="s">
        <v>203</v>
      </c>
      <c r="D45" s="1608" t="s">
        <v>204</v>
      </c>
      <c r="E45" s="2631"/>
      <c r="F45" s="2631"/>
      <c r="G45" s="2631"/>
      <c r="H45" s="2630">
        <v>1</v>
      </c>
      <c r="I45" s="1608"/>
      <c r="J45" s="1608"/>
      <c r="K45" s="1608"/>
      <c r="L45" s="1651"/>
      <c r="M45" s="1951"/>
      <c r="N45" s="1951"/>
      <c r="O45" s="1951"/>
      <c r="P45" s="1753"/>
      <c r="Q45" s="1752"/>
      <c r="R45" s="694"/>
      <c r="S45" s="2299" t="str">
        <f>INDEX(PT_DIFFERENTIATION_NUM_IST_TE,MATCH(D45,PT_DIFFERENTIATION_IST_TE_ID,0))</f>
        <v>...</v>
      </c>
      <c r="T45" s="651" t="s">
        <v>396</v>
      </c>
      <c r="U45" s="641"/>
      <c r="V45" s="2584"/>
      <c r="W45" s="2584"/>
      <c r="X45" s="2584"/>
      <c r="Y45" s="2584"/>
      <c r="Z45" s="2584"/>
      <c r="AA45" s="2585"/>
      <c r="AB45" s="2293"/>
      <c r="AC45" s="2584" t="str">
        <f>INDEX(PT_DIFFERENTIATION_IST_TE,MATCH(D45,PT_DIFFERENTIATION_IST_TE_ID,0))</f>
        <v/>
      </c>
      <c r="AD45" s="2584"/>
      <c r="AE45" s="2584"/>
      <c r="AF45" s="2584"/>
      <c r="AG45" s="2584"/>
      <c r="AH45" s="2584"/>
      <c r="AI45" s="2584"/>
      <c r="AJ45" s="2585"/>
      <c r="AK45" s="1599" t="s">
        <v>397</v>
      </c>
      <c r="AM45" s="1965"/>
      <c r="AN45" s="1965" t="str">
        <f>IF(T45="","",T45)</f>
        <v>Источник тепловой энергии  </v>
      </c>
      <c r="AO45" s="1965"/>
      <c r="AP45" s="1965"/>
      <c r="AQ45" s="1972">
        <v>21</v>
      </c>
    </row>
    <row s="17316" customFormat="1" customHeight="1" ht="0">
      <c r="A46" s="1716" t="s">
        <v>201</v>
      </c>
      <c r="B46" s="1716" t="s">
        <v>202</v>
      </c>
      <c r="C46" s="1716" t="s">
        <v>203</v>
      </c>
      <c r="D46" s="1716" t="s">
        <v>204</v>
      </c>
      <c r="E46" s="2631"/>
      <c r="F46" s="2631"/>
      <c r="G46" s="2631"/>
      <c r="H46" s="2631"/>
      <c r="I46" s="2468" t="str">
        <f>S45&amp;".1"</f>
        <v>....1</v>
      </c>
      <c r="J46" s="1716"/>
      <c r="K46" s="1716"/>
      <c r="L46" s="1722" t="s">
        <v>398</v>
      </c>
      <c r="M46" s="1587"/>
      <c r="N46" s="1587"/>
      <c r="O46" s="1587"/>
      <c r="P46" s="2598">
        <v>1</v>
      </c>
      <c r="Q46" s="2295"/>
      <c r="R46" s="697"/>
      <c r="S46" s="1383"/>
      <c r="T46" s="1724"/>
      <c r="U46" s="1725"/>
      <c r="V46" s="2638"/>
      <c r="W46" s="2638"/>
      <c r="X46" s="2638"/>
      <c r="Y46" s="2638"/>
      <c r="Z46" s="2638"/>
      <c r="AA46" s="2639"/>
      <c r="AB46" s="2301"/>
      <c r="AC46" s="2638"/>
      <c r="AD46" s="2638"/>
      <c r="AE46" s="2638"/>
      <c r="AF46" s="2638"/>
      <c r="AG46" s="2638"/>
      <c r="AH46" s="2638"/>
      <c r="AI46" s="2638"/>
      <c r="AJ46" s="2639"/>
      <c r="AK46" s="1726"/>
      <c r="AM46" s="1965"/>
      <c r="AN46" s="1965" t="str">
        <f>IF(T46="","",T46)</f>
        <v/>
      </c>
      <c r="AO46" s="1965"/>
      <c r="AP46" s="1965"/>
      <c r="AQ46" s="1977">
        <v>0</v>
      </c>
    </row>
    <row s="17316" customFormat="1" customHeight="1" ht="0">
      <c r="A47" s="1716" t="s">
        <v>201</v>
      </c>
      <c r="B47" s="1716" t="s">
        <v>202</v>
      </c>
      <c r="C47" s="1716" t="s">
        <v>203</v>
      </c>
      <c r="D47" s="1716" t="s">
        <v>204</v>
      </c>
      <c r="E47" s="2631"/>
      <c r="F47" s="2631"/>
      <c r="G47" s="2631"/>
      <c r="H47" s="2631"/>
      <c r="I47" s="2442"/>
      <c r="J47" s="2468" t="str">
        <f>S45&amp;".1"</f>
        <v>....1</v>
      </c>
      <c r="K47" s="1716"/>
      <c r="L47" s="1722"/>
      <c r="M47" s="1587"/>
      <c r="N47" s="1587"/>
      <c r="O47" s="1587"/>
      <c r="P47" s="2598"/>
      <c r="Q47" s="2598">
        <v>1</v>
      </c>
      <c r="R47" s="698"/>
      <c r="S47" s="1383"/>
      <c r="T47" s="1740"/>
      <c r="U47" s="1725"/>
      <c r="V47" s="2638"/>
      <c r="W47" s="2638"/>
      <c r="X47" s="2638"/>
      <c r="Y47" s="2638"/>
      <c r="Z47" s="2638"/>
      <c r="AA47" s="2639"/>
      <c r="AB47" s="2301"/>
      <c r="AC47" s="2638"/>
      <c r="AD47" s="2638"/>
      <c r="AE47" s="2638"/>
      <c r="AF47" s="2638"/>
      <c r="AG47" s="2638"/>
      <c r="AH47" s="2638"/>
      <c r="AI47" s="2638"/>
      <c r="AJ47" s="2639"/>
      <c r="AK47" s="1726"/>
      <c r="AM47" s="1965"/>
      <c r="AN47" s="1965" t="str">
        <f>IF(T47="","",T47)</f>
        <v/>
      </c>
      <c r="AO47" s="1965"/>
      <c r="AP47" s="1965"/>
      <c r="AQ47" s="1977">
        <v>0</v>
      </c>
    </row>
    <row customHeight="1" ht="22.049999999999997">
      <c r="A48" s="1608" t="s">
        <v>201</v>
      </c>
      <c r="B48" s="1608" t="s">
        <v>202</v>
      </c>
      <c r="C48" s="1608" t="s">
        <v>203</v>
      </c>
      <c r="D48" s="1608" t="s">
        <v>204</v>
      </c>
      <c r="E48" s="2631"/>
      <c r="F48" s="2631"/>
      <c r="G48" s="2631"/>
      <c r="H48" s="2631"/>
      <c r="I48" s="2442"/>
      <c r="J48" s="2442"/>
      <c r="K48" s="2282" t="str">
        <f>S45&amp;".1"</f>
        <v>....1</v>
      </c>
      <c r="L48" s="1651"/>
      <c r="P48" s="2598"/>
      <c r="Q48" s="2598"/>
      <c r="R48" s="698">
        <v>1</v>
      </c>
      <c r="S48" s="2303" t="str">
        <f>$K48</f>
        <v>....1</v>
      </c>
      <c r="T48" s="2302"/>
      <c r="U48" s="641"/>
      <c r="V48" s="1092"/>
      <c r="W48" s="1598"/>
      <c r="X48" s="2296"/>
      <c r="Y48" s="2283" t="s">
        <v>65</v>
      </c>
      <c r="Z48" s="2296"/>
      <c r="AA48" s="2283" t="s">
        <v>65</v>
      </c>
      <c r="AB48" s="2305"/>
      <c r="AC48" s="2304" t="s">
        <v>22</v>
      </c>
      <c r="AD48" s="1092"/>
      <c r="AE48" s="1598"/>
      <c r="AF48" s="2296"/>
      <c r="AG48" s="2283" t="s">
        <v>65</v>
      </c>
      <c r="AH48" s="2296"/>
      <c r="AI48" s="2283" t="s">
        <v>65</v>
      </c>
      <c r="AJ48" s="1689"/>
      <c r="AK48" s="2594" t="s">
        <v>475</v>
      </c>
      <c r="AL48" s="1977">
        <f>STRCHECKDATE(#REF!)</f>
      </c>
      <c r="AM48" s="1965"/>
      <c r="AN48" s="1965" t="str">
        <f>IF(T48="","",T48)</f>
        <v/>
      </c>
      <c r="AO48" s="1965"/>
      <c r="AP48" s="1965"/>
      <c r="AQ48" s="1972">
        <v>21</v>
      </c>
    </row>
    <row customHeight="1" ht="11.549999999999999">
      <c r="A49" s="1608" t="s">
        <v>201</v>
      </c>
      <c r="B49" s="1608" t="s">
        <v>202</v>
      </c>
      <c r="C49" s="1608" t="s">
        <v>203</v>
      </c>
      <c r="D49" s="1608" t="s">
        <v>204</v>
      </c>
      <c r="E49" s="2631"/>
      <c r="F49" s="2631"/>
      <c r="G49" s="2631"/>
      <c r="H49" s="2631"/>
      <c r="I49" s="2442"/>
      <c r="J49" s="2468"/>
      <c r="K49" s="1608"/>
      <c r="L49" s="1651"/>
      <c r="P49" s="2598"/>
      <c r="Q49" s="2598"/>
      <c r="R49" s="697"/>
      <c r="S49" s="1619"/>
      <c r="T49" s="628" t="s">
        <v>463</v>
      </c>
      <c r="U49" s="941"/>
      <c r="V49" s="941"/>
      <c r="W49" s="941"/>
      <c r="X49" s="941"/>
      <c r="Y49" s="941"/>
      <c r="Z49" s="941"/>
      <c r="AA49" s="665"/>
      <c r="AB49" s="941"/>
      <c r="AC49" s="941"/>
      <c r="AD49" s="941"/>
      <c r="AE49" s="941"/>
      <c r="AF49" s="941"/>
      <c r="AG49" s="941"/>
      <c r="AH49" s="941"/>
      <c r="AI49" s="941"/>
      <c r="AJ49" s="665"/>
      <c r="AK49" s="2596"/>
      <c r="AM49" s="1965"/>
      <c r="AN49" s="1965" t="str">
        <f>IF(T49="","",T49)</f>
        <v>Добавить строку</v>
      </c>
      <c r="AO49" s="1965"/>
      <c r="AP49" s="1965"/>
      <c r="AQ49" s="1972">
        <v>11</v>
      </c>
    </row>
    <row s="17316" customFormat="1" customHeight="1" ht="1.05">
      <c r="A50" s="1716" t="s">
        <v>201</v>
      </c>
      <c r="B50" s="1716" t="s">
        <v>202</v>
      </c>
      <c r="C50" s="1716" t="s">
        <v>203</v>
      </c>
      <c r="D50" s="1716" t="s">
        <v>204</v>
      </c>
      <c r="E50" s="2631"/>
      <c r="F50" s="2631"/>
      <c r="G50" s="2631"/>
      <c r="H50" s="2631"/>
      <c r="I50" s="2468"/>
      <c r="J50" s="1716"/>
      <c r="K50" s="1716"/>
      <c r="L50" s="1722"/>
      <c r="M50" s="1587"/>
      <c r="N50" s="1587"/>
      <c r="O50" s="1587"/>
      <c r="P50" s="2598"/>
      <c r="Q50" s="2295"/>
      <c r="R50" s="697"/>
      <c r="S50" s="1727"/>
      <c r="T50" s="1728" t="s">
        <v>407</v>
      </c>
      <c r="U50" s="1729"/>
      <c r="V50" s="1729"/>
      <c r="W50" s="1729"/>
      <c r="X50" s="1729"/>
      <c r="Y50" s="1729"/>
      <c r="Z50" s="1729"/>
      <c r="AA50" s="1729"/>
      <c r="AB50" s="1729"/>
      <c r="AC50" s="1729"/>
      <c r="AD50" s="1729"/>
      <c r="AE50" s="1729"/>
      <c r="AF50" s="1729"/>
      <c r="AG50" s="1729"/>
      <c r="AH50" s="1729"/>
      <c r="AI50" s="1729"/>
      <c r="AJ50" s="1729"/>
      <c r="AK50" s="1730"/>
      <c r="AM50" s="1965"/>
      <c r="AN50" s="1965" t="str">
        <f>IF(T50="","",T50)</f>
        <v>Добавить группу потребителей</v>
      </c>
      <c r="AO50" s="1965"/>
      <c r="AP50" s="1965"/>
      <c r="AQ50" s="1977">
        <v>1</v>
      </c>
    </row>
    <row s="17832" customFormat="1" customHeight="1" ht="1.05">
      <c r="A51" s="1716" t="s">
        <v>201</v>
      </c>
      <c r="B51" s="1716" t="s">
        <v>202</v>
      </c>
      <c r="C51" s="1716" t="s">
        <v>203</v>
      </c>
      <c r="D51" s="1716" t="s">
        <v>204</v>
      </c>
      <c r="E51" s="2631"/>
      <c r="F51" s="2631"/>
      <c r="G51" s="2631"/>
      <c r="H51" s="2630"/>
      <c r="I51" s="1716"/>
      <c r="J51" s="1716"/>
      <c r="K51" s="1716"/>
      <c r="L51" s="1722"/>
      <c r="M51" s="1719"/>
      <c r="N51" s="1719"/>
      <c r="O51" s="692"/>
      <c r="P51" s="721"/>
      <c r="Q51" s="1685"/>
      <c r="R51" s="1741"/>
      <c r="S51" s="1727"/>
      <c r="T51" s="1728"/>
      <c r="U51" s="1729"/>
      <c r="V51" s="1729"/>
      <c r="W51" s="1729"/>
      <c r="X51" s="1729"/>
      <c r="Y51" s="1729"/>
      <c r="Z51" s="1729"/>
      <c r="AA51" s="1729"/>
      <c r="AB51" s="1729"/>
      <c r="AC51" s="1729"/>
      <c r="AD51" s="1729"/>
      <c r="AE51" s="1729"/>
      <c r="AF51" s="1729"/>
      <c r="AG51" s="1729"/>
      <c r="AH51" s="1729"/>
      <c r="AI51" s="1729"/>
      <c r="AJ51" s="1729"/>
      <c r="AK51" s="1730"/>
      <c r="AL51" s="1977"/>
      <c r="AM51" s="1965"/>
      <c r="AN51" s="1965" t="str">
        <f>IF(T51="","",T51)</f>
        <v/>
      </c>
      <c r="AO51" s="1965"/>
      <c r="AP51" s="1965"/>
      <c r="AQ51" s="1982">
        <v>1</v>
      </c>
    </row>
    <row s="17316" customFormat="1" customHeight="1" ht="1.05">
      <c r="A52" s="1716" t="s">
        <v>201</v>
      </c>
      <c r="B52" s="1716" t="s">
        <v>202</v>
      </c>
      <c r="C52" s="1716" t="s">
        <v>203</v>
      </c>
      <c r="D52" s="1715"/>
      <c r="E52" s="2631"/>
      <c r="F52" s="2631"/>
      <c r="G52" s="2630"/>
      <c r="H52" s="1715"/>
      <c r="I52" s="1715"/>
      <c r="J52" s="1715"/>
      <c r="K52" s="1715"/>
      <c r="L52" s="1718"/>
      <c r="M52" s="1719"/>
      <c r="N52" s="1719"/>
      <c r="O52" s="692"/>
      <c r="P52" s="1657"/>
      <c r="Q52" s="1658"/>
      <c r="R52" s="1657"/>
      <c r="S52" s="1663"/>
      <c r="T52" s="1666" t="s">
        <v>409</v>
      </c>
      <c r="U52" s="1665"/>
      <c r="V52" s="1665"/>
      <c r="W52" s="1665"/>
      <c r="X52" s="1665"/>
      <c r="Y52" s="1665"/>
      <c r="Z52" s="1665"/>
      <c r="AA52" s="1665"/>
      <c r="AB52" s="1665"/>
      <c r="AC52" s="1665"/>
      <c r="AD52" s="1665"/>
      <c r="AE52" s="1665"/>
      <c r="AF52" s="1665"/>
      <c r="AG52" s="1665"/>
      <c r="AH52" s="1665"/>
      <c r="AI52" s="1665"/>
      <c r="AJ52" s="1665"/>
      <c r="AK52" s="1665"/>
      <c r="AM52" s="1592"/>
      <c r="AN52" s="1592" t="str">
        <f>IF(T52="","",T52)</f>
        <v>Добавить источник для дифференциации</v>
      </c>
      <c r="AO52" s="1592"/>
      <c r="AP52" s="1592"/>
      <c r="AQ52" s="1983">
        <v>1</v>
      </c>
    </row>
    <row s="17316" customFormat="1" customHeight="1" ht="1.05">
      <c r="A53" s="1716" t="s">
        <v>201</v>
      </c>
      <c r="B53" s="1716" t="s">
        <v>202</v>
      </c>
      <c r="C53" s="1715"/>
      <c r="D53" s="1715"/>
      <c r="E53" s="2631"/>
      <c r="F53" s="2630"/>
      <c r="G53" s="1715"/>
      <c r="H53" s="1715"/>
      <c r="I53" s="1715"/>
      <c r="J53" s="1715"/>
      <c r="K53" s="1715"/>
      <c r="L53" s="1718"/>
      <c r="M53" s="1720"/>
      <c r="N53" s="1720"/>
      <c r="O53" s="692"/>
      <c r="P53" s="1657"/>
      <c r="Q53" s="1658"/>
      <c r="R53" s="1657"/>
      <c r="S53" s="1663"/>
      <c r="T53" s="1666" t="s">
        <v>410</v>
      </c>
      <c r="U53" s="1665"/>
      <c r="V53" s="1665"/>
      <c r="W53" s="1665"/>
      <c r="X53" s="1665"/>
      <c r="Y53" s="1665"/>
      <c r="Z53" s="1665"/>
      <c r="AA53" s="1665"/>
      <c r="AB53" s="1665"/>
      <c r="AC53" s="1665"/>
      <c r="AD53" s="1665"/>
      <c r="AE53" s="1665"/>
      <c r="AF53" s="1665"/>
      <c r="AG53" s="1665"/>
      <c r="AH53" s="1665"/>
      <c r="AI53" s="1665"/>
      <c r="AJ53" s="1665"/>
      <c r="AK53" s="1665"/>
      <c r="AM53" s="1592"/>
      <c r="AN53" s="1592" t="str">
        <f>IF(T53="","",T53)</f>
        <v>Добавить централизованную систему для дифференциации</v>
      </c>
      <c r="AO53" s="1592"/>
      <c r="AP53" s="1592"/>
      <c r="AQ53" s="1983">
        <v>1</v>
      </c>
    </row>
    <row s="17316" customFormat="1" customHeight="1" ht="1.05">
      <c r="A54" s="1716" t="s">
        <v>201</v>
      </c>
      <c r="B54" s="1716"/>
      <c r="C54" s="1716"/>
      <c r="D54" s="1716"/>
      <c r="E54" s="2631"/>
      <c r="F54" s="1716"/>
      <c r="G54" s="1716"/>
      <c r="H54" s="1716"/>
      <c r="I54" s="1716"/>
      <c r="J54" s="1716"/>
      <c r="K54" s="1716"/>
      <c r="L54" s="1722"/>
      <c r="M54" s="1720"/>
      <c r="N54" s="1720"/>
      <c r="O54" s="692"/>
      <c r="P54" s="721"/>
      <c r="Q54" s="1685"/>
      <c r="R54" s="721"/>
      <c r="S54" s="1663"/>
      <c r="T54" s="1666" t="s">
        <v>411</v>
      </c>
      <c r="U54" s="1665"/>
      <c r="V54" s="1665"/>
      <c r="W54" s="1665"/>
      <c r="X54" s="1665"/>
      <c r="Y54" s="1665"/>
      <c r="Z54" s="1665"/>
      <c r="AA54" s="1665"/>
      <c r="AB54" s="1665"/>
      <c r="AC54" s="1665"/>
      <c r="AD54" s="1665"/>
      <c r="AE54" s="1665"/>
      <c r="AF54" s="1665"/>
      <c r="AG54" s="1665"/>
      <c r="AH54" s="1665"/>
      <c r="AI54" s="1665"/>
      <c r="AJ54" s="1665"/>
      <c r="AK54" s="1665"/>
      <c r="AM54" s="1965"/>
      <c r="AN54" s="1965" t="str">
        <f>IF(T54="","",T54)</f>
        <v>Добавить территорию для дифференциации</v>
      </c>
      <c r="AO54" s="1965"/>
      <c r="AP54" s="1965"/>
      <c r="AQ54" s="1977">
        <v>1</v>
      </c>
    </row>
    <row s="17316" customFormat="1" customHeight="1" ht="1.05">
      <c r="A55" s="1716" t="s">
        <v>201</v>
      </c>
      <c r="B55" s="1716"/>
      <c r="C55" s="1716"/>
      <c r="D55" s="1716"/>
      <c r="E55" s="2630"/>
      <c r="F55" s="1716"/>
      <c r="G55" s="1716"/>
      <c r="H55" s="1716"/>
      <c r="I55" s="1716"/>
      <c r="J55" s="1716"/>
      <c r="K55" s="1716"/>
      <c r="L55" s="1722"/>
      <c r="M55" s="1720"/>
      <c r="N55" s="1720"/>
      <c r="O55" s="692"/>
      <c r="P55" s="721"/>
      <c r="Q55" s="1685"/>
      <c r="R55" s="721"/>
      <c r="S55" s="1663"/>
      <c r="T55" s="1666" t="s">
        <v>411</v>
      </c>
      <c r="U55" s="1665"/>
      <c r="V55" s="1665"/>
      <c r="W55" s="1665"/>
      <c r="X55" s="1665"/>
      <c r="Y55" s="1665"/>
      <c r="Z55" s="1665"/>
      <c r="AA55" s="1665"/>
      <c r="AB55" s="1665"/>
      <c r="AC55" s="1665"/>
      <c r="AD55" s="1665"/>
      <c r="AE55" s="1665"/>
      <c r="AF55" s="1665"/>
      <c r="AG55" s="1665"/>
      <c r="AH55" s="1665"/>
      <c r="AI55" s="1665"/>
      <c r="AJ55" s="1665"/>
      <c r="AK55" s="1665"/>
      <c r="AM55" s="1965"/>
      <c r="AN55" s="1965" t="str">
        <f>IF(T55="","",T55)</f>
        <v>Добавить территорию для дифференциации</v>
      </c>
      <c r="AO55" s="1965"/>
      <c r="AP55" s="1965"/>
      <c r="AQ55" s="1977">
        <v>1</v>
      </c>
    </row>
    <row s="17316" customFormat="1" customHeight="1" ht="1.05">
      <c r="A56" s="1715"/>
      <c r="B56" s="1715"/>
      <c r="C56" s="1715"/>
      <c r="D56" s="1715"/>
      <c r="E56" s="1716"/>
      <c r="F56" s="1715"/>
      <c r="G56" s="1715"/>
      <c r="H56" s="1715"/>
      <c r="I56" s="1715"/>
      <c r="J56" s="1715"/>
      <c r="K56" s="1715"/>
      <c r="L56" s="1718"/>
      <c r="M56" s="1720"/>
      <c r="N56" s="1720"/>
      <c r="O56" s="692"/>
      <c r="P56" s="1657"/>
      <c r="Q56" s="1658"/>
      <c r="R56" s="1657"/>
      <c r="S56" s="1663"/>
      <c r="T56" s="1666" t="s">
        <v>443</v>
      </c>
      <c r="U56" s="1665"/>
      <c r="V56" s="1665"/>
      <c r="W56" s="1665"/>
      <c r="X56" s="1665"/>
      <c r="Y56" s="1665"/>
      <c r="Z56" s="1665"/>
      <c r="AA56" s="1665"/>
      <c r="AB56" s="1665"/>
      <c r="AC56" s="1665"/>
      <c r="AD56" s="1665"/>
      <c r="AE56" s="1665"/>
      <c r="AF56" s="1665"/>
      <c r="AG56" s="1665"/>
      <c r="AH56" s="1665"/>
      <c r="AI56" s="1665"/>
      <c r="AJ56" s="1665"/>
      <c r="AK56" s="1665"/>
      <c r="AM56" s="1592"/>
      <c r="AN56" s="1592" t="str">
        <f>IF(T56="","",T56)</f>
        <v>Добавить наименование тарифа</v>
      </c>
      <c r="AO56" s="1592"/>
      <c r="AP56" s="1592"/>
      <c r="AQ56" s="1983">
        <v>1</v>
      </c>
    </row>
    <row customHeight="1" ht="11.549999999999999">
      <c r="M57" s="1972"/>
      <c r="N57" s="1972"/>
      <c r="O57" s="1976"/>
      <c r="P57" s="1707"/>
      <c r="Q57" s="1707"/>
      <c r="R57" s="1972"/>
      <c r="S57" s="1972"/>
      <c r="AL57" s="1972"/>
      <c r="AM57" s="1972"/>
      <c r="AN57" s="1972"/>
      <c r="AO57" s="1972"/>
      <c r="AP57" s="1972"/>
      <c r="AQ57" s="1972">
        <v>11</v>
      </c>
    </row>
    <row customHeight="1" ht="19.95">
      <c r="O58" s="1976"/>
      <c r="S58" s="1594"/>
      <c r="T58" s="2626"/>
      <c r="U58" s="2626"/>
      <c r="V58" s="2626"/>
      <c r="W58" s="2626"/>
      <c r="X58" s="2626"/>
      <c r="Y58" s="2626"/>
      <c r="Z58" s="2626"/>
      <c r="AA58" s="2626"/>
      <c r="AB58" s="2626"/>
      <c r="AC58" s="2626"/>
      <c r="AD58" s="2626"/>
      <c r="AE58" s="2626"/>
      <c r="AF58" s="2626"/>
      <c r="AG58" s="2626"/>
      <c r="AH58" s="2626"/>
      <c r="AI58" s="2626"/>
      <c r="AJ58" s="2626"/>
      <c r="AK58" s="2626"/>
      <c r="AQ58" s="1972">
        <v>19</v>
      </c>
    </row>
    <row customHeight="1" ht="21">
      <c r="O59" s="1976"/>
      <c r="T59" s="2626"/>
      <c r="U59" s="2626"/>
      <c r="V59" s="2626"/>
      <c r="W59" s="2626"/>
      <c r="X59" s="2626"/>
      <c r="Y59" s="2626"/>
      <c r="Z59" s="2626"/>
      <c r="AA59" s="2626"/>
      <c r="AB59" s="2626"/>
      <c r="AC59" s="2626"/>
      <c r="AD59" s="2626"/>
      <c r="AE59" s="2626"/>
      <c r="AF59" s="2626"/>
      <c r="AG59" s="2626"/>
      <c r="AH59" s="2626"/>
      <c r="AI59" s="2626"/>
      <c r="AJ59" s="2626"/>
      <c r="AK59" s="2626"/>
      <c r="AQ59" s="1972">
        <v>20</v>
      </c>
    </row>
    <row customHeight="1" ht="14.699999999999998">
      <c r="O60" s="1976"/>
      <c r="T60" s="2294"/>
      <c r="U60" s="2294"/>
      <c r="V60" s="2294"/>
      <c r="W60" s="2294"/>
      <c r="X60" s="2294"/>
      <c r="Y60" s="2294"/>
      <c r="Z60" s="2294"/>
      <c r="AA60" s="2294"/>
      <c r="AB60" s="2294"/>
      <c r="AC60" s="2294"/>
      <c r="AD60" s="2294"/>
      <c r="AE60" s="2294"/>
      <c r="AF60" s="2294"/>
      <c r="AG60" s="2294"/>
      <c r="AH60" s="2294"/>
      <c r="AI60" s="2294"/>
      <c r="AJ60" s="2294"/>
      <c r="AK60" s="2294"/>
      <c r="AQ60" s="1972">
        <v>14</v>
      </c>
    </row>
    <row customHeight="1" ht="19.95">
      <c r="O61" s="1976"/>
      <c r="T61" s="2626"/>
      <c r="U61" s="2626"/>
      <c r="V61" s="2626"/>
      <c r="W61" s="2626"/>
      <c r="X61" s="2626"/>
      <c r="Y61" s="2626"/>
      <c r="Z61" s="2626"/>
      <c r="AA61" s="2626"/>
      <c r="AB61" s="2626"/>
      <c r="AC61" s="2626"/>
      <c r="AD61" s="2626"/>
      <c r="AE61" s="2626"/>
      <c r="AF61" s="2626"/>
      <c r="AG61" s="2626"/>
      <c r="AH61" s="2626"/>
      <c r="AI61" s="2626"/>
      <c r="AJ61" s="2626"/>
      <c r="AK61" s="2626"/>
      <c r="AQ61" s="1972">
        <v>19</v>
      </c>
    </row>
    <row customHeight="1" ht="16.8">
      <c r="O62" s="1976"/>
      <c r="T62" s="2626"/>
      <c r="U62" s="2626"/>
      <c r="V62" s="2626"/>
      <c r="W62" s="2626"/>
      <c r="X62" s="2626"/>
      <c r="Y62" s="2626"/>
      <c r="Z62" s="2626"/>
      <c r="AA62" s="2626"/>
      <c r="AB62" s="2626"/>
      <c r="AC62" s="2626"/>
      <c r="AD62" s="2626"/>
      <c r="AE62" s="2626"/>
      <c r="AF62" s="2626"/>
      <c r="AG62" s="2626"/>
      <c r="AH62" s="2626"/>
      <c r="AI62" s="2626"/>
      <c r="AJ62" s="2626"/>
      <c r="AK62" s="2626"/>
      <c r="AQ62" s="1972">
        <v>16</v>
      </c>
    </row>
    <row customHeight="1" ht="14.699999999999998">
      <c r="O63" s="1976"/>
      <c r="AQ63" s="1972">
        <v>14</v>
      </c>
    </row>
    <row customHeight="1" ht="22.5" hidden="1">
      <c r="A64" s="1972" t="s">
        <v>82</v>
      </c>
      <c r="B64" s="1972">
        <v>0</v>
      </c>
      <c r="C64" s="1972">
        <v>0</v>
      </c>
      <c r="D64" s="1972">
        <v>0</v>
      </c>
      <c r="E64" s="1972">
        <v>0</v>
      </c>
      <c r="F64" s="1972">
        <v>0</v>
      </c>
      <c r="G64" s="1972">
        <v>0</v>
      </c>
      <c r="H64" s="1972">
        <v>0</v>
      </c>
      <c r="I64" s="1972">
        <v>0</v>
      </c>
      <c r="J64" s="1972">
        <v>0</v>
      </c>
      <c r="K64" s="1972">
        <v>0</v>
      </c>
      <c r="L64" s="2280">
        <v>0</v>
      </c>
      <c r="M64" s="2306">
        <v>0</v>
      </c>
      <c r="N64" s="2306">
        <v>0</v>
      </c>
      <c r="O64" s="2306">
        <v>0</v>
      </c>
      <c r="P64" s="1703">
        <v>3</v>
      </c>
      <c r="Q64" s="1712">
        <v>3</v>
      </c>
      <c r="R64" s="685">
        <v>3</v>
      </c>
      <c r="S64" s="922">
        <v>12</v>
      </c>
      <c r="T64" s="1972">
        <v>31</v>
      </c>
      <c r="U64" s="1972">
        <v>0</v>
      </c>
      <c r="V64" s="1972">
        <v>0</v>
      </c>
      <c r="W64" s="1972">
        <v>0</v>
      </c>
      <c r="X64" s="1972">
        <v>0</v>
      </c>
      <c r="Y64" s="1972">
        <v>0</v>
      </c>
      <c r="Z64" s="1972">
        <v>0</v>
      </c>
      <c r="AA64" s="1972">
        <v>0</v>
      </c>
      <c r="AB64" s="1972">
        <v>27</v>
      </c>
      <c r="AC64" s="1972">
        <v>24</v>
      </c>
      <c r="AD64" s="1972">
        <v>21</v>
      </c>
      <c r="AE64" s="1972">
        <v>21</v>
      </c>
      <c r="AF64" s="1972">
        <v>11</v>
      </c>
      <c r="AG64" s="1972">
        <v>3</v>
      </c>
      <c r="AH64" s="1972">
        <v>11</v>
      </c>
      <c r="AI64" s="1972">
        <v>8</v>
      </c>
      <c r="AJ64" s="1972">
        <v>4</v>
      </c>
      <c r="AK64" s="1972">
        <v>115</v>
      </c>
      <c r="AL64" s="1977">
        <v>10</v>
      </c>
      <c r="AM64" s="1977">
        <v>10</v>
      </c>
      <c r="AN64" s="1977">
        <v>10</v>
      </c>
      <c r="AO64" s="1977">
        <v>10</v>
      </c>
      <c r="AP64" s="1977">
        <v>10</v>
      </c>
      <c r="AQ64" s="1972">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A6C306-4584-7179-7F2E-9DBE3351C4A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7315" width="11.57421875" hidden="1" customWidth="1"/>
    <col min="2" max="2" style="17315" width="11.00390625" hidden="1" customWidth="1"/>
    <col min="3" max="3" style="17315" width="10.57421875" hidden="1"/>
    <col min="4" max="4" style="17315" width="12.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7" width="3.7109375" hidden="1" customWidth="1"/>
    <col min="17" max="17" style="18263" width="3.7109375" hidden="1" customWidth="1"/>
    <col min="18" max="18" style="18079" width="3.00390625" customWidth="1"/>
    <col min="19" max="19" style="18080" width="12.00390625" customWidth="1"/>
    <col min="20" max="20" style="17239" width="31.00390625" customWidth="1"/>
    <col min="21" max="21" style="17239" width="0.140625" customWidth="1"/>
    <col min="22" max="25" style="17239" width="21.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3.7109375" customWidth="1"/>
    <col min="31" max="32" style="17239" width="3.00390625" customWidth="1"/>
    <col min="33" max="33" style="17239" width="24.00390625" customWidth="1"/>
    <col min="34" max="34" style="17239" width="3.7109375" customWidth="1"/>
    <col min="35" max="36" style="17239" width="3.00390625" customWidth="1"/>
    <col min="37" max="37" style="17239" width="24.00390625" customWidth="1"/>
    <col min="38" max="38" style="17239" width="3.7109375" customWidth="1"/>
    <col min="39" max="40" style="17239" width="3.00390625" customWidth="1"/>
    <col min="41" max="41" style="17239" width="18.00390625" customWidth="1"/>
    <col min="42" max="42" style="17239" width="3.7109375" customWidth="1"/>
    <col min="43" max="44" style="17239" width="3.00390625" customWidth="1"/>
    <col min="45" max="45" style="17239" width="18.00390625" customWidth="1"/>
    <col min="46" max="49" style="17239" width="21.00390625" customWidth="1"/>
    <col min="50" max="50" style="17239" width="11.00390625" customWidth="1"/>
    <col min="51" max="51" style="17239" width="3.7109375" customWidth="1"/>
    <col min="52" max="52" style="17239" width="11.00390625" customWidth="1"/>
    <col min="53" max="53" style="17239" width="8.57421875" hidden="1" customWidth="1"/>
    <col min="54" max="54" style="17239" width="4.00390625" customWidth="1"/>
    <col min="55" max="55" style="17239" width="115.00390625" customWidth="1"/>
    <col min="56" max="60" style="17316" width="10.00390625" customWidth="1"/>
    <col min="61" max="61" style="17239" width="10.57421875" hidden="1"/>
  </cols>
  <sheetData>
    <row customHeight="1" ht="22.5" hidden="1">
      <c r="W1" s="668"/>
      <c r="Y1" s="668"/>
      <c r="Z1" s="668"/>
      <c r="AW1" s="668"/>
      <c r="AX1" s="668"/>
      <c r="BI1" s="1496" t="s">
        <v>14</v>
      </c>
    </row>
    <row customHeight="1" ht="21" hidden="1">
      <c r="A2" s="1704"/>
      <c r="B2" s="1704"/>
      <c r="C2" s="1704"/>
      <c r="D2" s="1704"/>
      <c r="E2" s="2599">
        <v>1</v>
      </c>
      <c r="F2" s="1704"/>
      <c r="G2" s="1704"/>
      <c r="H2" s="1704"/>
      <c r="I2" s="1704"/>
      <c r="J2" s="1704"/>
      <c r="K2" s="1704"/>
      <c r="L2" s="1705"/>
      <c r="M2" s="1706"/>
      <c r="N2" s="1706"/>
      <c r="O2" s="1706"/>
      <c r="P2" s="1750"/>
      <c r="Q2" s="1214"/>
      <c r="R2" s="696"/>
      <c r="S2" s="1806">
        <f>INDEX(PT_DIFFERENTIATION_NUM_NTAR,MATCH(A2,PT_DIFFERENTIATION_NTAR_ID,0))</f>
      </c>
      <c r="T2" s="639" t="s">
        <v>120</v>
      </c>
      <c r="U2" s="641"/>
      <c r="V2" s="2584"/>
      <c r="W2" s="2584"/>
      <c r="X2" s="2584"/>
      <c r="Y2" s="2584"/>
      <c r="Z2" s="2584"/>
      <c r="AA2" s="2584"/>
      <c r="AB2" s="2584"/>
      <c r="AC2" s="2585"/>
      <c r="AD2" s="2583">
        <f>INDEX(PT_DIFFERENTIATION_NTAR,MATCH(A2,PT_DIFFERENTIATION_NTAR_ID,0))</f>
      </c>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5"/>
      <c r="BC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1"/>
      <c r="BF2" s="841" t="str">
        <f>IF(T2="","",T2)</f>
        <v>Наименование тарифа</v>
      </c>
      <c r="BG2" s="841"/>
      <c r="BH2" s="841"/>
      <c r="BI2" s="1496">
        <v>0</v>
      </c>
    </row>
    <row customHeight="1" ht="21" hidden="1">
      <c r="A3" s="1704"/>
      <c r="B3" s="1704"/>
      <c r="C3" s="1704"/>
      <c r="D3" s="1704"/>
      <c r="E3" s="2600"/>
      <c r="F3" s="2599">
        <v>1</v>
      </c>
      <c r="G3" s="1704"/>
      <c r="H3" s="1704"/>
      <c r="I3" s="1704"/>
      <c r="J3" s="1704"/>
      <c r="K3" s="1704"/>
      <c r="L3" s="1705"/>
      <c r="M3" s="1706"/>
      <c r="N3" s="1706"/>
      <c r="O3" s="1706"/>
      <c r="P3" s="1751"/>
      <c r="Q3" s="1752"/>
      <c r="R3" s="694"/>
      <c r="S3" s="1806">
        <f>INDEX(PT_DIFFERENTIATION_NUM_TER,MATCH(B3,PT_DIFFERENTIATION_TER_ID,0))</f>
      </c>
      <c r="T3" s="649" t="s">
        <v>392</v>
      </c>
      <c r="U3" s="641"/>
      <c r="V3" s="2584"/>
      <c r="W3" s="2584"/>
      <c r="X3" s="2584"/>
      <c r="Y3" s="2584"/>
      <c r="Z3" s="2584"/>
      <c r="AA3" s="2584"/>
      <c r="AB3" s="2584"/>
      <c r="AC3" s="2585"/>
      <c r="AD3" s="2583">
        <f>INDEX(PT_DIFFERENTIATION_TER,MATCH(B3,PT_DIFFERENTIATION_TER_ID,0))</f>
      </c>
      <c r="AE3" s="2584"/>
      <c r="AF3" s="2584"/>
      <c r="AG3" s="2584"/>
      <c r="AH3" s="2584"/>
      <c r="AI3" s="2584"/>
      <c r="AJ3" s="2584"/>
      <c r="AK3" s="2584"/>
      <c r="AL3" s="2584"/>
      <c r="AM3" s="2584"/>
      <c r="AN3" s="2584"/>
      <c r="AO3" s="2584"/>
      <c r="AP3" s="2584"/>
      <c r="AQ3" s="2584"/>
      <c r="AR3" s="2584"/>
      <c r="AS3" s="2584"/>
      <c r="AT3" s="2584"/>
      <c r="AU3" s="2584"/>
      <c r="AV3" s="2584"/>
      <c r="AW3" s="2584"/>
      <c r="AX3" s="2584"/>
      <c r="AY3" s="2584"/>
      <c r="AZ3" s="2584"/>
      <c r="BA3" s="2584"/>
      <c r="BB3" s="2585"/>
      <c r="BC3" s="1599" t="s">
        <v>393</v>
      </c>
      <c r="BE3" s="841"/>
      <c r="BF3" s="841" t="str">
        <f>IF(T3="","",T3)</f>
        <v>Территория действия тарифа</v>
      </c>
      <c r="BG3" s="841"/>
      <c r="BH3" s="841"/>
      <c r="BI3" s="1496">
        <v>0</v>
      </c>
    </row>
    <row customHeight="1" ht="42" hidden="1">
      <c r="A4" s="1704"/>
      <c r="B4" s="1704"/>
      <c r="C4" s="1704"/>
      <c r="D4" s="1704"/>
      <c r="E4" s="2600"/>
      <c r="F4" s="2600"/>
      <c r="G4" s="2599">
        <v>1</v>
      </c>
      <c r="H4" s="1704"/>
      <c r="I4" s="1704"/>
      <c r="J4" s="1704"/>
      <c r="K4" s="1704"/>
      <c r="L4" s="1705"/>
      <c r="M4" s="1706"/>
      <c r="N4" s="1706"/>
      <c r="O4" s="1706"/>
      <c r="P4" s="1753"/>
      <c r="Q4" s="1752"/>
      <c r="R4" s="694"/>
      <c r="S4" s="1806">
        <f>INDEX(PT_DIFFERENTIATION_NUM_CS,MATCH(C4,PT_DIFFERENTIATION_CS_ID,0))</f>
      </c>
      <c r="T4" s="650" t="s">
        <v>476</v>
      </c>
      <c r="U4" s="641"/>
      <c r="V4" s="2584"/>
      <c r="W4" s="2584"/>
      <c r="X4" s="2584"/>
      <c r="Y4" s="2584"/>
      <c r="Z4" s="2584"/>
      <c r="AA4" s="2584"/>
      <c r="AB4" s="2584"/>
      <c r="AC4" s="2585"/>
      <c r="AD4" s="2583">
        <f>INDEX(PT_DIFFERENTIATION_CS,MATCH(C4,PT_DIFFERENTIATION_CS_ID,0))</f>
      </c>
      <c r="AE4" s="2584"/>
      <c r="AF4" s="2584"/>
      <c r="AG4" s="2584"/>
      <c r="AH4" s="2584"/>
      <c r="AI4" s="2584"/>
      <c r="AJ4" s="2584"/>
      <c r="AK4" s="2584"/>
      <c r="AL4" s="2584"/>
      <c r="AM4" s="2584"/>
      <c r="AN4" s="2584"/>
      <c r="AO4" s="2584"/>
      <c r="AP4" s="2584"/>
      <c r="AQ4" s="2584"/>
      <c r="AR4" s="2584"/>
      <c r="AS4" s="2584"/>
      <c r="AT4" s="2584"/>
      <c r="AU4" s="2584"/>
      <c r="AV4" s="2584"/>
      <c r="AW4" s="2584"/>
      <c r="AX4" s="2584"/>
      <c r="AY4" s="2584"/>
      <c r="AZ4" s="2584"/>
      <c r="BA4" s="2584"/>
      <c r="BB4" s="2585"/>
      <c r="BC4" s="1599" t="s">
        <v>477</v>
      </c>
      <c r="BE4" s="841"/>
      <c r="BF4" s="841" t="str">
        <f>IF(T4="","",T4)</f>
        <v>Наименование централизованной системы холодного водоснабжения</v>
      </c>
      <c r="BG4" s="841"/>
      <c r="BH4" s="841"/>
      <c r="BI4" s="1496">
        <v>0</v>
      </c>
    </row>
    <row s="17316" customFormat="1" customHeight="1" ht="14.25" hidden="1">
      <c r="A5" s="1684"/>
      <c r="B5" s="1684"/>
      <c r="C5" s="1684"/>
      <c r="D5" s="1684"/>
      <c r="E5" s="2600"/>
      <c r="F5" s="2600"/>
      <c r="G5" s="2600"/>
      <c r="H5" s="2599">
        <v>1</v>
      </c>
      <c r="I5" s="1684"/>
      <c r="J5" s="1684"/>
      <c r="K5" s="1684"/>
      <c r="L5" s="1687"/>
      <c r="M5" s="1656"/>
      <c r="N5" s="1656"/>
      <c r="O5" s="1656"/>
      <c r="P5" s="1838"/>
      <c r="Q5" s="1839"/>
      <c r="R5" s="698"/>
      <c r="S5" s="1383"/>
      <c r="T5" s="1840"/>
      <c r="U5" s="1725"/>
      <c r="V5" s="2638"/>
      <c r="W5" s="2638"/>
      <c r="X5" s="2638"/>
      <c r="Y5" s="2638"/>
      <c r="Z5" s="2638"/>
      <c r="AA5" s="2638"/>
      <c r="AB5" s="2638"/>
      <c r="AC5" s="2639"/>
      <c r="AD5" s="2637"/>
      <c r="AE5" s="2638"/>
      <c r="AF5" s="2638"/>
      <c r="AG5" s="2638"/>
      <c r="AH5" s="2638"/>
      <c r="AI5" s="2638"/>
      <c r="AJ5" s="2638"/>
      <c r="AK5" s="2638"/>
      <c r="AL5" s="2638"/>
      <c r="AM5" s="2638"/>
      <c r="AN5" s="2638"/>
      <c r="AO5" s="2638"/>
      <c r="AP5" s="2638"/>
      <c r="AQ5" s="2638"/>
      <c r="AR5" s="2638"/>
      <c r="AS5" s="2638"/>
      <c r="AT5" s="2638"/>
      <c r="AU5" s="2638"/>
      <c r="AV5" s="2638"/>
      <c r="AW5" s="2638"/>
      <c r="AX5" s="2638"/>
      <c r="AY5" s="2638"/>
      <c r="AZ5" s="2638"/>
      <c r="BA5" s="2638"/>
      <c r="BB5" s="2639"/>
      <c r="BC5" s="1726" t="s">
        <v>397</v>
      </c>
      <c r="BE5" s="841"/>
      <c r="BF5" s="841" t="str">
        <f>IF(T5="","",T5)</f>
        <v/>
      </c>
      <c r="BG5" s="841"/>
      <c r="BH5" s="841"/>
      <c r="BI5" s="852">
        <v>0</v>
      </c>
    </row>
    <row s="17316" customFormat="1" customHeight="1" ht="14.25" hidden="1">
      <c r="A6" s="1684"/>
      <c r="B6" s="1684"/>
      <c r="C6" s="1684"/>
      <c r="D6" s="1684"/>
      <c r="E6" s="2600"/>
      <c r="F6" s="2600"/>
      <c r="G6" s="2600"/>
      <c r="H6" s="2600"/>
      <c r="I6" s="2597" t="str">
        <f>S5&amp;".1"</f>
        <v>.1</v>
      </c>
      <c r="J6" s="1684"/>
      <c r="K6" s="1684"/>
      <c r="L6" s="1687" t="s">
        <v>398</v>
      </c>
      <c r="M6" s="851"/>
      <c r="N6" s="851"/>
      <c r="O6" s="851"/>
      <c r="P6" s="2598">
        <v>1</v>
      </c>
      <c r="Q6" s="1803"/>
      <c r="R6" s="697"/>
      <c r="S6" s="1383"/>
      <c r="T6" s="1724"/>
      <c r="U6" s="1725"/>
      <c r="V6" s="2638"/>
      <c r="W6" s="2638"/>
      <c r="X6" s="2638"/>
      <c r="Y6" s="2638"/>
      <c r="Z6" s="2638"/>
      <c r="AA6" s="2638"/>
      <c r="AB6" s="2638"/>
      <c r="AC6" s="2639"/>
      <c r="AD6" s="2637"/>
      <c r="AE6" s="2638"/>
      <c r="AF6" s="2638"/>
      <c r="AG6" s="2638"/>
      <c r="AH6" s="2638"/>
      <c r="AI6" s="2638"/>
      <c r="AJ6" s="2638"/>
      <c r="AK6" s="2638"/>
      <c r="AL6" s="2638"/>
      <c r="AM6" s="2638"/>
      <c r="AN6" s="2638"/>
      <c r="AO6" s="2638"/>
      <c r="AP6" s="2638"/>
      <c r="AQ6" s="2638"/>
      <c r="AR6" s="2638"/>
      <c r="AS6" s="2638"/>
      <c r="AT6" s="2638"/>
      <c r="AU6" s="2638"/>
      <c r="AV6" s="2638"/>
      <c r="AW6" s="2638"/>
      <c r="AX6" s="2638"/>
      <c r="AY6" s="2638"/>
      <c r="AZ6" s="2638"/>
      <c r="BA6" s="2638"/>
      <c r="BB6" s="2639"/>
      <c r="BC6" s="1726"/>
      <c r="BE6" s="841"/>
      <c r="BF6" s="841" t="str">
        <f>IF(T6="","",T6)</f>
        <v/>
      </c>
      <c r="BG6" s="841"/>
      <c r="BH6" s="841"/>
      <c r="BI6" s="852">
        <v>0</v>
      </c>
    </row>
    <row s="17316" customFormat="1" customHeight="1" ht="14.25" hidden="1">
      <c r="A7" s="1684"/>
      <c r="B7" s="1684"/>
      <c r="C7" s="1684"/>
      <c r="D7" s="1684"/>
      <c r="E7" s="2600"/>
      <c r="F7" s="2600"/>
      <c r="G7" s="2600"/>
      <c r="H7" s="2600"/>
      <c r="I7" s="2627"/>
      <c r="J7" s="2597" t="str">
        <f>S5&amp;".1"</f>
        <v>.1</v>
      </c>
      <c r="K7" s="1684"/>
      <c r="L7" s="1687"/>
      <c r="M7" s="851"/>
      <c r="N7" s="851"/>
      <c r="O7" s="851"/>
      <c r="P7" s="2598"/>
      <c r="Q7" s="2598">
        <v>1</v>
      </c>
      <c r="R7" s="698"/>
      <c r="S7" s="1383"/>
      <c r="T7" s="1740"/>
      <c r="U7" s="1725"/>
      <c r="V7" s="2638"/>
      <c r="W7" s="2638"/>
      <c r="X7" s="2638"/>
      <c r="Y7" s="2638"/>
      <c r="Z7" s="2638"/>
      <c r="AA7" s="2638"/>
      <c r="AB7" s="2638"/>
      <c r="AC7" s="2639"/>
      <c r="AD7" s="2637"/>
      <c r="AE7" s="2638"/>
      <c r="AF7" s="2638"/>
      <c r="AG7" s="2638"/>
      <c r="AH7" s="2638"/>
      <c r="AI7" s="2638"/>
      <c r="AJ7" s="2638"/>
      <c r="AK7" s="2638"/>
      <c r="AL7" s="2638"/>
      <c r="AM7" s="2638"/>
      <c r="AN7" s="2638"/>
      <c r="AO7" s="2638"/>
      <c r="AP7" s="2638"/>
      <c r="AQ7" s="2638"/>
      <c r="AR7" s="2638"/>
      <c r="AS7" s="2638"/>
      <c r="AT7" s="2638"/>
      <c r="AU7" s="2638"/>
      <c r="AV7" s="2638"/>
      <c r="AW7" s="2638"/>
      <c r="AX7" s="2638"/>
      <c r="AY7" s="2638"/>
      <c r="AZ7" s="2638"/>
      <c r="BA7" s="2638"/>
      <c r="BB7" s="2639"/>
      <c r="BC7" s="1726"/>
      <c r="BE7" s="841"/>
      <c r="BF7" s="841" t="str">
        <f>IF(T7="","",T7)</f>
        <v/>
      </c>
      <c r="BG7" s="841"/>
      <c r="BH7" s="841"/>
      <c r="BI7" s="852">
        <v>0</v>
      </c>
    </row>
    <row customHeight="1" ht="11.25" hidden="1">
      <c r="A8" s="1704"/>
      <c r="B8" s="1704"/>
      <c r="C8" s="1704"/>
      <c r="D8" s="1704"/>
      <c r="E8" s="2600"/>
      <c r="F8" s="2600"/>
      <c r="G8" s="2600"/>
      <c r="H8" s="2600"/>
      <c r="I8" s="2627"/>
      <c r="J8" s="2627"/>
      <c r="K8" s="2597">
        <f>S4&amp;".1"</f>
      </c>
      <c r="L8" s="1705"/>
      <c r="P8" s="2598"/>
      <c r="Q8" s="2598"/>
      <c r="R8" s="2688">
        <v>1</v>
      </c>
      <c r="S8" s="2682">
        <f>$K8</f>
      </c>
      <c r="T8" s="2701"/>
      <c r="U8" s="641"/>
      <c r="V8" s="1092"/>
      <c r="W8" s="1598"/>
      <c r="X8" s="1092"/>
      <c r="Y8" s="1598"/>
      <c r="Z8" s="2075"/>
      <c r="AA8" s="1800" t="s">
        <v>65</v>
      </c>
      <c r="AB8" s="2075"/>
      <c r="AC8" s="1800" t="s">
        <v>65</v>
      </c>
      <c r="AD8" s="2526" t="s">
        <v>65</v>
      </c>
      <c r="AE8" s="2667"/>
      <c r="AF8" s="2546">
        <v>1</v>
      </c>
      <c r="AG8" s="2704"/>
      <c r="AH8" s="2448" t="s">
        <v>65</v>
      </c>
      <c r="AI8" s="2667"/>
      <c r="AJ8" s="2546">
        <v>1</v>
      </c>
      <c r="AK8" s="2668" t="s">
        <v>22</v>
      </c>
      <c r="AL8" s="2448" t="s">
        <v>65</v>
      </c>
      <c r="AM8" s="2533"/>
      <c r="AN8" s="2546">
        <v>1</v>
      </c>
      <c r="AO8" s="2698"/>
      <c r="AP8" s="2699" t="s">
        <v>65</v>
      </c>
      <c r="AQ8" s="652"/>
      <c r="AR8" s="1804">
        <v>1</v>
      </c>
      <c r="AS8" s="1807" t="s">
        <v>22</v>
      </c>
      <c r="AT8" s="1092"/>
      <c r="AU8" s="1598"/>
      <c r="AV8" s="1092"/>
      <c r="AW8" s="1598"/>
      <c r="AX8" s="2075"/>
      <c r="AY8" s="1800" t="s">
        <v>65</v>
      </c>
      <c r="AZ8" s="2075"/>
      <c r="BA8" s="1800" t="s">
        <v>65</v>
      </c>
      <c r="BB8" s="1689"/>
      <c r="BC8" s="2594" t="s">
        <v>496</v>
      </c>
      <c r="BE8" s="841"/>
      <c r="BF8" s="841" t="str">
        <f>IF(T8="","",T8)</f>
        <v/>
      </c>
      <c r="BG8" s="841"/>
      <c r="BH8" s="841"/>
      <c r="BI8" s="1496">
        <v>0</v>
      </c>
    </row>
    <row customHeight="1" ht="11.25" hidden="1">
      <c r="A9" s="1704"/>
      <c r="B9" s="1704"/>
      <c r="C9" s="1704"/>
      <c r="D9" s="1704"/>
      <c r="E9" s="2600"/>
      <c r="F9" s="2600"/>
      <c r="G9" s="2600"/>
      <c r="H9" s="2600"/>
      <c r="I9" s="2627"/>
      <c r="J9" s="2627"/>
      <c r="K9" s="2597"/>
      <c r="L9" s="1705"/>
      <c r="P9" s="2598"/>
      <c r="Q9" s="2598"/>
      <c r="R9" s="2688"/>
      <c r="S9" s="2683"/>
      <c r="T9" s="2702"/>
      <c r="U9" s="641"/>
      <c r="V9" s="1734"/>
      <c r="W9" s="1837"/>
      <c r="X9" s="1734"/>
      <c r="Y9" s="1837"/>
      <c r="Z9" s="1734"/>
      <c r="AA9" s="1734"/>
      <c r="AB9" s="1734"/>
      <c r="AC9" s="1734"/>
      <c r="AD9" s="2527"/>
      <c r="AE9" s="2667"/>
      <c r="AF9" s="2546"/>
      <c r="AG9" s="2704"/>
      <c r="AH9" s="2448"/>
      <c r="AI9" s="2667"/>
      <c r="AJ9" s="2546"/>
      <c r="AK9" s="2668"/>
      <c r="AL9" s="2448"/>
      <c r="AM9" s="2541"/>
      <c r="AN9" s="2546"/>
      <c r="AO9" s="2698"/>
      <c r="AP9" s="2700"/>
      <c r="AQ9" s="657"/>
      <c r="AR9" s="757"/>
      <c r="AS9" s="757" t="s">
        <v>497</v>
      </c>
      <c r="AT9" s="1734"/>
      <c r="AU9" s="1837"/>
      <c r="AV9" s="1734"/>
      <c r="AW9" s="1837"/>
      <c r="AX9" s="1734"/>
      <c r="AY9" s="1734"/>
      <c r="AZ9" s="1734"/>
      <c r="BA9" s="1734"/>
      <c r="BB9" s="1738"/>
      <c r="BC9" s="2595"/>
      <c r="BE9" s="841"/>
      <c r="BF9" s="841"/>
      <c r="BG9" s="841"/>
      <c r="BH9" s="841"/>
      <c r="BI9" s="1496">
        <v>0</v>
      </c>
    </row>
    <row customHeight="1" ht="11.25" hidden="1">
      <c r="A10" s="1704"/>
      <c r="B10" s="1704"/>
      <c r="C10" s="1704"/>
      <c r="D10" s="1704"/>
      <c r="E10" s="2600"/>
      <c r="F10" s="2600"/>
      <c r="G10" s="2600"/>
      <c r="H10" s="2600"/>
      <c r="I10" s="2627"/>
      <c r="J10" s="2627"/>
      <c r="K10" s="2597"/>
      <c r="L10" s="1705"/>
      <c r="P10" s="2598"/>
      <c r="Q10" s="2598"/>
      <c r="R10" s="2688"/>
      <c r="S10" s="2683"/>
      <c r="T10" s="2702"/>
      <c r="U10" s="641"/>
      <c r="V10" s="1734"/>
      <c r="W10" s="1837"/>
      <c r="X10" s="1734"/>
      <c r="Y10" s="1837"/>
      <c r="Z10" s="1734"/>
      <c r="AA10" s="1734"/>
      <c r="AB10" s="1734"/>
      <c r="AC10" s="1734"/>
      <c r="AD10" s="2527"/>
      <c r="AE10" s="2667"/>
      <c r="AF10" s="2546"/>
      <c r="AG10" s="2704"/>
      <c r="AH10" s="2448"/>
      <c r="AI10" s="2667"/>
      <c r="AJ10" s="2546"/>
      <c r="AK10" s="2668"/>
      <c r="AL10" s="2448"/>
      <c r="AM10" s="657"/>
      <c r="AN10" s="1841"/>
      <c r="AO10" s="1841" t="s">
        <v>498</v>
      </c>
      <c r="AP10" s="757"/>
      <c r="AQ10" s="757"/>
      <c r="AR10" s="757"/>
      <c r="AS10" s="1734"/>
      <c r="AT10" s="1734"/>
      <c r="AU10" s="1837"/>
      <c r="AV10" s="1734"/>
      <c r="AW10" s="1837"/>
      <c r="AX10" s="1734"/>
      <c r="AY10" s="1734"/>
      <c r="AZ10" s="1734"/>
      <c r="BA10" s="1734"/>
      <c r="BB10" s="1738"/>
      <c r="BC10" s="2595"/>
      <c r="BE10" s="841"/>
      <c r="BF10" s="841"/>
      <c r="BG10" s="841"/>
      <c r="BH10" s="841"/>
      <c r="BI10" s="1496">
        <v>0</v>
      </c>
    </row>
    <row customHeight="1" ht="11.25" hidden="1">
      <c r="A11" s="1704"/>
      <c r="B11" s="1704"/>
      <c r="C11" s="1704"/>
      <c r="D11" s="1704"/>
      <c r="E11" s="2600"/>
      <c r="F11" s="2600"/>
      <c r="G11" s="2600"/>
      <c r="H11" s="2600"/>
      <c r="I11" s="2627"/>
      <c r="J11" s="2627"/>
      <c r="K11" s="2597"/>
      <c r="L11" s="1705"/>
      <c r="P11" s="2598"/>
      <c r="Q11" s="2598"/>
      <c r="R11" s="2688"/>
      <c r="S11" s="2683"/>
      <c r="T11" s="2702"/>
      <c r="U11" s="641"/>
      <c r="V11" s="1734"/>
      <c r="W11" s="1837"/>
      <c r="X11" s="1734"/>
      <c r="Y11" s="1837"/>
      <c r="Z11" s="1734"/>
      <c r="AA11" s="1734"/>
      <c r="AB11" s="1734"/>
      <c r="AC11" s="1734"/>
      <c r="AD11" s="2527"/>
      <c r="AE11" s="2667"/>
      <c r="AF11" s="2546"/>
      <c r="AG11" s="2704"/>
      <c r="AH11" s="2448"/>
      <c r="AI11" s="635"/>
      <c r="AJ11" s="756"/>
      <c r="AK11" s="654" t="s">
        <v>499</v>
      </c>
      <c r="AL11" s="1734"/>
      <c r="AM11" s="1734"/>
      <c r="AN11" s="1734"/>
      <c r="AO11" s="1734"/>
      <c r="AP11" s="1734"/>
      <c r="AQ11" s="1734"/>
      <c r="AR11" s="1734"/>
      <c r="AS11" s="1734"/>
      <c r="AT11" s="1734"/>
      <c r="AU11" s="1837"/>
      <c r="AV11" s="1734"/>
      <c r="AW11" s="1837"/>
      <c r="AX11" s="1734"/>
      <c r="AY11" s="1734"/>
      <c r="AZ11" s="1734"/>
      <c r="BA11" s="1734"/>
      <c r="BB11" s="1738"/>
      <c r="BC11" s="2595"/>
      <c r="BE11" s="841"/>
      <c r="BF11" s="841"/>
      <c r="BG11" s="841"/>
      <c r="BH11" s="841"/>
      <c r="BI11" s="1496">
        <v>0</v>
      </c>
    </row>
    <row customHeight="1" ht="11.25" hidden="1">
      <c r="A12" s="1704"/>
      <c r="B12" s="1704"/>
      <c r="C12" s="1704"/>
      <c r="D12" s="1704"/>
      <c r="E12" s="2600"/>
      <c r="F12" s="2600"/>
      <c r="G12" s="2600"/>
      <c r="H12" s="2600"/>
      <c r="I12" s="2627"/>
      <c r="J12" s="2627"/>
      <c r="K12" s="2597"/>
      <c r="L12" s="1705"/>
      <c r="P12" s="2598"/>
      <c r="Q12" s="2598"/>
      <c r="R12" s="2688"/>
      <c r="S12" s="2684"/>
      <c r="T12" s="2703"/>
      <c r="U12" s="641"/>
      <c r="V12" s="1734"/>
      <c r="W12" s="1735" t="str">
        <f>Z8&amp;"-"&amp;AB8</f>
        <v>-</v>
      </c>
      <c r="X12" s="1734"/>
      <c r="Y12" s="1735" t="str">
        <f>AB8&amp;"-"&amp;AD8</f>
        <v>-да</v>
      </c>
      <c r="Z12" s="1734"/>
      <c r="AA12" s="1734"/>
      <c r="AB12" s="1734"/>
      <c r="AC12" s="1734"/>
      <c r="AD12" s="2453"/>
      <c r="AE12" s="653"/>
      <c r="AF12" s="655"/>
      <c r="AG12" s="757" t="s">
        <v>500</v>
      </c>
      <c r="AH12" s="1734"/>
      <c r="AI12" s="1734"/>
      <c r="AJ12" s="1734"/>
      <c r="AK12" s="1734"/>
      <c r="AL12" s="1734"/>
      <c r="AM12" s="1734"/>
      <c r="AN12" s="1734"/>
      <c r="AO12" s="1734"/>
      <c r="AP12" s="1734"/>
      <c r="AQ12" s="1734"/>
      <c r="AR12" s="1734"/>
      <c r="AS12" s="1734"/>
      <c r="AT12" s="1734"/>
      <c r="AU12" s="1735" t="str">
        <f>AX8&amp;"-"&amp;AZ8</f>
        <v>-</v>
      </c>
      <c r="AV12" s="1734"/>
      <c r="AW12" s="1735" t="str">
        <f>AZ8&amp;"-"&amp;BB8</f>
        <v>-</v>
      </c>
      <c r="AX12" s="1734"/>
      <c r="AY12" s="1734"/>
      <c r="AZ12" s="1734"/>
      <c r="BA12" s="1734"/>
      <c r="BB12" s="1737" t="str">
        <f>BE8&amp;"-"&amp;BG8</f>
        <v>-</v>
      </c>
      <c r="BC12" s="2595"/>
      <c r="BE12" s="841"/>
      <c r="BF12" s="841" t="str">
        <f>IF(T12="","",T12)</f>
        <v/>
      </c>
      <c r="BG12" s="841"/>
      <c r="BH12" s="841"/>
      <c r="BI12" s="1496">
        <v>0</v>
      </c>
    </row>
    <row customHeight="1" ht="11.25" hidden="1">
      <c r="A13" s="1704"/>
      <c r="B13" s="1704"/>
      <c r="C13" s="1704"/>
      <c r="D13" s="1704"/>
      <c r="E13" s="2600"/>
      <c r="F13" s="2600"/>
      <c r="G13" s="2600"/>
      <c r="H13" s="2600"/>
      <c r="I13" s="2627"/>
      <c r="J13" s="2597"/>
      <c r="K13" s="1704"/>
      <c r="L13" s="1705"/>
      <c r="P13" s="2598"/>
      <c r="Q13" s="2598"/>
      <c r="R13" s="697"/>
      <c r="S13" s="1619"/>
      <c r="T13" s="628" t="s">
        <v>463</v>
      </c>
      <c r="U13" s="708"/>
      <c r="V13" s="708"/>
      <c r="W13" s="708"/>
      <c r="X13" s="708"/>
      <c r="Y13" s="708"/>
      <c r="Z13" s="708"/>
      <c r="AA13" s="708"/>
      <c r="AB13" s="708"/>
      <c r="AC13" s="708"/>
      <c r="AD13" s="1846"/>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665"/>
      <c r="BC13" s="2596"/>
      <c r="BE13" s="841"/>
      <c r="BF13" s="841" t="str">
        <f>IF(T13="","",T13)</f>
        <v>Добавить строку</v>
      </c>
      <c r="BG13" s="841"/>
      <c r="BH13" s="841"/>
      <c r="BI13" s="1496">
        <v>0</v>
      </c>
    </row>
    <row s="17316" customFormat="1" customHeight="1" ht="14.25" hidden="1">
      <c r="A14" s="1684"/>
      <c r="B14" s="1684"/>
      <c r="C14" s="1684"/>
      <c r="D14" s="1684"/>
      <c r="E14" s="2600"/>
      <c r="F14" s="2600"/>
      <c r="G14" s="2600"/>
      <c r="H14" s="2600"/>
      <c r="I14" s="2597"/>
      <c r="J14" s="1684"/>
      <c r="K14" s="1684"/>
      <c r="L14" s="1687"/>
      <c r="M14" s="851"/>
      <c r="N14" s="851"/>
      <c r="O14" s="851"/>
      <c r="P14" s="2598"/>
      <c r="Q14" s="1803"/>
      <c r="R14" s="697"/>
      <c r="S14" s="1727"/>
      <c r="T14" s="1728"/>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1729"/>
      <c r="AU14" s="1729"/>
      <c r="AV14" s="1729"/>
      <c r="AW14" s="1729"/>
      <c r="AX14" s="1729"/>
      <c r="AY14" s="1729"/>
      <c r="AZ14" s="1729"/>
      <c r="BA14" s="1729"/>
      <c r="BB14" s="1729"/>
      <c r="BC14" s="1730"/>
      <c r="BE14" s="841"/>
      <c r="BF14" s="841" t="str">
        <f>IF(T14="","",T14)</f>
        <v/>
      </c>
      <c r="BG14" s="841"/>
      <c r="BH14" s="841"/>
      <c r="BI14" s="852">
        <v>0</v>
      </c>
    </row>
    <row s="17316" customFormat="1" customHeight="1" ht="14.25" hidden="1">
      <c r="A15" s="1684"/>
      <c r="B15" s="1684"/>
      <c r="C15" s="1684"/>
      <c r="D15" s="1684"/>
      <c r="E15" s="2600"/>
      <c r="F15" s="2600"/>
      <c r="G15" s="2600"/>
      <c r="H15" s="2599"/>
      <c r="I15" s="1684"/>
      <c r="J15" s="1684"/>
      <c r="K15" s="1684"/>
      <c r="L15" s="1687"/>
      <c r="M15" s="1656"/>
      <c r="N15" s="1656"/>
      <c r="O15" s="859"/>
      <c r="P15" s="721"/>
      <c r="Q15" s="1685"/>
      <c r="R15" s="1742"/>
      <c r="S15" s="1727"/>
      <c r="T15" s="1728"/>
      <c r="U15" s="1729"/>
      <c r="V15" s="1729"/>
      <c r="W15" s="1729"/>
      <c r="X15" s="1729"/>
      <c r="Y15" s="1729"/>
      <c r="Z15" s="1729"/>
      <c r="AA15" s="1729"/>
      <c r="AB15" s="1729"/>
      <c r="AC15" s="1729"/>
      <c r="AD15" s="1729"/>
      <c r="AE15" s="1729"/>
      <c r="AF15" s="1729"/>
      <c r="AG15" s="1729"/>
      <c r="AH15" s="1729"/>
      <c r="AI15" s="1729"/>
      <c r="AJ15" s="1729"/>
      <c r="AK15" s="1729"/>
      <c r="AL15" s="1729"/>
      <c r="AM15" s="1729"/>
      <c r="AN15" s="1729"/>
      <c r="AO15" s="1729"/>
      <c r="AP15" s="1729"/>
      <c r="AQ15" s="1729"/>
      <c r="AR15" s="1729"/>
      <c r="AS15" s="1729"/>
      <c r="AT15" s="1729"/>
      <c r="AU15" s="1729"/>
      <c r="AV15" s="1729"/>
      <c r="AW15" s="1729"/>
      <c r="AX15" s="1729"/>
      <c r="AY15" s="1729"/>
      <c r="AZ15" s="1729"/>
      <c r="BA15" s="1729"/>
      <c r="BB15" s="1729"/>
      <c r="BC15" s="1730"/>
      <c r="BE15" s="841"/>
      <c r="BF15" s="841" t="str">
        <f>IF(T15="","",T15)</f>
        <v/>
      </c>
      <c r="BG15" s="841"/>
      <c r="BH15" s="841"/>
      <c r="BI15" s="852">
        <v>0</v>
      </c>
    </row>
    <row s="17316" customFormat="1" customHeight="1" ht="14.25" hidden="1">
      <c r="A16" s="1684"/>
      <c r="B16" s="1684"/>
      <c r="C16" s="1684"/>
      <c r="D16" s="1655"/>
      <c r="E16" s="2600"/>
      <c r="F16" s="2600"/>
      <c r="G16" s="2599"/>
      <c r="H16" s="1655"/>
      <c r="I16" s="1655"/>
      <c r="J16" s="1655"/>
      <c r="K16" s="1655"/>
      <c r="L16" s="1805"/>
      <c r="M16" s="1656"/>
      <c r="N16" s="1656"/>
      <c r="P16" s="1657"/>
      <c r="Q16" s="1658"/>
      <c r="R16" s="1657"/>
      <c r="S16" s="1663"/>
      <c r="T16" s="1666"/>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V16" s="1665"/>
      <c r="AW16" s="1665"/>
      <c r="AX16" s="1665"/>
      <c r="AY16" s="1665"/>
      <c r="AZ16" s="1665"/>
      <c r="BA16" s="1665"/>
      <c r="BB16" s="1665"/>
      <c r="BC16" s="1665"/>
      <c r="BE16" s="1130"/>
      <c r="BF16" s="1130" t="str">
        <f>IF(T16="","",T16)</f>
        <v/>
      </c>
      <c r="BG16" s="1130"/>
      <c r="BH16" s="1130"/>
      <c r="BI16" s="859">
        <v>0</v>
      </c>
    </row>
    <row s="17316" customFormat="1" customHeight="1" ht="14.25" hidden="1">
      <c r="A17" s="1684"/>
      <c r="B17" s="1684"/>
      <c r="C17" s="1655"/>
      <c r="D17" s="1655"/>
      <c r="E17" s="2600"/>
      <c r="F17" s="2599"/>
      <c r="G17" s="1655"/>
      <c r="H17" s="1655"/>
      <c r="I17" s="1655"/>
      <c r="J17" s="1655"/>
      <c r="K17" s="1655"/>
      <c r="L17" s="1805"/>
      <c r="M17" s="1662"/>
      <c r="N17" s="1662"/>
      <c r="P17" s="1657"/>
      <c r="Q17" s="1658"/>
      <c r="R17" s="1657"/>
      <c r="S17" s="1663"/>
      <c r="T17" s="1666" t="s">
        <v>410</v>
      </c>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5"/>
      <c r="AZ17" s="1665"/>
      <c r="BA17" s="1665"/>
      <c r="BB17" s="1665"/>
      <c r="BC17" s="1665"/>
      <c r="BE17" s="1130"/>
      <c r="BF17" s="1130" t="str">
        <f>IF(T17="","",T17)</f>
        <v>Добавить централизованную систему для дифференциации</v>
      </c>
      <c r="BG17" s="1130"/>
      <c r="BH17" s="1130"/>
      <c r="BI17" s="859">
        <v>0</v>
      </c>
    </row>
    <row s="17316" customFormat="1" customHeight="1" ht="14.25" hidden="1">
      <c r="A18" s="1684"/>
      <c r="B18" s="1684"/>
      <c r="C18" s="1684"/>
      <c r="D18" s="1684"/>
      <c r="E18" s="2599"/>
      <c r="F18" s="1684"/>
      <c r="G18" s="1684"/>
      <c r="H18" s="1684"/>
      <c r="I18" s="1684"/>
      <c r="J18" s="1684"/>
      <c r="K18" s="1684"/>
      <c r="L18" s="1687"/>
      <c r="M18" s="1662"/>
      <c r="N18" s="1662"/>
      <c r="O18" s="859"/>
      <c r="P18" s="721"/>
      <c r="Q18" s="1685"/>
      <c r="R18" s="721"/>
      <c r="S18" s="1663"/>
      <c r="T18" s="1666" t="s">
        <v>411</v>
      </c>
      <c r="U18" s="1665"/>
      <c r="V18" s="1665"/>
      <c r="W18" s="1665"/>
      <c r="X18" s="1665"/>
      <c r="Y18" s="1665"/>
      <c r="Z18" s="1665"/>
      <c r="AA18" s="1665"/>
      <c r="AB18" s="1665"/>
      <c r="AC18" s="1665"/>
      <c r="AD18" s="1665"/>
      <c r="AE18" s="1665"/>
      <c r="AF18" s="1665"/>
      <c r="AG18" s="1665"/>
      <c r="AH18" s="1665"/>
      <c r="AI18" s="1665"/>
      <c r="AJ18" s="1665"/>
      <c r="AK18" s="1665"/>
      <c r="AL18" s="1665"/>
      <c r="AM18" s="1665"/>
      <c r="AN18" s="1665"/>
      <c r="AO18" s="1665"/>
      <c r="AP18" s="1665"/>
      <c r="AQ18" s="1665"/>
      <c r="AR18" s="1665"/>
      <c r="AS18" s="1665"/>
      <c r="AT18" s="1665"/>
      <c r="AU18" s="1665"/>
      <c r="AV18" s="1665"/>
      <c r="AW18" s="1665"/>
      <c r="AX18" s="1665"/>
      <c r="AY18" s="1665"/>
      <c r="AZ18" s="1665"/>
      <c r="BA18" s="1665"/>
      <c r="BB18" s="1665"/>
      <c r="BC18" s="1665"/>
      <c r="BE18" s="841"/>
      <c r="BF18" s="841" t="str">
        <f>IF(T18="","",T18)</f>
        <v>Добавить территорию для дифференциации</v>
      </c>
      <c r="BG18" s="841"/>
      <c r="BH18" s="841"/>
      <c r="BI18" s="852">
        <v>0</v>
      </c>
    </row>
    <row customHeight="1" ht="14.25" hidden="1">
      <c r="AC19" s="668"/>
      <c r="BA19" s="668"/>
      <c r="BI19" s="1496">
        <v>0</v>
      </c>
    </row>
    <row customHeight="1" ht="14.25" hidden="1">
      <c r="AD20" s="1665" t="s">
        <v>19</v>
      </c>
      <c r="AE20" s="1842"/>
      <c r="AF20" s="889">
        <v>1</v>
      </c>
      <c r="AG20" s="1843"/>
      <c r="AH20" s="1665" t="s">
        <v>19</v>
      </c>
      <c r="AI20" s="1842"/>
      <c r="AJ20" s="889">
        <v>1</v>
      </c>
      <c r="AK20" s="1843"/>
      <c r="AL20" s="1665" t="s">
        <v>19</v>
      </c>
      <c r="AM20" s="1844"/>
      <c r="AN20" s="889">
        <v>1</v>
      </c>
      <c r="AO20" s="1845"/>
      <c r="AP20" s="1665" t="s">
        <v>19</v>
      </c>
      <c r="AQ20" s="1844"/>
      <c r="AR20" s="889">
        <v>1</v>
      </c>
      <c r="AS20" s="1845"/>
      <c r="AT20" s="666"/>
      <c r="AU20" s="725"/>
      <c r="AV20" s="666"/>
      <c r="AW20" s="725"/>
      <c r="AX20" s="2077"/>
      <c r="AY20" s="1801" t="s">
        <v>65</v>
      </c>
      <c r="AZ20" s="2077"/>
      <c r="BA20" s="1801" t="s">
        <v>65</v>
      </c>
      <c r="BI20" s="1496">
        <v>0</v>
      </c>
    </row>
    <row customHeight="1" ht="14.25" hidden="1">
      <c r="BD21" s="837"/>
      <c r="BE21" s="837"/>
      <c r="BF21" s="837"/>
      <c r="BG21" s="837"/>
      <c r="BH21" s="837"/>
      <c r="BI21" s="1496">
        <v>0</v>
      </c>
    </row>
    <row customHeight="1" ht="14.25" hidden="1">
      <c r="O22" s="1708" t="s">
        <v>412</v>
      </c>
      <c r="Z22" s="1686"/>
      <c r="AB22" s="1686"/>
      <c r="AC22" s="668"/>
      <c r="AX22" s="1686"/>
      <c r="AZ22" s="1686"/>
      <c r="BA22" s="668"/>
      <c r="BD22" s="837"/>
      <c r="BE22" s="837"/>
      <c r="BF22" s="837"/>
      <c r="BG22" s="837"/>
      <c r="BH22" s="837"/>
      <c r="BI22" s="1496">
        <v>0</v>
      </c>
    </row>
    <row customHeight="1" ht="14.25" hidden="1">
      <c r="AC23" s="668"/>
      <c r="BA23" s="668"/>
      <c r="BD23" s="837"/>
      <c r="BE23" s="837"/>
      <c r="BF23" s="837"/>
      <c r="BG23" s="837"/>
      <c r="BH23" s="837"/>
      <c r="BI23" s="1496">
        <v>0</v>
      </c>
    </row>
    <row s="18234" customFormat="1" customHeight="1" ht="14.25" hidden="1">
      <c r="M24" s="1849"/>
      <c r="N24" s="1849"/>
      <c r="O24" s="1850" t="s">
        <v>413</v>
      </c>
      <c r="P24" s="1849"/>
      <c r="Q24" s="1851"/>
      <c r="R24" s="1851"/>
      <c r="AA24" s="1848" t="s">
        <v>415</v>
      </c>
      <c r="AC24" s="1848" t="s">
        <v>416</v>
      </c>
      <c r="AD24" s="1848" t="s">
        <v>464</v>
      </c>
      <c r="AH24" s="1848" t="s">
        <v>464</v>
      </c>
      <c r="AK24" s="1848" t="s">
        <v>501</v>
      </c>
      <c r="AL24" s="1848" t="s">
        <v>464</v>
      </c>
      <c r="AP24" s="1848" t="s">
        <v>464</v>
      </c>
      <c r="AY24" s="1848" t="s">
        <v>415</v>
      </c>
      <c r="BA24" s="1848" t="s">
        <v>416</v>
      </c>
      <c r="BD24" s="1852"/>
      <c r="BE24" s="1852"/>
      <c r="BF24" s="1852"/>
      <c r="BG24" s="1852"/>
      <c r="BH24" s="1852"/>
      <c r="BI24" s="1848">
        <v>0</v>
      </c>
    </row>
    <row customHeight="1" ht="14.25" hidden="1">
      <c r="O25" s="1705"/>
      <c r="BD25" s="837"/>
      <c r="BE25" s="837"/>
      <c r="BF25" s="837"/>
      <c r="BG25" s="837"/>
      <c r="BH25" s="837"/>
      <c r="BI25" s="1496">
        <v>0</v>
      </c>
    </row>
    <row customHeight="1" ht="14.25" hidden="1">
      <c r="O26" s="1705"/>
      <c r="BD26" s="837"/>
      <c r="BE26" s="837"/>
      <c r="BF26" s="837"/>
      <c r="BG26" s="837"/>
      <c r="BH26" s="837"/>
      <c r="BI26" s="1496">
        <v>0</v>
      </c>
    </row>
    <row customHeight="1" ht="14.699999999999998">
      <c r="Q27" s="632"/>
      <c r="R27" s="717"/>
      <c r="S27" s="1616"/>
      <c r="T27" s="704"/>
      <c r="U27" s="704"/>
      <c r="V27" s="850"/>
      <c r="W27" s="850"/>
      <c r="X27" s="850"/>
      <c r="Y27" s="850"/>
      <c r="Z27" s="850"/>
      <c r="AA27" s="850"/>
      <c r="AB27" s="850"/>
      <c r="AC27" s="850"/>
      <c r="AD27" s="850"/>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I27" s="1496">
        <v>14</v>
      </c>
    </row>
    <row customHeight="1" ht="14.699999999999998">
      <c r="Q28" s="632"/>
      <c r="R28" s="717"/>
      <c r="S28" s="258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89"/>
      <c r="AS28" s="2589"/>
      <c r="AT28" s="2589"/>
      <c r="AU28" s="2589"/>
      <c r="AV28" s="2589"/>
      <c r="AW28" s="2589"/>
      <c r="AX28" s="2589"/>
      <c r="AY28" s="2589"/>
      <c r="AZ28" s="2589"/>
      <c r="BA28" s="1584"/>
      <c r="BI28" s="1496">
        <v>14</v>
      </c>
    </row>
    <row customHeight="1" ht="14.699999999999998">
      <c r="Q29" s="632"/>
      <c r="R29" s="717"/>
      <c r="S29" s="2590" t="str">
        <f>IF(org=0,"Не определено",org)</f>
        <v>АО "ДГК"</v>
      </c>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584"/>
      <c r="BI29" s="1496">
        <v>14</v>
      </c>
    </row>
    <row customHeight="1" ht="14.25" hidden="1">
      <c r="Q30" s="632"/>
      <c r="R30" s="717"/>
      <c r="S30" s="1616"/>
      <c r="T30" s="704"/>
      <c r="U30" s="704"/>
      <c r="V30" s="663"/>
      <c r="W30" s="663"/>
      <c r="X30" s="663"/>
      <c r="Y30" s="663"/>
      <c r="Z30" s="663"/>
      <c r="AA30" s="663"/>
      <c r="AB30" s="663"/>
      <c r="AC30" s="663"/>
      <c r="AD30" s="663"/>
      <c r="AE30" s="663"/>
      <c r="AF30" s="663"/>
      <c r="AG30" s="663"/>
      <c r="AH30" s="663"/>
      <c r="AI30" s="663"/>
      <c r="AJ30" s="663"/>
      <c r="AK30" s="663"/>
      <c r="AL30" s="663"/>
      <c r="AM30" s="663"/>
      <c r="AN30" s="663"/>
      <c r="AO30" s="663"/>
      <c r="AP30" s="663"/>
      <c r="AQ30" s="663"/>
      <c r="AR30" s="663"/>
      <c r="AS30" s="663"/>
      <c r="AT30" s="663"/>
      <c r="AU30" s="663"/>
      <c r="AV30" s="663"/>
      <c r="AW30" s="663"/>
      <c r="AX30" s="663"/>
      <c r="AY30" s="663"/>
      <c r="AZ30" s="663"/>
      <c r="BA30" s="663"/>
      <c r="BB30" s="850"/>
      <c r="BI30" s="1496">
        <v>0</v>
      </c>
    </row>
    <row s="17442" customFormat="1" customHeight="1" ht="25.5" hidden="1">
      <c r="A31" s="1709"/>
      <c r="B31" s="1709"/>
      <c r="C31" s="1709"/>
      <c r="D31" s="1709"/>
      <c r="E31" s="1709"/>
      <c r="F31" s="1709"/>
      <c r="G31" s="1709"/>
      <c r="H31" s="1709"/>
      <c r="I31" s="1709"/>
      <c r="J31" s="1709"/>
      <c r="K31" s="1709"/>
      <c r="L31" s="1710"/>
      <c r="M31" s="1709"/>
      <c r="N31" s="1709"/>
      <c r="O31" s="1709"/>
      <c r="P31" s="1709"/>
      <c r="Q31" s="1709"/>
      <c r="S31" s="2591" t="s">
        <v>41</v>
      </c>
      <c r="T31" s="2591"/>
      <c r="U31" s="1713"/>
      <c r="V31" s="2592" t="str">
        <f>IF(TITLE_NAME_OR_PR_CHANGE="",IF(TITLE_NAME_OR_PR="","",TITLE_NAME_OR_PR),TITLE_NAME_OR_PR_CHANGE)</f>
        <v/>
      </c>
      <c r="W31" s="2592"/>
      <c r="X31" s="2592"/>
      <c r="Y31" s="2592"/>
      <c r="Z31" s="2592"/>
      <c r="AA31" s="2592"/>
      <c r="AB31" s="2592"/>
      <c r="AC31" s="667"/>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667"/>
      <c r="BB31" s="667"/>
      <c r="BC31" s="621"/>
      <c r="BD31" s="709"/>
      <c r="BE31" s="709"/>
      <c r="BF31" s="709"/>
      <c r="BG31" s="709"/>
      <c r="BH31" s="709"/>
      <c r="BI31" s="759">
        <v>0</v>
      </c>
    </row>
    <row s="17442" customFormat="1" customHeight="1" ht="18.75" hidden="1">
      <c r="A32" s="1709"/>
      <c r="B32" s="1709"/>
      <c r="C32" s="1709"/>
      <c r="D32" s="1709"/>
      <c r="E32" s="1709"/>
      <c r="F32" s="1709"/>
      <c r="G32" s="1709"/>
      <c r="H32" s="1709"/>
      <c r="I32" s="1709"/>
      <c r="J32" s="1709"/>
      <c r="K32" s="1709"/>
      <c r="L32" s="1710"/>
      <c r="M32" s="1709"/>
      <c r="N32" s="1709"/>
      <c r="O32" s="1709"/>
      <c r="P32" s="1709"/>
      <c r="Q32" s="1709"/>
      <c r="S32" s="2591" t="s">
        <v>418</v>
      </c>
      <c r="T32" s="2591"/>
      <c r="U32" s="1713"/>
      <c r="V32" s="2605" t="str">
        <f>IF(TITLE_DATE_PR_CHANGE="",IF(TITLE_DATE_PR="","",TITLE_DATE_PR),TITLE_DATE_PR_CHANGE)</f>
        <v/>
      </c>
      <c r="W32" s="2605"/>
      <c r="X32" s="2605"/>
      <c r="Y32" s="2605"/>
      <c r="Z32" s="2605"/>
      <c r="AA32" s="2605"/>
      <c r="AB32" s="2605"/>
      <c r="AC32" s="667"/>
      <c r="AD32" s="2605" t="str">
        <f>IF(TITLE_DATE_PR_CHANGE="",IF(TITLE_DATE_PR="","",TITLE_DATE_PR),TITLE_DATE_PR_CHANGE)</f>
        <v/>
      </c>
      <c r="AE32" s="2605"/>
      <c r="AF32" s="2605"/>
      <c r="AG32" s="2605"/>
      <c r="AH32" s="2605"/>
      <c r="AI32" s="2605"/>
      <c r="AJ32" s="2605"/>
      <c r="AK32" s="2605"/>
      <c r="AL32" s="2605"/>
      <c r="AM32" s="2605"/>
      <c r="AN32" s="2605"/>
      <c r="AO32" s="2605"/>
      <c r="AP32" s="2605"/>
      <c r="AQ32" s="2605"/>
      <c r="AR32" s="2605"/>
      <c r="AS32" s="2605"/>
      <c r="AT32" s="2605"/>
      <c r="AU32" s="2605"/>
      <c r="AV32" s="2605"/>
      <c r="AW32" s="2605"/>
      <c r="AX32" s="2605"/>
      <c r="AY32" s="2605"/>
      <c r="AZ32" s="2605"/>
      <c r="BA32" s="667"/>
      <c r="BB32" s="667"/>
      <c r="BC32" s="621"/>
      <c r="BD32" s="709"/>
      <c r="BE32" s="709"/>
      <c r="BF32" s="709"/>
      <c r="BG32" s="709"/>
      <c r="BH32" s="709"/>
      <c r="BI32" s="759">
        <v>0</v>
      </c>
    </row>
    <row s="17442" customFormat="1" customHeight="1" ht="18.75" hidden="1">
      <c r="A33" s="1709"/>
      <c r="B33" s="1709"/>
      <c r="C33" s="1709"/>
      <c r="D33" s="1709"/>
      <c r="E33" s="1709"/>
      <c r="F33" s="1709"/>
      <c r="G33" s="1709"/>
      <c r="H33" s="1709"/>
      <c r="I33" s="1709"/>
      <c r="J33" s="1709"/>
      <c r="K33" s="1709"/>
      <c r="L33" s="1710"/>
      <c r="M33" s="1709"/>
      <c r="N33" s="1709"/>
      <c r="O33" s="1709"/>
      <c r="P33" s="1709"/>
      <c r="Q33" s="1709"/>
      <c r="S33" s="2591" t="s">
        <v>419</v>
      </c>
      <c r="T33" s="2591"/>
      <c r="U33" s="1713"/>
      <c r="V33" s="2592" t="str">
        <f>IF(TITLE_NUMBER_PR_CHANGE="",IF(TITLE_NUMBER_PR="","",TITLE_NUMBER_PR),TITLE_NUMBER_PR_CHANGE)</f>
        <v/>
      </c>
      <c r="W33" s="2592"/>
      <c r="X33" s="2592"/>
      <c r="Y33" s="2592"/>
      <c r="Z33" s="2592"/>
      <c r="AA33" s="2592"/>
      <c r="AB33" s="2592"/>
      <c r="AC33" s="667"/>
      <c r="AD33" s="2592" t="str">
        <f>IF(TITLE_NUMBER_PR_CHANGE="",IF(TITLE_NUMBER_PR="","",TITLE_NUMBER_PR),TITLE_NUMBER_PR_CHANGE)</f>
        <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667"/>
      <c r="BB33" s="667"/>
      <c r="BC33" s="621"/>
      <c r="BD33" s="709"/>
      <c r="BE33" s="709"/>
      <c r="BF33" s="709"/>
      <c r="BG33" s="709"/>
      <c r="BH33" s="709"/>
      <c r="BI33" s="759">
        <v>0</v>
      </c>
    </row>
    <row s="17442" customFormat="1" customHeight="1" ht="18.75" hidden="1">
      <c r="A34" s="1709"/>
      <c r="B34" s="1709"/>
      <c r="C34" s="1709"/>
      <c r="D34" s="1709"/>
      <c r="E34" s="1709"/>
      <c r="F34" s="1709"/>
      <c r="G34" s="1709"/>
      <c r="H34" s="1709"/>
      <c r="I34" s="1709"/>
      <c r="J34" s="1709"/>
      <c r="K34" s="1709"/>
      <c r="L34" s="1710"/>
      <c r="M34" s="1709"/>
      <c r="N34" s="1709"/>
      <c r="O34" s="1709"/>
      <c r="P34" s="1709"/>
      <c r="Q34" s="1709"/>
      <c r="S34" s="2591" t="s">
        <v>42</v>
      </c>
      <c r="T34" s="2591"/>
      <c r="U34" s="1713"/>
      <c r="V34" s="2592" t="str">
        <f>IF(TITLE_IST_PUB_CHANGE="",IF(TITLE_IST_PUB="","",TITLE_IST_PUB),TITLE_IST_PUB_CHANGE)</f>
        <v/>
      </c>
      <c r="W34" s="2592"/>
      <c r="X34" s="2592"/>
      <c r="Y34" s="2592"/>
      <c r="Z34" s="2592"/>
      <c r="AA34" s="2592"/>
      <c r="AB34" s="2592"/>
      <c r="AC34" s="667"/>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667"/>
      <c r="BB34" s="667"/>
      <c r="BC34" s="621"/>
      <c r="BD34" s="709"/>
      <c r="BE34" s="709"/>
      <c r="BF34" s="709"/>
      <c r="BG34" s="709"/>
      <c r="BH34" s="709"/>
      <c r="BI34" s="759">
        <v>0</v>
      </c>
    </row>
    <row customHeight="1" ht="14.25" hidden="1">
      <c r="Q35" s="632"/>
      <c r="R35" s="717"/>
      <c r="S35" s="1616"/>
      <c r="T35" s="704"/>
      <c r="U35" s="704"/>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850"/>
      <c r="BI35" s="1496">
        <v>0</v>
      </c>
    </row>
    <row s="17442" customFormat="1" customHeight="1" ht="18.75" hidden="1">
      <c r="A36" s="1709"/>
      <c r="B36" s="1709"/>
      <c r="C36" s="1709"/>
      <c r="D36" s="1709"/>
      <c r="E36" s="1709"/>
      <c r="F36" s="1709"/>
      <c r="G36" s="1709"/>
      <c r="H36" s="1709"/>
      <c r="I36" s="1709"/>
      <c r="J36" s="1709"/>
      <c r="K36" s="1709"/>
      <c r="L36" s="1710"/>
      <c r="M36" s="1709"/>
      <c r="N36" s="1709"/>
      <c r="O36" s="1709"/>
      <c r="P36" s="1709"/>
      <c r="Q36" s="1709"/>
      <c r="S36" s="2591" t="s">
        <v>418</v>
      </c>
      <c r="T36" s="2591"/>
      <c r="U36" s="1713"/>
      <c r="V36" s="2605" t="str">
        <f>IF(TITLE_DATE_PR_CHANGE="",IF(TITLE_DATE_PR="","",TITLE_DATE_PR),TITLE_DATE_PR_CHANGE)</f>
        <v/>
      </c>
      <c r="W36" s="2605"/>
      <c r="X36" s="2605"/>
      <c r="Y36" s="2605"/>
      <c r="Z36" s="2605"/>
      <c r="AA36" s="2605"/>
      <c r="AB36" s="2605"/>
      <c r="AC36" s="667"/>
      <c r="AD36" s="2605" t="str">
        <f>IF(TITLE_DATE_PR_CHANGE="",IF(TITLE_DATE_PR="","",TITLE_DATE_PR),TITLE_DATE_PR_CHANGE)</f>
        <v/>
      </c>
      <c r="AE36" s="2605"/>
      <c r="AF36" s="2605"/>
      <c r="AG36" s="2605"/>
      <c r="AH36" s="2605"/>
      <c r="AI36" s="2605"/>
      <c r="AJ36" s="2605"/>
      <c r="AK36" s="2605"/>
      <c r="AL36" s="2605"/>
      <c r="AM36" s="2605"/>
      <c r="AN36" s="2605"/>
      <c r="AO36" s="2605"/>
      <c r="AP36" s="2605"/>
      <c r="AQ36" s="2605"/>
      <c r="AR36" s="2605"/>
      <c r="AS36" s="2605"/>
      <c r="AT36" s="2605"/>
      <c r="AU36" s="2605"/>
      <c r="AV36" s="2605"/>
      <c r="AW36" s="2605"/>
      <c r="AX36" s="2605"/>
      <c r="AY36" s="2605"/>
      <c r="AZ36" s="2605"/>
      <c r="BA36" s="667"/>
      <c r="BB36" s="667"/>
      <c r="BC36" s="621"/>
      <c r="BD36" s="709"/>
      <c r="BE36" s="709"/>
      <c r="BF36" s="709"/>
      <c r="BG36" s="709"/>
      <c r="BH36" s="709"/>
      <c r="BI36" s="759">
        <v>0</v>
      </c>
    </row>
    <row s="17442" customFormat="1" customHeight="1" ht="18.75" hidden="1">
      <c r="A37" s="1709"/>
      <c r="B37" s="1709"/>
      <c r="C37" s="1709"/>
      <c r="D37" s="1709"/>
      <c r="E37" s="1709"/>
      <c r="F37" s="1709"/>
      <c r="G37" s="1709"/>
      <c r="H37" s="1709"/>
      <c r="I37" s="1709"/>
      <c r="J37" s="1709"/>
      <c r="K37" s="1709"/>
      <c r="L37" s="1710"/>
      <c r="M37" s="1709"/>
      <c r="N37" s="1709"/>
      <c r="O37" s="1709"/>
      <c r="P37" s="1709"/>
      <c r="Q37" s="1709"/>
      <c r="S37" s="2591" t="s">
        <v>419</v>
      </c>
      <c r="T37" s="2591"/>
      <c r="U37" s="1713"/>
      <c r="V37" s="2592" t="str">
        <f>IF(TITLE_NUMBER_PR_CHANGE="",IF(TITLE_NUMBER_PR="","",TITLE_NUMBER_PR),TITLE_NUMBER_PR_CHANGE)</f>
        <v/>
      </c>
      <c r="W37" s="2592"/>
      <c r="X37" s="2592"/>
      <c r="Y37" s="2592"/>
      <c r="Z37" s="2592"/>
      <c r="AA37" s="2592"/>
      <c r="AB37" s="2592"/>
      <c r="AC37" s="667"/>
      <c r="AD37" s="2592" t="str">
        <f>IF(TITLE_NUMBER_PR_CHANGE="",IF(TITLE_NUMBER_PR="","",TITLE_NUMBER_PR),TITLE_NUMBER_PR_CHANGE)</f>
        <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667"/>
      <c r="BB37" s="667"/>
      <c r="BC37" s="621"/>
      <c r="BD37" s="709"/>
      <c r="BE37" s="709"/>
      <c r="BF37" s="709"/>
      <c r="BG37" s="709"/>
      <c r="BH37" s="709"/>
      <c r="BI37" s="759">
        <v>0</v>
      </c>
    </row>
    <row s="17442" customFormat="1" customHeight="1" ht="0">
      <c r="A38" s="1709"/>
      <c r="B38" s="1709"/>
      <c r="C38" s="1709"/>
      <c r="D38" s="1709"/>
      <c r="E38" s="1709"/>
      <c r="F38" s="1709"/>
      <c r="G38" s="1709"/>
      <c r="H38" s="1709"/>
      <c r="I38" s="1709"/>
      <c r="J38" s="1709"/>
      <c r="K38" s="1709"/>
      <c r="L38" s="1710"/>
      <c r="M38" s="1709"/>
      <c r="N38" s="1709"/>
      <c r="O38" s="1709"/>
      <c r="P38" s="1709"/>
      <c r="Q38" s="1709"/>
      <c r="S38" s="664"/>
      <c r="T38" s="664"/>
      <c r="U38" s="1795"/>
      <c r="V38" s="667"/>
      <c r="W38" s="667"/>
      <c r="X38" s="667"/>
      <c r="Y38" s="667"/>
      <c r="Z38" s="667"/>
      <c r="AA38" s="667"/>
      <c r="AB38" s="667"/>
      <c r="AC38" s="619" t="s">
        <v>422</v>
      </c>
      <c r="AD38" s="667"/>
      <c r="AE38" s="667"/>
      <c r="AF38" s="667"/>
      <c r="AG38" s="667"/>
      <c r="AH38" s="667"/>
      <c r="AI38" s="667"/>
      <c r="AJ38" s="667"/>
      <c r="AK38" s="667"/>
      <c r="AL38" s="667"/>
      <c r="AM38" s="667"/>
      <c r="AN38" s="667"/>
      <c r="AO38" s="667"/>
      <c r="AP38" s="667"/>
      <c r="AQ38" s="667"/>
      <c r="AR38" s="667"/>
      <c r="AS38" s="667"/>
      <c r="AT38" s="667"/>
      <c r="AU38" s="667"/>
      <c r="AV38" s="667"/>
      <c r="AW38" s="667"/>
      <c r="AX38" s="667"/>
      <c r="AY38" s="667"/>
      <c r="AZ38" s="667"/>
      <c r="BA38" s="619" t="s">
        <v>422</v>
      </c>
      <c r="BD38" s="709"/>
      <c r="BE38" s="709"/>
      <c r="BF38" s="709"/>
      <c r="BG38" s="709"/>
      <c r="BH38" s="709"/>
      <c r="BI38" s="759">
        <v>0</v>
      </c>
    </row>
    <row customHeight="1" ht="14.699999999999998">
      <c r="Q39" s="632"/>
      <c r="R39" s="717"/>
      <c r="S39" s="1616"/>
      <c r="T39" s="704"/>
      <c r="U39" s="1585"/>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c r="BA39" s="2593"/>
      <c r="BI39" s="1496">
        <v>14</v>
      </c>
    </row>
    <row customHeight="1" ht="14.699999999999998">
      <c r="Q40" s="632"/>
      <c r="R40" s="717"/>
      <c r="S40" s="2468" t="s">
        <v>295</v>
      </c>
      <c r="T40" s="2468"/>
      <c r="U40" s="2468"/>
      <c r="V40" s="2468"/>
      <c r="W40" s="2468"/>
      <c r="X40" s="2468"/>
      <c r="Y40" s="2468"/>
      <c r="Z40" s="2468"/>
      <c r="AA40" s="2468"/>
      <c r="AB40" s="2468"/>
      <c r="AC40" s="2468"/>
      <c r="AD40" s="2468"/>
      <c r="AE40" s="2468"/>
      <c r="AF40" s="2468"/>
      <c r="AG40" s="2468"/>
      <c r="AH40" s="2468"/>
      <c r="AI40" s="2468"/>
      <c r="AJ40" s="2468"/>
      <c r="AK40" s="2468"/>
      <c r="AL40" s="2468"/>
      <c r="AM40" s="2468"/>
      <c r="AN40" s="2468"/>
      <c r="AO40" s="2468"/>
      <c r="AP40" s="2468"/>
      <c r="AQ40" s="2468"/>
      <c r="AR40" s="2468"/>
      <c r="AS40" s="2468"/>
      <c r="AT40" s="2468"/>
      <c r="AU40" s="2468"/>
      <c r="AV40" s="2468"/>
      <c r="AW40" s="2468"/>
      <c r="AX40" s="2468"/>
      <c r="AY40" s="2468"/>
      <c r="AZ40" s="2468"/>
      <c r="BA40" s="2468"/>
      <c r="BB40" s="2468"/>
      <c r="BC40" s="2468" t="s">
        <v>296</v>
      </c>
      <c r="BI40" s="1496">
        <v>14</v>
      </c>
    </row>
    <row customHeight="1" ht="14.699999999999998">
      <c r="Q41" s="632"/>
      <c r="R41" s="717"/>
      <c r="S41" s="2614" t="s">
        <v>88</v>
      </c>
      <c r="T41" s="2550" t="s">
        <v>502</v>
      </c>
      <c r="U41" s="642"/>
      <c r="V41" s="2615" t="s">
        <v>424</v>
      </c>
      <c r="W41" s="2616"/>
      <c r="X41" s="2616"/>
      <c r="Y41" s="2616"/>
      <c r="Z41" s="2616"/>
      <c r="AA41" s="2616"/>
      <c r="AB41" s="2617"/>
      <c r="AC41" s="2618" t="s">
        <v>425</v>
      </c>
      <c r="AD41" s="2669" t="s">
        <v>503</v>
      </c>
      <c r="AE41" s="2632"/>
      <c r="AF41" s="2632"/>
      <c r="AG41" s="2670"/>
      <c r="AH41" s="2669" t="s">
        <v>504</v>
      </c>
      <c r="AI41" s="2632"/>
      <c r="AJ41" s="2632"/>
      <c r="AK41" s="2670"/>
      <c r="AL41" s="2669" t="s">
        <v>505</v>
      </c>
      <c r="AM41" s="2632"/>
      <c r="AN41" s="2632"/>
      <c r="AO41" s="2670"/>
      <c r="AP41" s="2669" t="s">
        <v>506</v>
      </c>
      <c r="AQ41" s="2632"/>
      <c r="AR41" s="2632"/>
      <c r="AS41" s="2670"/>
      <c r="AT41" s="2615" t="s">
        <v>424</v>
      </c>
      <c r="AU41" s="2616"/>
      <c r="AV41" s="2616"/>
      <c r="AW41" s="2616"/>
      <c r="AX41" s="2616"/>
      <c r="AY41" s="2616"/>
      <c r="AZ41" s="2617"/>
      <c r="BA41" s="2618" t="s">
        <v>425</v>
      </c>
      <c r="BB41" s="2621" t="s">
        <v>427</v>
      </c>
      <c r="BC41" s="2468"/>
      <c r="BI41" s="1496">
        <v>14</v>
      </c>
    </row>
    <row customHeight="1" ht="35.699999999999996">
      <c r="Q42" s="632"/>
      <c r="R42" s="717"/>
      <c r="S42" s="2614"/>
      <c r="T42" s="2550"/>
      <c r="U42" s="1372"/>
      <c r="V42" s="2533" t="s">
        <v>507</v>
      </c>
      <c r="W42" s="2534"/>
      <c r="X42" s="2533" t="s">
        <v>508</v>
      </c>
      <c r="Y42" s="2534"/>
      <c r="Z42" s="2635" t="s">
        <v>509</v>
      </c>
      <c r="AA42" s="2654"/>
      <c r="AB42" s="2655"/>
      <c r="AC42" s="2619"/>
      <c r="AD42" s="2671"/>
      <c r="AE42" s="2672"/>
      <c r="AF42" s="2672"/>
      <c r="AG42" s="2673"/>
      <c r="AH42" s="2671"/>
      <c r="AI42" s="2672"/>
      <c r="AJ42" s="2672"/>
      <c r="AK42" s="2673"/>
      <c r="AL42" s="2671"/>
      <c r="AM42" s="2672"/>
      <c r="AN42" s="2672"/>
      <c r="AO42" s="2673"/>
      <c r="AP42" s="2671"/>
      <c r="AQ42" s="2672"/>
      <c r="AR42" s="2672"/>
      <c r="AS42" s="2673"/>
      <c r="AT42" s="2533" t="s">
        <v>507</v>
      </c>
      <c r="AU42" s="2534"/>
      <c r="AV42" s="2533" t="s">
        <v>508</v>
      </c>
      <c r="AW42" s="2534"/>
      <c r="AX42" s="2635" t="s">
        <v>509</v>
      </c>
      <c r="AY42" s="2654"/>
      <c r="AZ42" s="2655"/>
      <c r="BA42" s="2619"/>
      <c r="BB42" s="2622"/>
      <c r="BC42" s="2468"/>
      <c r="BI42" s="1496">
        <v>34</v>
      </c>
    </row>
    <row customHeight="1" ht="14.699999999999998">
      <c r="Q43" s="632"/>
      <c r="R43" s="717"/>
      <c r="S43" s="2614"/>
      <c r="T43" s="2550"/>
      <c r="U43" s="1372"/>
      <c r="V43" s="2541"/>
      <c r="W43" s="2542"/>
      <c r="X43" s="2541"/>
      <c r="Y43" s="2542"/>
      <c r="Z43" s="2636"/>
      <c r="AA43" s="2656"/>
      <c r="AB43" s="2657"/>
      <c r="AC43" s="2619"/>
      <c r="AD43" s="2671"/>
      <c r="AE43" s="2672"/>
      <c r="AF43" s="2672"/>
      <c r="AG43" s="2673"/>
      <c r="AH43" s="2671"/>
      <c r="AI43" s="2672"/>
      <c r="AJ43" s="2672"/>
      <c r="AK43" s="2673"/>
      <c r="AL43" s="2671"/>
      <c r="AM43" s="2672"/>
      <c r="AN43" s="2672"/>
      <c r="AO43" s="2673"/>
      <c r="AP43" s="2671"/>
      <c r="AQ43" s="2672"/>
      <c r="AR43" s="2672"/>
      <c r="AS43" s="2673"/>
      <c r="AT43" s="2541"/>
      <c r="AU43" s="2542"/>
      <c r="AV43" s="2541"/>
      <c r="AW43" s="2542"/>
      <c r="AX43" s="2636"/>
      <c r="AY43" s="2656"/>
      <c r="AZ43" s="2657"/>
      <c r="BA43" s="2619"/>
      <c r="BB43" s="2622"/>
      <c r="BC43" s="2468"/>
      <c r="BI43" s="1496">
        <v>14</v>
      </c>
    </row>
    <row customHeight="1" ht="14.699999999999998">
      <c r="A44" s="1711"/>
      <c r="B44" s="1711" t="s">
        <v>132</v>
      </c>
      <c r="C44" s="1711" t="s">
        <v>133</v>
      </c>
      <c r="D44" s="1711" t="s">
        <v>134</v>
      </c>
      <c r="E44" s="1705" t="s">
        <v>432</v>
      </c>
      <c r="F44" s="1705" t="s">
        <v>433</v>
      </c>
      <c r="G44" s="1705" t="s">
        <v>434</v>
      </c>
      <c r="H44" s="1705" t="s">
        <v>435</v>
      </c>
      <c r="I44" s="1705" t="s">
        <v>436</v>
      </c>
      <c r="J44" s="1705" t="s">
        <v>437</v>
      </c>
      <c r="K44" s="1705" t="s">
        <v>438</v>
      </c>
      <c r="L44" s="1705" t="s">
        <v>413</v>
      </c>
      <c r="Q44" s="632"/>
      <c r="R44" s="717"/>
      <c r="S44" s="2614"/>
      <c r="T44" s="2550"/>
      <c r="U44" s="643"/>
      <c r="V44" s="1789" t="s">
        <v>473</v>
      </c>
      <c r="W44" s="1789" t="s">
        <v>474</v>
      </c>
      <c r="X44" s="1789" t="s">
        <v>473</v>
      </c>
      <c r="Y44" s="1789" t="s">
        <v>474</v>
      </c>
      <c r="Z44" s="1796" t="s">
        <v>441</v>
      </c>
      <c r="AA44" s="2611" t="s">
        <v>442</v>
      </c>
      <c r="AB44" s="2612"/>
      <c r="AC44" s="2620"/>
      <c r="AD44" s="2674"/>
      <c r="AE44" s="2675"/>
      <c r="AF44" s="2675"/>
      <c r="AG44" s="2676"/>
      <c r="AH44" s="2674"/>
      <c r="AI44" s="2675"/>
      <c r="AJ44" s="2675"/>
      <c r="AK44" s="2676"/>
      <c r="AL44" s="2674"/>
      <c r="AM44" s="2675"/>
      <c r="AN44" s="2675"/>
      <c r="AO44" s="2676"/>
      <c r="AP44" s="2674"/>
      <c r="AQ44" s="2675"/>
      <c r="AR44" s="2675"/>
      <c r="AS44" s="2676"/>
      <c r="AT44" s="1789" t="s">
        <v>473</v>
      </c>
      <c r="AU44" s="1789" t="s">
        <v>474</v>
      </c>
      <c r="AV44" s="1789" t="s">
        <v>473</v>
      </c>
      <c r="AW44" s="1789" t="s">
        <v>474</v>
      </c>
      <c r="AX44" s="1796" t="s">
        <v>441</v>
      </c>
      <c r="AY44" s="2611" t="s">
        <v>442</v>
      </c>
      <c r="AZ44" s="2612"/>
      <c r="BA44" s="2620"/>
      <c r="BB44" s="2623"/>
      <c r="BC44" s="2468"/>
      <c r="BI44" s="1496">
        <v>14</v>
      </c>
    </row>
    <row s="17832" customFormat="1" customHeight="1" ht="11.25" hidden="1">
      <c r="A45" s="1711"/>
      <c r="B45" s="1711"/>
      <c r="C45" s="1711"/>
      <c r="D45" s="1711"/>
      <c r="E45" s="1711"/>
      <c r="F45" s="1711"/>
      <c r="G45" s="1711"/>
      <c r="H45" s="1711"/>
      <c r="I45" s="1711"/>
      <c r="J45" s="1711"/>
      <c r="K45" s="1711"/>
      <c r="L45" s="1705"/>
      <c r="M45" s="1703"/>
      <c r="N45" s="1703"/>
      <c r="O45" s="1703"/>
      <c r="P45" s="851"/>
      <c r="Q45" s="1595"/>
      <c r="R45" s="1595">
        <v>1</v>
      </c>
      <c r="S45" s="1618" t="s">
        <v>106</v>
      </c>
      <c r="T45" s="1596" t="s">
        <v>107</v>
      </c>
      <c r="U45" s="1586" t="str">
        <f>OFFSET(U45,0,-1)</f>
        <v>2</v>
      </c>
      <c r="V45" s="1792">
        <f>OFFSET(V45,0,-1)+1</f>
        <v>3</v>
      </c>
      <c r="W45" s="1792">
        <f>OFFSET(W45,0,-1)+1</f>
        <v>4</v>
      </c>
      <c r="X45" s="1792">
        <f>OFFSET(X45,0,-1)+1</f>
        <v>5</v>
      </c>
      <c r="Y45" s="1792">
        <f>OFFSET(Y45,0,-1)+1</f>
        <v>6</v>
      </c>
      <c r="Z45" s="1792">
        <f>OFFSET(Z45,0,-1)+1</f>
        <v>7</v>
      </c>
      <c r="AA45" s="2613">
        <f>OFFSET(AA45,0,-1)+1</f>
        <v>8</v>
      </c>
      <c r="AB45" s="2613"/>
      <c r="AC45" s="1792">
        <f>OFFSET(AC45,0,-2)+1</f>
        <v>9</v>
      </c>
      <c r="AD45" s="1792">
        <f>OFFSET(AD45,0,-1)+1</f>
        <v>10</v>
      </c>
      <c r="AE45" s="1792"/>
      <c r="AF45" s="1792"/>
      <c r="AG45" s="1792"/>
      <c r="AH45" s="1792"/>
      <c r="AI45" s="1792"/>
      <c r="AJ45" s="1792"/>
      <c r="AK45" s="1792"/>
      <c r="AL45" s="1792"/>
      <c r="AM45" s="1792"/>
      <c r="AN45" s="1792"/>
      <c r="AO45" s="1792"/>
      <c r="AP45" s="1792"/>
      <c r="AQ45" s="1792"/>
      <c r="AR45" s="1792"/>
      <c r="AS45" s="1792"/>
      <c r="AT45" s="1792"/>
      <c r="AU45" s="1792"/>
      <c r="AV45" s="1792"/>
      <c r="AW45" s="1792">
        <f>OFFSET(AW45,0,-1)+1</f>
        <v>1</v>
      </c>
      <c r="AX45" s="1792">
        <f>OFFSET(AX45,0,-1)+1</f>
        <v>2</v>
      </c>
      <c r="AY45" s="2613">
        <f>OFFSET(AY45,0,-1)+1</f>
        <v>3</v>
      </c>
      <c r="AZ45" s="2613"/>
      <c r="BA45" s="1792">
        <f>OFFSET(BA45,0,-2)+1</f>
        <v>4</v>
      </c>
      <c r="BB45" s="1586">
        <f>OFFSET(BB45,0,-1)</f>
        <v>4</v>
      </c>
      <c r="BC45" s="1792">
        <f>OFFSET(BC45,0,-1)+1</f>
        <v>5</v>
      </c>
      <c r="BD45" s="852"/>
      <c r="BE45" s="852"/>
      <c r="BF45" s="852"/>
      <c r="BG45" s="852"/>
      <c r="BH45" s="852"/>
      <c r="BI45" s="837">
        <v>0</v>
      </c>
    </row>
    <row customHeight="1" ht="22.049999999999997">
      <c r="A46" s="1704" t="s">
        <v>241</v>
      </c>
      <c r="B46" s="1704"/>
      <c r="C46" s="1704"/>
      <c r="D46" s="1704"/>
      <c r="E46" s="2599">
        <v>1</v>
      </c>
      <c r="F46" s="1704"/>
      <c r="G46" s="1704"/>
      <c r="H46" s="1704"/>
      <c r="I46" s="1704"/>
      <c r="J46" s="1704"/>
      <c r="K46" s="1704"/>
      <c r="L46" s="1705"/>
      <c r="M46" s="1706"/>
      <c r="N46" s="1706"/>
      <c r="O46" s="1706"/>
      <c r="P46" s="1750"/>
      <c r="Q46" s="1214"/>
      <c r="R46" s="696"/>
      <c r="S46" s="1798">
        <f>INDEX(PT_DIFFERENTIATION_NUM_NTAR,MATCH(A46,PT_DIFFERENTIATION_NTAR_ID,0))</f>
        <v>0</v>
      </c>
      <c r="T46" s="639" t="s">
        <v>120</v>
      </c>
      <c r="U46" s="641"/>
      <c r="V46" s="2584"/>
      <c r="W46" s="2584"/>
      <c r="X46" s="2584"/>
      <c r="Y46" s="2584"/>
      <c r="Z46" s="2584"/>
      <c r="AA46" s="2584"/>
      <c r="AB46" s="2584"/>
      <c r="AC46" s="2585"/>
      <c r="AD46" s="2583" t="str">
        <f>INDEX(PT_DIFFERENTIATION_NTAR,MATCH(A46,PT_DIFFERENTIATION_NTAR_ID,0))</f>
        <v/>
      </c>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2584"/>
      <c r="BB46" s="2585"/>
      <c r="BC46"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1"/>
      <c r="BF46" s="841" t="str">
        <f>IF(T46="","",T46)</f>
        <v>Наименование тарифа</v>
      </c>
      <c r="BG46" s="841"/>
      <c r="BH46" s="841"/>
      <c r="BI46" s="1496">
        <v>21</v>
      </c>
    </row>
    <row customHeight="1" ht="22.049999999999997">
      <c r="A47" s="1704" t="s">
        <v>241</v>
      </c>
      <c r="B47" s="1704" t="s">
        <v>242</v>
      </c>
      <c r="C47" s="1704"/>
      <c r="D47" s="1704"/>
      <c r="E47" s="2600"/>
      <c r="F47" s="2599">
        <v>1</v>
      </c>
      <c r="G47" s="1704"/>
      <c r="H47" s="1704"/>
      <c r="I47" s="1704"/>
      <c r="J47" s="1704"/>
      <c r="K47" s="1704"/>
      <c r="L47" s="1705"/>
      <c r="M47" s="1706"/>
      <c r="N47" s="1706"/>
      <c r="O47" s="1706"/>
      <c r="P47" s="1751"/>
      <c r="Q47" s="1752"/>
      <c r="R47" s="694"/>
      <c r="S47" s="1798" t="str">
        <f>INDEX(PT_DIFFERENTIATION_NUM_TER,MATCH(B47,PT_DIFFERENTIATION_TER_ID,0))</f>
        <v>.</v>
      </c>
      <c r="T47" s="649" t="s">
        <v>392</v>
      </c>
      <c r="U47" s="641"/>
      <c r="V47" s="2584"/>
      <c r="W47" s="2584"/>
      <c r="X47" s="2584"/>
      <c r="Y47" s="2584"/>
      <c r="Z47" s="2584"/>
      <c r="AA47" s="2584"/>
      <c r="AB47" s="2584"/>
      <c r="AC47" s="2585"/>
      <c r="AD47" s="2583" t="str">
        <f>INDEX(PT_DIFFERENTIATION_TER,MATCH(B47,PT_DIFFERENTIATION_TER_ID,0))</f>
        <v/>
      </c>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2584"/>
      <c r="BB47" s="2585"/>
      <c r="BC47" s="1599" t="s">
        <v>393</v>
      </c>
      <c r="BE47" s="841"/>
      <c r="BF47" s="841" t="str">
        <f>IF(T47="","",T47)</f>
        <v>Территория действия тарифа</v>
      </c>
      <c r="BG47" s="841"/>
      <c r="BH47" s="841"/>
      <c r="BI47" s="1496">
        <v>21</v>
      </c>
    </row>
    <row customHeight="1" ht="43.050000000000004">
      <c r="A48" s="1704" t="s">
        <v>241</v>
      </c>
      <c r="B48" s="1704" t="s">
        <v>242</v>
      </c>
      <c r="C48" s="1704" t="s">
        <v>243</v>
      </c>
      <c r="D48" s="1704"/>
      <c r="E48" s="2600"/>
      <c r="F48" s="2600"/>
      <c r="G48" s="2599">
        <v>1</v>
      </c>
      <c r="H48" s="1704"/>
      <c r="I48" s="1704"/>
      <c r="J48" s="1704"/>
      <c r="K48" s="1704"/>
      <c r="L48" s="1705"/>
      <c r="M48" s="1706"/>
      <c r="N48" s="1706"/>
      <c r="O48" s="1706"/>
      <c r="P48" s="1753"/>
      <c r="Q48" s="1752"/>
      <c r="R48" s="694"/>
      <c r="S48" s="1798" t="str">
        <f>INDEX(PT_DIFFERENTIATION_NUM_CS,MATCH(C48,PT_DIFFERENTIATION_CS_ID,0))</f>
        <v>..</v>
      </c>
      <c r="T48" s="650" t="s">
        <v>476</v>
      </c>
      <c r="U48" s="641"/>
      <c r="V48" s="2584"/>
      <c r="W48" s="2584"/>
      <c r="X48" s="2584"/>
      <c r="Y48" s="2584"/>
      <c r="Z48" s="2584"/>
      <c r="AA48" s="2584"/>
      <c r="AB48" s="2584"/>
      <c r="AC48" s="2585"/>
      <c r="AD48" s="2583" t="str">
        <f>INDEX(PT_DIFFERENTIATION_CS,MATCH(C48,PT_DIFFERENTIATION_CS_ID,0))</f>
        <v/>
      </c>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2584"/>
      <c r="BB48" s="2585"/>
      <c r="BC48" s="1599" t="s">
        <v>477</v>
      </c>
      <c r="BE48" s="841"/>
      <c r="BF48" s="841" t="str">
        <f>IF(T48="","",T48)</f>
        <v>Наименование централизованной системы холодного водоснабжения</v>
      </c>
      <c r="BG48" s="841"/>
      <c r="BH48" s="841"/>
      <c r="BI48" s="1496">
        <v>41</v>
      </c>
    </row>
    <row s="17316" customFormat="1" customHeight="1" ht="0">
      <c r="A49" s="1684" t="s">
        <v>241</v>
      </c>
      <c r="B49" s="1684" t="s">
        <v>242</v>
      </c>
      <c r="C49" s="1684" t="s">
        <v>243</v>
      </c>
      <c r="D49" s="1684" t="s">
        <v>510</v>
      </c>
      <c r="E49" s="2600"/>
      <c r="F49" s="2600"/>
      <c r="G49" s="2600"/>
      <c r="H49" s="2599">
        <v>1</v>
      </c>
      <c r="I49" s="1684"/>
      <c r="J49" s="1684"/>
      <c r="K49" s="1684"/>
      <c r="L49" s="1687"/>
      <c r="M49" s="1656"/>
      <c r="N49" s="1656"/>
      <c r="O49" s="1656"/>
      <c r="P49" s="1838"/>
      <c r="Q49" s="1839"/>
      <c r="R49" s="698"/>
      <c r="S49" s="1383"/>
      <c r="T49" s="1840"/>
      <c r="U49" s="1725"/>
      <c r="V49" s="2638"/>
      <c r="W49" s="2638"/>
      <c r="X49" s="2638"/>
      <c r="Y49" s="2638"/>
      <c r="Z49" s="2638"/>
      <c r="AA49" s="2638"/>
      <c r="AB49" s="2638"/>
      <c r="AC49" s="2639"/>
      <c r="AD49" s="2637"/>
      <c r="AE49" s="2638"/>
      <c r="AF49" s="2638"/>
      <c r="AG49" s="2638"/>
      <c r="AH49" s="2638"/>
      <c r="AI49" s="2638"/>
      <c r="AJ49" s="2638"/>
      <c r="AK49" s="2638"/>
      <c r="AL49" s="2638"/>
      <c r="AM49" s="2638"/>
      <c r="AN49" s="2638"/>
      <c r="AO49" s="2638"/>
      <c r="AP49" s="2638"/>
      <c r="AQ49" s="2638"/>
      <c r="AR49" s="2638"/>
      <c r="AS49" s="2638"/>
      <c r="AT49" s="2638"/>
      <c r="AU49" s="2638"/>
      <c r="AV49" s="2638"/>
      <c r="AW49" s="2638"/>
      <c r="AX49" s="2638"/>
      <c r="AY49" s="2638"/>
      <c r="AZ49" s="2638"/>
      <c r="BA49" s="2638"/>
      <c r="BB49" s="2639"/>
      <c r="BC49" s="1726" t="s">
        <v>397</v>
      </c>
      <c r="BE49" s="841"/>
      <c r="BF49" s="841" t="str">
        <f>IF(T49="","",T49)</f>
        <v/>
      </c>
      <c r="BG49" s="841"/>
      <c r="BH49" s="841"/>
      <c r="BI49" s="852">
        <v>0</v>
      </c>
    </row>
    <row s="17316" customFormat="1" customHeight="1" ht="0">
      <c r="A50" s="1684" t="s">
        <v>241</v>
      </c>
      <c r="B50" s="1684" t="s">
        <v>242</v>
      </c>
      <c r="C50" s="1684" t="s">
        <v>243</v>
      </c>
      <c r="D50" s="1684" t="s">
        <v>510</v>
      </c>
      <c r="E50" s="2600"/>
      <c r="F50" s="2600"/>
      <c r="G50" s="2600"/>
      <c r="H50" s="2600"/>
      <c r="I50" s="2597" t="str">
        <f>S49&amp;".1"</f>
        <v>.1</v>
      </c>
      <c r="J50" s="1684"/>
      <c r="K50" s="1684"/>
      <c r="L50" s="1687" t="s">
        <v>398</v>
      </c>
      <c r="M50" s="851"/>
      <c r="N50" s="851"/>
      <c r="O50" s="851"/>
      <c r="P50" s="2598">
        <v>1</v>
      </c>
      <c r="Q50" s="1803"/>
      <c r="R50" s="697"/>
      <c r="S50" s="1383"/>
      <c r="T50" s="1724"/>
      <c r="U50" s="1725"/>
      <c r="V50" s="2638"/>
      <c r="W50" s="2638"/>
      <c r="X50" s="2638"/>
      <c r="Y50" s="2638"/>
      <c r="Z50" s="2638"/>
      <c r="AA50" s="2638"/>
      <c r="AB50" s="2638"/>
      <c r="AC50" s="2639"/>
      <c r="AD50" s="2637"/>
      <c r="AE50" s="2638"/>
      <c r="AF50" s="2638"/>
      <c r="AG50" s="2638"/>
      <c r="AH50" s="2638"/>
      <c r="AI50" s="2638"/>
      <c r="AJ50" s="2638"/>
      <c r="AK50" s="2638"/>
      <c r="AL50" s="2638"/>
      <c r="AM50" s="2638"/>
      <c r="AN50" s="2638"/>
      <c r="AO50" s="2638"/>
      <c r="AP50" s="2638"/>
      <c r="AQ50" s="2638"/>
      <c r="AR50" s="2638"/>
      <c r="AS50" s="2638"/>
      <c r="AT50" s="2638"/>
      <c r="AU50" s="2638"/>
      <c r="AV50" s="2638"/>
      <c r="AW50" s="2638"/>
      <c r="AX50" s="2638"/>
      <c r="AY50" s="2638"/>
      <c r="AZ50" s="2638"/>
      <c r="BA50" s="2638"/>
      <c r="BB50" s="2639"/>
      <c r="BC50" s="1726"/>
      <c r="BE50" s="841"/>
      <c r="BF50" s="841" t="str">
        <f>IF(T50="","",T50)</f>
        <v/>
      </c>
      <c r="BG50" s="841"/>
      <c r="BH50" s="841"/>
      <c r="BI50" s="852">
        <v>0</v>
      </c>
    </row>
    <row s="17316" customFormat="1" customHeight="1" ht="0">
      <c r="A51" s="1684" t="s">
        <v>241</v>
      </c>
      <c r="B51" s="1684" t="s">
        <v>242</v>
      </c>
      <c r="C51" s="1684" t="s">
        <v>243</v>
      </c>
      <c r="D51" s="1684" t="s">
        <v>510</v>
      </c>
      <c r="E51" s="2600"/>
      <c r="F51" s="2600"/>
      <c r="G51" s="2600"/>
      <c r="H51" s="2600"/>
      <c r="I51" s="2627"/>
      <c r="J51" s="2597" t="str">
        <f>S49&amp;".1"</f>
        <v>.1</v>
      </c>
      <c r="K51" s="1684"/>
      <c r="L51" s="1687"/>
      <c r="M51" s="851"/>
      <c r="N51" s="851"/>
      <c r="O51" s="851"/>
      <c r="P51" s="2598"/>
      <c r="Q51" s="2598">
        <v>1</v>
      </c>
      <c r="R51" s="698"/>
      <c r="S51" s="1383"/>
      <c r="T51" s="1740"/>
      <c r="U51" s="1725"/>
      <c r="V51" s="2638"/>
      <c r="W51" s="2638"/>
      <c r="X51" s="2638"/>
      <c r="Y51" s="2638"/>
      <c r="Z51" s="2638"/>
      <c r="AA51" s="2638"/>
      <c r="AB51" s="2638"/>
      <c r="AC51" s="2639"/>
      <c r="AD51" s="2637"/>
      <c r="AE51" s="2638"/>
      <c r="AF51" s="2638"/>
      <c r="AG51" s="2638"/>
      <c r="AH51" s="2638"/>
      <c r="AI51" s="2638"/>
      <c r="AJ51" s="2638"/>
      <c r="AK51" s="2638"/>
      <c r="AL51" s="2638"/>
      <c r="AM51" s="2638"/>
      <c r="AN51" s="2705"/>
      <c r="AO51" s="2705"/>
      <c r="AP51" s="2638"/>
      <c r="AQ51" s="2638"/>
      <c r="AR51" s="2638"/>
      <c r="AS51" s="2638"/>
      <c r="AT51" s="2638"/>
      <c r="AU51" s="2638"/>
      <c r="AV51" s="2638"/>
      <c r="AW51" s="2638"/>
      <c r="AX51" s="2638"/>
      <c r="AY51" s="2638"/>
      <c r="AZ51" s="2638"/>
      <c r="BA51" s="2638"/>
      <c r="BB51" s="2639"/>
      <c r="BC51" s="1726"/>
      <c r="BE51" s="841"/>
      <c r="BF51" s="841" t="str">
        <f>IF(T51="","",T51)</f>
        <v/>
      </c>
      <c r="BG51" s="841"/>
      <c r="BH51" s="841"/>
      <c r="BI51" s="852">
        <v>0</v>
      </c>
    </row>
    <row customHeight="1" ht="11.549999999999999">
      <c r="A52" s="1704" t="s">
        <v>241</v>
      </c>
      <c r="B52" s="1704" t="s">
        <v>242</v>
      </c>
      <c r="C52" s="1704" t="s">
        <v>243</v>
      </c>
      <c r="D52" s="1704" t="s">
        <v>510</v>
      </c>
      <c r="E52" s="2600"/>
      <c r="F52" s="2600"/>
      <c r="G52" s="2600"/>
      <c r="H52" s="2600"/>
      <c r="I52" s="2627"/>
      <c r="J52" s="2627"/>
      <c r="K52" s="2597" t="str">
        <f>S48&amp;".1"</f>
        <v>...1</v>
      </c>
      <c r="L52" s="1705"/>
      <c r="P52" s="2598"/>
      <c r="Q52" s="2598"/>
      <c r="R52" s="698">
        <v>1</v>
      </c>
      <c r="S52" s="2682" t="str">
        <f>$K52</f>
        <v>...1</v>
      </c>
      <c r="T52" s="2701"/>
      <c r="U52" s="641"/>
      <c r="V52" s="1092"/>
      <c r="W52" s="1598"/>
      <c r="X52" s="1092"/>
      <c r="Y52" s="1598"/>
      <c r="Z52" s="2075"/>
      <c r="AA52" s="1800" t="s">
        <v>65</v>
      </c>
      <c r="AB52" s="2075"/>
      <c r="AC52" s="1800" t="s">
        <v>65</v>
      </c>
      <c r="AD52" s="2526" t="s">
        <v>65</v>
      </c>
      <c r="AE52" s="2667"/>
      <c r="AF52" s="2546">
        <v>1</v>
      </c>
      <c r="AG52" s="2704"/>
      <c r="AH52" s="2448" t="s">
        <v>65</v>
      </c>
      <c r="AI52" s="2667"/>
      <c r="AJ52" s="2546">
        <v>1</v>
      </c>
      <c r="AK52" s="2668" t="s">
        <v>22</v>
      </c>
      <c r="AL52" s="2448" t="s">
        <v>65</v>
      </c>
      <c r="AM52" s="2533"/>
      <c r="AN52" s="2546">
        <v>1</v>
      </c>
      <c r="AO52" s="2698"/>
      <c r="AP52" s="2699" t="s">
        <v>65</v>
      </c>
      <c r="AQ52" s="652"/>
      <c r="AR52" s="1804">
        <v>1</v>
      </c>
      <c r="AS52" s="1807" t="s">
        <v>22</v>
      </c>
      <c r="AT52" s="1092"/>
      <c r="AU52" s="1598"/>
      <c r="AV52" s="1092"/>
      <c r="AW52" s="1598"/>
      <c r="AX52" s="2075"/>
      <c r="AY52" s="1800" t="s">
        <v>65</v>
      </c>
      <c r="AZ52" s="2075"/>
      <c r="BA52" s="1800" t="s">
        <v>65</v>
      </c>
      <c r="BB52" s="1689"/>
      <c r="BC52" s="2594" t="s">
        <v>496</v>
      </c>
      <c r="BE52" s="841"/>
      <c r="BF52" s="841" t="str">
        <f>IF(T52="","",T52)</f>
        <v/>
      </c>
      <c r="BG52" s="841"/>
      <c r="BH52" s="841"/>
      <c r="BI52" s="1496">
        <v>11</v>
      </c>
    </row>
    <row customHeight="1" ht="11.549999999999999">
      <c r="A53" s="1704"/>
      <c r="B53" s="1704"/>
      <c r="C53" s="1704"/>
      <c r="D53" s="1704"/>
      <c r="E53" s="2600"/>
      <c r="F53" s="2600"/>
      <c r="G53" s="2600"/>
      <c r="H53" s="2600"/>
      <c r="I53" s="2627"/>
      <c r="J53" s="2627"/>
      <c r="K53" s="2597"/>
      <c r="L53" s="1705"/>
      <c r="P53" s="2598"/>
      <c r="Q53" s="2598"/>
      <c r="R53" s="698"/>
      <c r="S53" s="2683"/>
      <c r="T53" s="2702"/>
      <c r="U53" s="641"/>
      <c r="V53" s="1734"/>
      <c r="W53" s="1837"/>
      <c r="X53" s="1734"/>
      <c r="Y53" s="1837"/>
      <c r="Z53" s="1734"/>
      <c r="AA53" s="1734"/>
      <c r="AB53" s="1734"/>
      <c r="AC53" s="1734"/>
      <c r="AD53" s="2527"/>
      <c r="AE53" s="2667"/>
      <c r="AF53" s="2546"/>
      <c r="AG53" s="2704"/>
      <c r="AH53" s="2448"/>
      <c r="AI53" s="2667"/>
      <c r="AJ53" s="2546"/>
      <c r="AK53" s="2668"/>
      <c r="AL53" s="2448"/>
      <c r="AM53" s="2541"/>
      <c r="AN53" s="2546"/>
      <c r="AO53" s="2698"/>
      <c r="AP53" s="2700"/>
      <c r="AQ53" s="657"/>
      <c r="AR53" s="757"/>
      <c r="AS53" s="757" t="s">
        <v>497</v>
      </c>
      <c r="AT53" s="1734"/>
      <c r="AU53" s="1837"/>
      <c r="AV53" s="1734"/>
      <c r="AW53" s="1837"/>
      <c r="AX53" s="1734"/>
      <c r="AY53" s="1734"/>
      <c r="AZ53" s="1734"/>
      <c r="BA53" s="1734"/>
      <c r="BB53" s="1738"/>
      <c r="BC53" s="2595"/>
      <c r="BE53" s="841"/>
      <c r="BF53" s="841"/>
      <c r="BG53" s="841"/>
      <c r="BH53" s="841"/>
      <c r="BI53" s="1496">
        <v>11</v>
      </c>
    </row>
    <row customHeight="1" ht="11.549999999999999">
      <c r="A54" s="1704" t="s">
        <v>241</v>
      </c>
      <c r="B54" s="1704"/>
      <c r="C54" s="1704"/>
      <c r="D54" s="1704"/>
      <c r="E54" s="2600"/>
      <c r="F54" s="2600"/>
      <c r="G54" s="2600"/>
      <c r="H54" s="2600"/>
      <c r="I54" s="2627"/>
      <c r="J54" s="2627"/>
      <c r="K54" s="2597"/>
      <c r="L54" s="1705"/>
      <c r="P54" s="2598"/>
      <c r="Q54" s="2598"/>
      <c r="R54" s="698"/>
      <c r="S54" s="2683"/>
      <c r="T54" s="2702"/>
      <c r="U54" s="641"/>
      <c r="V54" s="1734"/>
      <c r="W54" s="1837"/>
      <c r="X54" s="1734"/>
      <c r="Y54" s="1837"/>
      <c r="Z54" s="1734"/>
      <c r="AA54" s="1734"/>
      <c r="AB54" s="1734"/>
      <c r="AC54" s="1734"/>
      <c r="AD54" s="2527"/>
      <c r="AE54" s="2667"/>
      <c r="AF54" s="2546"/>
      <c r="AG54" s="2704"/>
      <c r="AH54" s="2448"/>
      <c r="AI54" s="2667"/>
      <c r="AJ54" s="2546"/>
      <c r="AK54" s="2668"/>
      <c r="AL54" s="2448"/>
      <c r="AM54" s="657"/>
      <c r="AN54" s="1841"/>
      <c r="AO54" s="1841" t="s">
        <v>498</v>
      </c>
      <c r="AP54" s="757"/>
      <c r="AQ54" s="757"/>
      <c r="AR54" s="757"/>
      <c r="AS54" s="1734"/>
      <c r="AT54" s="1734"/>
      <c r="AU54" s="1837"/>
      <c r="AV54" s="1734"/>
      <c r="AW54" s="1837"/>
      <c r="AX54" s="1734"/>
      <c r="AY54" s="1734"/>
      <c r="AZ54" s="1734"/>
      <c r="BA54" s="1734"/>
      <c r="BB54" s="1738"/>
      <c r="BC54" s="2595"/>
      <c r="BE54" s="841"/>
      <c r="BF54" s="841"/>
      <c r="BG54" s="841"/>
      <c r="BH54" s="841"/>
      <c r="BI54" s="1496">
        <v>11</v>
      </c>
    </row>
    <row customHeight="1" ht="11.549999999999999">
      <c r="A55" s="1704" t="s">
        <v>241</v>
      </c>
      <c r="B55" s="1704"/>
      <c r="C55" s="1704"/>
      <c r="D55" s="1704"/>
      <c r="E55" s="2600"/>
      <c r="F55" s="2600"/>
      <c r="G55" s="2600"/>
      <c r="H55" s="2600"/>
      <c r="I55" s="2627"/>
      <c r="J55" s="2627"/>
      <c r="K55" s="2597"/>
      <c r="L55" s="1705"/>
      <c r="P55" s="2598"/>
      <c r="Q55" s="2598"/>
      <c r="R55" s="698"/>
      <c r="S55" s="2683"/>
      <c r="T55" s="2702"/>
      <c r="U55" s="641"/>
      <c r="V55" s="1734"/>
      <c r="W55" s="1837"/>
      <c r="X55" s="1734"/>
      <c r="Y55" s="1837"/>
      <c r="Z55" s="1734"/>
      <c r="AA55" s="1734"/>
      <c r="AB55" s="1734"/>
      <c r="AC55" s="1734"/>
      <c r="AD55" s="2527"/>
      <c r="AE55" s="2667"/>
      <c r="AF55" s="2546"/>
      <c r="AG55" s="2704"/>
      <c r="AH55" s="2448"/>
      <c r="AI55" s="635"/>
      <c r="AJ55" s="756"/>
      <c r="AK55" s="654" t="s">
        <v>499</v>
      </c>
      <c r="AL55" s="1734"/>
      <c r="AM55" s="1734"/>
      <c r="AN55" s="1734"/>
      <c r="AO55" s="1734"/>
      <c r="AP55" s="1734"/>
      <c r="AQ55" s="1734"/>
      <c r="AR55" s="1734"/>
      <c r="AS55" s="1734"/>
      <c r="AT55" s="1734"/>
      <c r="AU55" s="1837"/>
      <c r="AV55" s="1734"/>
      <c r="AW55" s="1837"/>
      <c r="AX55" s="1734"/>
      <c r="AY55" s="1734"/>
      <c r="AZ55" s="1734"/>
      <c r="BA55" s="1734"/>
      <c r="BB55" s="1738"/>
      <c r="BC55" s="2595"/>
      <c r="BE55" s="841"/>
      <c r="BF55" s="841"/>
      <c r="BG55" s="841"/>
      <c r="BH55" s="841"/>
      <c r="BI55" s="1496">
        <v>11</v>
      </c>
    </row>
    <row customHeight="1" ht="11.549999999999999">
      <c r="A56" s="1704" t="s">
        <v>241</v>
      </c>
      <c r="B56" s="1704" t="s">
        <v>242</v>
      </c>
      <c r="C56" s="1704" t="s">
        <v>243</v>
      </c>
      <c r="D56" s="1704" t="s">
        <v>510</v>
      </c>
      <c r="E56" s="2600"/>
      <c r="F56" s="2600"/>
      <c r="G56" s="2600"/>
      <c r="H56" s="2600"/>
      <c r="I56" s="2627"/>
      <c r="J56" s="2627"/>
      <c r="K56" s="2597"/>
      <c r="L56" s="1705"/>
      <c r="P56" s="2598"/>
      <c r="Q56" s="2598"/>
      <c r="R56" s="698"/>
      <c r="S56" s="2684"/>
      <c r="T56" s="2703"/>
      <c r="U56" s="641"/>
      <c r="V56" s="1734"/>
      <c r="W56" s="1735" t="str">
        <f>Z52&amp;"-"&amp;AB52</f>
        <v>-</v>
      </c>
      <c r="X56" s="1734"/>
      <c r="Y56" s="1735" t="str">
        <f>AB52&amp;"-"&amp;AD52</f>
        <v>-да</v>
      </c>
      <c r="Z56" s="1734"/>
      <c r="AA56" s="1734"/>
      <c r="AB56" s="1734"/>
      <c r="AC56" s="1734"/>
      <c r="AD56" s="2453"/>
      <c r="AE56" s="653"/>
      <c r="AF56" s="655"/>
      <c r="AG56" s="757" t="s">
        <v>500</v>
      </c>
      <c r="AH56" s="1734"/>
      <c r="AI56" s="1734"/>
      <c r="AJ56" s="1734"/>
      <c r="AK56" s="1734"/>
      <c r="AL56" s="1734"/>
      <c r="AM56" s="1734"/>
      <c r="AN56" s="1734"/>
      <c r="AO56" s="1734"/>
      <c r="AP56" s="1734"/>
      <c r="AQ56" s="1734"/>
      <c r="AR56" s="1734"/>
      <c r="AS56" s="1734"/>
      <c r="AT56" s="1734"/>
      <c r="AU56" s="1735" t="str">
        <f>AX52&amp;"-"&amp;AZ52</f>
        <v>-</v>
      </c>
      <c r="AV56" s="1734"/>
      <c r="AW56" s="1735" t="str">
        <f>AZ52&amp;"-"&amp;BB52</f>
        <v>-</v>
      </c>
      <c r="AX56" s="1734"/>
      <c r="AY56" s="1734"/>
      <c r="AZ56" s="1734"/>
      <c r="BA56" s="1734"/>
      <c r="BB56" s="1737" t="str">
        <f>BE52&amp;"-"&amp;BG52</f>
        <v>-</v>
      </c>
      <c r="BC56" s="2595"/>
      <c r="BE56" s="841"/>
      <c r="BF56" s="841" t="str">
        <f>IF(T56="","",T56)</f>
        <v/>
      </c>
      <c r="BG56" s="841"/>
      <c r="BH56" s="841"/>
      <c r="BI56" s="1496">
        <v>11</v>
      </c>
    </row>
    <row customHeight="1" ht="11.549999999999999">
      <c r="A57" s="1704" t="s">
        <v>241</v>
      </c>
      <c r="B57" s="1704" t="s">
        <v>242</v>
      </c>
      <c r="C57" s="1704" t="s">
        <v>243</v>
      </c>
      <c r="D57" s="1704" t="s">
        <v>510</v>
      </c>
      <c r="E57" s="2600"/>
      <c r="F57" s="2600"/>
      <c r="G57" s="2600"/>
      <c r="H57" s="2600"/>
      <c r="I57" s="2627"/>
      <c r="J57" s="2597"/>
      <c r="K57" s="1704"/>
      <c r="L57" s="1705"/>
      <c r="P57" s="2598"/>
      <c r="Q57" s="2598"/>
      <c r="R57" s="697"/>
      <c r="S57" s="1619"/>
      <c r="T57" s="628" t="s">
        <v>463</v>
      </c>
      <c r="U57" s="708"/>
      <c r="V57" s="708"/>
      <c r="W57" s="708"/>
      <c r="X57" s="708"/>
      <c r="Y57" s="708"/>
      <c r="Z57" s="708"/>
      <c r="AA57" s="708"/>
      <c r="AB57" s="708"/>
      <c r="AC57" s="665"/>
      <c r="AD57" s="1846"/>
      <c r="AE57" s="708"/>
      <c r="AF57" s="708"/>
      <c r="AG57" s="708"/>
      <c r="AH57" s="708"/>
      <c r="AI57" s="708"/>
      <c r="AJ57" s="708"/>
      <c r="AK57" s="708"/>
      <c r="AL57" s="708"/>
      <c r="AM57" s="708"/>
      <c r="AN57" s="708"/>
      <c r="AO57" s="708"/>
      <c r="AP57" s="708"/>
      <c r="AQ57" s="708"/>
      <c r="AR57" s="708"/>
      <c r="AS57" s="708"/>
      <c r="AT57" s="708"/>
      <c r="AU57" s="708"/>
      <c r="AV57" s="708"/>
      <c r="AW57" s="708"/>
      <c r="AX57" s="708"/>
      <c r="AY57" s="708"/>
      <c r="AZ57" s="708"/>
      <c r="BA57" s="708"/>
      <c r="BB57" s="665"/>
      <c r="BC57" s="2596"/>
      <c r="BE57" s="841"/>
      <c r="BF57" s="841" t="str">
        <f>IF(T57="","",T57)</f>
        <v>Добавить строку</v>
      </c>
      <c r="BG57" s="841"/>
      <c r="BH57" s="841"/>
      <c r="BI57" s="1496">
        <v>11</v>
      </c>
    </row>
    <row s="17316" customFormat="1" customHeight="1" ht="0">
      <c r="A58" s="1684" t="s">
        <v>241</v>
      </c>
      <c r="B58" s="1684" t="s">
        <v>242</v>
      </c>
      <c r="C58" s="1684" t="s">
        <v>243</v>
      </c>
      <c r="D58" s="1684" t="s">
        <v>510</v>
      </c>
      <c r="E58" s="2600"/>
      <c r="F58" s="2600"/>
      <c r="G58" s="2600"/>
      <c r="H58" s="2600"/>
      <c r="I58" s="2597"/>
      <c r="J58" s="1684"/>
      <c r="K58" s="1684"/>
      <c r="L58" s="1687"/>
      <c r="M58" s="851"/>
      <c r="N58" s="851"/>
      <c r="O58" s="851"/>
      <c r="P58" s="2598"/>
      <c r="Q58" s="1803"/>
      <c r="R58" s="697"/>
      <c r="S58" s="1727"/>
      <c r="T58" s="1728"/>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1729"/>
      <c r="BB58" s="1729"/>
      <c r="BC58" s="1730"/>
      <c r="BE58" s="841"/>
      <c r="BF58" s="841" t="str">
        <f>IF(T58="","",T58)</f>
        <v/>
      </c>
      <c r="BG58" s="841"/>
      <c r="BH58" s="841"/>
      <c r="BI58" s="852">
        <v>0</v>
      </c>
    </row>
    <row s="17316" customFormat="1" customHeight="1" ht="0">
      <c r="A59" s="1684" t="s">
        <v>241</v>
      </c>
      <c r="B59" s="1684" t="s">
        <v>242</v>
      </c>
      <c r="C59" s="1684" t="s">
        <v>243</v>
      </c>
      <c r="D59" s="1684" t="s">
        <v>510</v>
      </c>
      <c r="E59" s="2600"/>
      <c r="F59" s="2600"/>
      <c r="G59" s="2600"/>
      <c r="H59" s="2599"/>
      <c r="I59" s="1684"/>
      <c r="J59" s="1684"/>
      <c r="K59" s="1684"/>
      <c r="L59" s="1687"/>
      <c r="M59" s="1656"/>
      <c r="N59" s="1656"/>
      <c r="O59" s="859"/>
      <c r="P59" s="721"/>
      <c r="Q59" s="1685"/>
      <c r="R59" s="1742"/>
      <c r="S59" s="1727"/>
      <c r="T59" s="1728"/>
      <c r="U59" s="1729"/>
      <c r="V59" s="1729"/>
      <c r="W59" s="1729"/>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729"/>
      <c r="AS59" s="1729"/>
      <c r="AT59" s="1729"/>
      <c r="AU59" s="1729"/>
      <c r="AV59" s="1729"/>
      <c r="AW59" s="1729"/>
      <c r="AX59" s="1729"/>
      <c r="AY59" s="1729"/>
      <c r="AZ59" s="1729"/>
      <c r="BA59" s="1729"/>
      <c r="BB59" s="1729"/>
      <c r="BC59" s="1730"/>
      <c r="BE59" s="841"/>
      <c r="BF59" s="841" t="str">
        <f>IF(T59="","",T59)</f>
        <v/>
      </c>
      <c r="BG59" s="841"/>
      <c r="BH59" s="841"/>
      <c r="BI59" s="852">
        <v>0</v>
      </c>
    </row>
    <row s="17316" customFormat="1" customHeight="1" ht="0">
      <c r="A60" s="1684" t="s">
        <v>241</v>
      </c>
      <c r="B60" s="1684" t="s">
        <v>242</v>
      </c>
      <c r="C60" s="1684" t="s">
        <v>243</v>
      </c>
      <c r="D60" s="1655"/>
      <c r="E60" s="2600"/>
      <c r="F60" s="2600"/>
      <c r="G60" s="2599"/>
      <c r="H60" s="1655"/>
      <c r="I60" s="1655"/>
      <c r="J60" s="1655"/>
      <c r="K60" s="1655"/>
      <c r="L60" s="1805"/>
      <c r="M60" s="1656"/>
      <c r="N60" s="1656"/>
      <c r="P60" s="1657"/>
      <c r="Q60" s="1658"/>
      <c r="R60" s="1657"/>
      <c r="S60" s="1663"/>
      <c r="T60" s="1666"/>
      <c r="U60" s="1665"/>
      <c r="V60" s="1665"/>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V60" s="1665"/>
      <c r="AW60" s="1665"/>
      <c r="AX60" s="1665"/>
      <c r="AY60" s="1665"/>
      <c r="AZ60" s="1665"/>
      <c r="BA60" s="1665"/>
      <c r="BB60" s="1665"/>
      <c r="BC60" s="1665"/>
      <c r="BE60" s="1130"/>
      <c r="BF60" s="1130" t="str">
        <f>IF(T60="","",T60)</f>
        <v/>
      </c>
      <c r="BG60" s="1130"/>
      <c r="BH60" s="1130"/>
      <c r="BI60" s="859">
        <v>0</v>
      </c>
    </row>
    <row s="17316" customFormat="1" customHeight="1" ht="0">
      <c r="A61" s="1684" t="s">
        <v>241</v>
      </c>
      <c r="B61" s="1684" t="s">
        <v>242</v>
      </c>
      <c r="C61" s="1655"/>
      <c r="D61" s="1655"/>
      <c r="E61" s="2600"/>
      <c r="F61" s="2599"/>
      <c r="G61" s="1655"/>
      <c r="H61" s="1655"/>
      <c r="I61" s="1655"/>
      <c r="J61" s="1655"/>
      <c r="K61" s="1655"/>
      <c r="L61" s="1805"/>
      <c r="M61" s="1662"/>
      <c r="N61" s="1662"/>
      <c r="P61" s="1657"/>
      <c r="Q61" s="1658"/>
      <c r="R61" s="1657"/>
      <c r="S61" s="1663"/>
      <c r="T61" s="1666" t="s">
        <v>410</v>
      </c>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E61" s="1130"/>
      <c r="BF61" s="1130" t="str">
        <f>IF(T61="","",T61)</f>
        <v>Добавить централизованную систему для дифференциации</v>
      </c>
      <c r="BG61" s="1130"/>
      <c r="BH61" s="1130"/>
      <c r="BI61" s="859">
        <v>0</v>
      </c>
    </row>
    <row s="17316" customFormat="1" customHeight="1" ht="0">
      <c r="A62" s="1684" t="s">
        <v>241</v>
      </c>
      <c r="B62" s="1684"/>
      <c r="C62" s="1684"/>
      <c r="D62" s="1684"/>
      <c r="E62" s="2599"/>
      <c r="F62" s="1684"/>
      <c r="G62" s="1684"/>
      <c r="H62" s="1684"/>
      <c r="I62" s="1684"/>
      <c r="J62" s="1684"/>
      <c r="K62" s="1684"/>
      <c r="L62" s="1687"/>
      <c r="M62" s="1662"/>
      <c r="N62" s="1662"/>
      <c r="O62" s="859"/>
      <c r="P62" s="721"/>
      <c r="Q62" s="1685"/>
      <c r="R62" s="721"/>
      <c r="S62" s="1663"/>
      <c r="T62" s="1666" t="s">
        <v>411</v>
      </c>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V62" s="1665"/>
      <c r="AW62" s="1665"/>
      <c r="AX62" s="1665"/>
      <c r="AY62" s="1665"/>
      <c r="AZ62" s="1665"/>
      <c r="BA62" s="1665"/>
      <c r="BB62" s="1665"/>
      <c r="BC62" s="1665"/>
      <c r="BE62" s="841"/>
      <c r="BF62" s="841" t="str">
        <f>IF(T62="","",T62)</f>
        <v>Добавить территорию для дифференциации</v>
      </c>
      <c r="BG62" s="841"/>
      <c r="BH62" s="841"/>
      <c r="BI62" s="852">
        <v>0</v>
      </c>
    </row>
    <row s="17316" customFormat="1" customHeight="1" ht="0">
      <c r="A63" s="1655"/>
      <c r="B63" s="1655"/>
      <c r="C63" s="1655"/>
      <c r="D63" s="1655"/>
      <c r="E63" s="1684"/>
      <c r="F63" s="1655"/>
      <c r="G63" s="1655"/>
      <c r="H63" s="1655"/>
      <c r="I63" s="1655"/>
      <c r="J63" s="1655"/>
      <c r="K63" s="1655"/>
      <c r="L63" s="1805"/>
      <c r="M63" s="1662"/>
      <c r="N63" s="1662"/>
      <c r="P63" s="1657"/>
      <c r="Q63" s="1658"/>
      <c r="R63" s="1657"/>
      <c r="S63" s="1663"/>
      <c r="T63" s="1666" t="s">
        <v>443</v>
      </c>
      <c r="U63" s="1665"/>
      <c r="V63" s="1665"/>
      <c r="W63" s="1665"/>
      <c r="X63" s="1665"/>
      <c r="Y63" s="1665"/>
      <c r="Z63" s="1665"/>
      <c r="AA63" s="1665"/>
      <c r="AB63" s="1665"/>
      <c r="AC63" s="1665"/>
      <c r="AD63" s="1665"/>
      <c r="AE63" s="1665"/>
      <c r="AF63" s="1665"/>
      <c r="AG63" s="1665"/>
      <c r="AH63" s="1665"/>
      <c r="AI63" s="1665"/>
      <c r="AJ63" s="1665"/>
      <c r="AK63" s="1665"/>
      <c r="AL63" s="1665"/>
      <c r="AM63" s="1665"/>
      <c r="AN63" s="1665"/>
      <c r="AO63" s="1665"/>
      <c r="AP63" s="1665"/>
      <c r="AQ63" s="1665"/>
      <c r="AR63" s="1665"/>
      <c r="AS63" s="1665"/>
      <c r="AT63" s="1665"/>
      <c r="AU63" s="1665"/>
      <c r="AV63" s="1665"/>
      <c r="AW63" s="1665"/>
      <c r="AX63" s="1665"/>
      <c r="AY63" s="1665"/>
      <c r="AZ63" s="1665"/>
      <c r="BA63" s="1665"/>
      <c r="BB63" s="1665"/>
      <c r="BC63" s="1665"/>
      <c r="BE63" s="1130"/>
      <c r="BF63" s="1130" t="str">
        <f>IF(T63="","",T63)</f>
        <v>Добавить наименование тарифа</v>
      </c>
      <c r="BG63" s="1130"/>
      <c r="BH63" s="1130"/>
      <c r="BI63" s="859">
        <v>0</v>
      </c>
    </row>
    <row customHeight="1" ht="11.549999999999999">
      <c r="M64" s="1501"/>
      <c r="N64" s="1501"/>
      <c r="O64" s="878"/>
      <c r="P64" s="1501"/>
      <c r="Q64" s="1501"/>
      <c r="R64" s="1496"/>
      <c r="S64" s="1496"/>
      <c r="BD64" s="1496"/>
      <c r="BE64" s="1496"/>
      <c r="BF64" s="1496"/>
      <c r="BG64" s="1496"/>
      <c r="BH64" s="1496"/>
      <c r="BI64" s="1496">
        <v>11</v>
      </c>
    </row>
    <row customHeight="1" ht="19.95">
      <c r="O65" s="878"/>
      <c r="S65" s="1594"/>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c r="AS65" s="2626"/>
      <c r="AT65" s="2626"/>
      <c r="AU65" s="2626"/>
      <c r="AV65" s="2626"/>
      <c r="AW65" s="2626"/>
      <c r="AX65" s="2626"/>
      <c r="AY65" s="2626"/>
      <c r="AZ65" s="2626"/>
      <c r="BA65" s="2626"/>
      <c r="BB65" s="2626"/>
      <c r="BC65" s="2626"/>
      <c r="BI65" s="1496">
        <v>19</v>
      </c>
    </row>
    <row customHeight="1" ht="14.699999999999998">
      <c r="O66" s="878"/>
      <c r="T66" s="1790"/>
      <c r="U66" s="1790"/>
      <c r="V66" s="1790"/>
      <c r="W66" s="1790"/>
      <c r="X66" s="1790"/>
      <c r="Y66" s="1790"/>
      <c r="Z66" s="1790"/>
      <c r="AA66" s="1790"/>
      <c r="AB66" s="1790"/>
      <c r="AC66" s="1790"/>
      <c r="AD66" s="1790"/>
      <c r="AE66" s="1790"/>
      <c r="AF66" s="1790"/>
      <c r="AG66" s="1790"/>
      <c r="AH66" s="1790"/>
      <c r="AI66" s="1790"/>
      <c r="AJ66" s="1790"/>
      <c r="AK66" s="1790"/>
      <c r="AL66" s="1790"/>
      <c r="AM66" s="1790"/>
      <c r="AN66" s="1790"/>
      <c r="AO66" s="1790"/>
      <c r="AP66" s="1790"/>
      <c r="AQ66" s="1790"/>
      <c r="AR66" s="1790"/>
      <c r="AS66" s="1790"/>
      <c r="AT66" s="1790"/>
      <c r="AU66" s="1790"/>
      <c r="AV66" s="1790"/>
      <c r="AW66" s="1790"/>
      <c r="AX66" s="1790"/>
      <c r="AY66" s="1790"/>
      <c r="AZ66" s="1790"/>
      <c r="BA66" s="1790"/>
      <c r="BB66" s="1790"/>
      <c r="BC66" s="1790"/>
      <c r="BI66" s="1496">
        <v>14</v>
      </c>
    </row>
    <row customHeight="1" ht="19.95">
      <c r="O67" s="878"/>
      <c r="S67" s="1594"/>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AV67" s="2626"/>
      <c r="AW67" s="2626"/>
      <c r="AX67" s="2626"/>
      <c r="AY67" s="2626"/>
      <c r="AZ67" s="2626"/>
      <c r="BA67" s="2626"/>
      <c r="BB67" s="2626"/>
      <c r="BC67" s="2626"/>
      <c r="BI67" s="1496">
        <v>19</v>
      </c>
    </row>
    <row customHeight="1" ht="14.699999999999998">
      <c r="O68" s="878"/>
      <c r="BI68" s="1496">
        <v>14</v>
      </c>
    </row>
    <row customHeight="1" ht="14.25" hidden="1">
      <c r="A69" s="1501" t="s">
        <v>82</v>
      </c>
      <c r="B69" s="1501">
        <v>0</v>
      </c>
      <c r="C69" s="1501">
        <v>0</v>
      </c>
      <c r="D69" s="1501">
        <v>0</v>
      </c>
      <c r="E69" s="1501">
        <v>0</v>
      </c>
      <c r="F69" s="1501">
        <v>0</v>
      </c>
      <c r="G69" s="1501">
        <v>0</v>
      </c>
      <c r="H69" s="1501">
        <v>0</v>
      </c>
      <c r="I69" s="1501">
        <v>0</v>
      </c>
      <c r="J69" s="1501">
        <v>0</v>
      </c>
      <c r="K69" s="1501">
        <v>0</v>
      </c>
      <c r="L69" s="1802">
        <v>0</v>
      </c>
      <c r="M69" s="1703">
        <v>0</v>
      </c>
      <c r="N69" s="1703">
        <v>0</v>
      </c>
      <c r="O69" s="1703">
        <v>0</v>
      </c>
      <c r="P69" s="1703">
        <v>0</v>
      </c>
      <c r="Q69" s="1712">
        <v>0</v>
      </c>
      <c r="R69" s="685">
        <v>3</v>
      </c>
      <c r="S69" s="922">
        <v>12</v>
      </c>
      <c r="T69" s="1496">
        <v>31</v>
      </c>
      <c r="U69" s="1496">
        <v>0</v>
      </c>
      <c r="V69" s="1496">
        <v>0</v>
      </c>
      <c r="W69" s="1496">
        <v>0</v>
      </c>
      <c r="X69" s="1496">
        <v>0</v>
      </c>
      <c r="Y69" s="1496">
        <v>0</v>
      </c>
      <c r="Z69" s="1496">
        <v>0</v>
      </c>
      <c r="AA69" s="1496">
        <v>0</v>
      </c>
      <c r="AB69" s="1496">
        <v>0</v>
      </c>
      <c r="AC69" s="1496">
        <v>0</v>
      </c>
      <c r="AD69" s="1496">
        <v>3</v>
      </c>
      <c r="AE69" s="1496">
        <v>3</v>
      </c>
      <c r="AF69" s="1496">
        <v>3</v>
      </c>
      <c r="AG69" s="1496">
        <v>24</v>
      </c>
      <c r="AH69" s="1496">
        <v>3</v>
      </c>
      <c r="AI69" s="1496">
        <v>3</v>
      </c>
      <c r="AJ69" s="1496">
        <v>3</v>
      </c>
      <c r="AK69" s="1496">
        <v>24</v>
      </c>
      <c r="AL69" s="1496">
        <v>3</v>
      </c>
      <c r="AM69" s="1496">
        <v>3</v>
      </c>
      <c r="AN69" s="1496">
        <v>3</v>
      </c>
      <c r="AO69" s="1496">
        <v>18</v>
      </c>
      <c r="AP69" s="1496">
        <v>3</v>
      </c>
      <c r="AQ69" s="1496">
        <v>3</v>
      </c>
      <c r="AR69" s="1496">
        <v>3</v>
      </c>
      <c r="AS69" s="1496">
        <v>18</v>
      </c>
      <c r="AT69" s="1496">
        <v>21</v>
      </c>
      <c r="AU69" s="1496">
        <v>21</v>
      </c>
      <c r="AV69" s="1496">
        <v>21</v>
      </c>
      <c r="AW69" s="1496">
        <v>21</v>
      </c>
      <c r="AX69" s="1496">
        <v>11</v>
      </c>
      <c r="AY69" s="1496">
        <v>3</v>
      </c>
      <c r="AZ69" s="1496">
        <v>11</v>
      </c>
      <c r="BA69" s="1496">
        <v>0</v>
      </c>
      <c r="BB69" s="1496">
        <v>4</v>
      </c>
      <c r="BC69" s="1496">
        <v>115</v>
      </c>
      <c r="BD69" s="852">
        <v>10</v>
      </c>
      <c r="BE69" s="852">
        <v>10</v>
      </c>
      <c r="BF69" s="852">
        <v>10</v>
      </c>
      <c r="BG69" s="852">
        <v>10</v>
      </c>
      <c r="BH69" s="852">
        <v>10</v>
      </c>
      <c r="BI69" s="1496">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62B2FF-1C1B-79E3-F39B-2E184631BE9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4.140625" hidden="1" customWidth="1"/>
    <col min="10" max="10" style="17315" width="9.8515625" hidden="1" customWidth="1"/>
    <col min="11" max="11" style="17315" width="14.71093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4" style="17239" width="24.7109375" hidden="1" customWidth="1"/>
    <col min="25" max="25" style="17239" width="11.7109375" hidden="1" customWidth="1"/>
    <col min="26" max="26" style="17239" width="3.7109375" hidden="1" customWidth="1"/>
    <col min="27" max="27" style="17239" width="11.7109375" hidden="1" customWidth="1"/>
    <col min="28" max="28" style="17239" width="8.57421875" hidden="1" customWidth="1"/>
    <col min="29" max="29" style="17239" width="24.7109375" customWidth="1"/>
    <col min="30" max="31" style="17239" width="24.00390625" customWidth="1"/>
    <col min="32" max="32" style="17239" width="11.00390625" customWidth="1"/>
    <col min="33" max="33" style="17239" width="3.7109375" customWidth="1"/>
    <col min="34" max="34" style="17239" width="11.00390625" customWidth="1"/>
    <col min="35" max="35" style="17239" width="8.57421875" hidden="1" customWidth="1"/>
    <col min="36" max="36" style="17239" width="4.00390625" customWidth="1"/>
    <col min="37" max="37" style="17239" width="115.00390625" customWidth="1"/>
    <col min="38" max="42" style="17316" width="10.00390625" customWidth="1"/>
    <col min="43" max="43" style="17239"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834">
        <f>INDEX(PT_DIFFERENTIATION_NUM_NTAR,MATCH(A2,PT_DIFFERENTIATION_NTAR_ID,0))</f>
      </c>
      <c r="T2" s="639" t="s">
        <v>120</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828"/>
      <c r="Q3" s="693"/>
      <c r="R3" s="694"/>
      <c r="S3" s="1834">
        <f>INDEX(PT_DIFFERENTIATION_NUM_TER,MATCH(B3,PT_DIFFERENTIATION_TER_ID,0))</f>
      </c>
      <c r="T3" s="649" t="s">
        <v>392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393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834">
        <f>INDEX(PT_DIFFERENTIATION_NUM_CS,MATCH(C4,PT_DIFFERENTIATION_CS_ID,0))</f>
      </c>
      <c r="T4" s="650" t="s">
        <v>511</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512</v>
      </c>
      <c r="AM4" s="841"/>
      <c r="AN4" s="841" t="str">
        <f>IF(T4="","",T4)</f>
        <v>Наименование централизованной системы водоотведения</v>
      </c>
      <c r="AO4" s="841"/>
      <c r="AP4" s="841"/>
      <c r="AQ4" s="1496">
        <v>0</v>
      </c>
    </row>
    <row customHeight="1" ht="23.25" hidden="1">
      <c r="A5" s="1704"/>
      <c r="B5" s="1704"/>
      <c r="C5" s="1704"/>
      <c r="D5" s="1704"/>
      <c r="E5" s="2600"/>
      <c r="F5" s="2600"/>
      <c r="G5" s="2600"/>
      <c r="H5" s="2600"/>
      <c r="I5" s="2597">
        <f>S4&amp;".1"</f>
      </c>
      <c r="J5" s="1704"/>
      <c r="K5" s="1704"/>
      <c r="L5" s="1705"/>
      <c r="P5" s="2598">
        <v>1</v>
      </c>
      <c r="Q5" s="1822"/>
      <c r="R5" s="697"/>
      <c r="S5" s="1834">
        <f>$I5</f>
      </c>
      <c r="T5" s="626" t="s">
        <v>478</v>
      </c>
      <c r="U5" s="641"/>
      <c r="V5" s="2691"/>
      <c r="W5" s="2692"/>
      <c r="X5" s="2692"/>
      <c r="Y5" s="2692"/>
      <c r="Z5" s="2692"/>
      <c r="AA5" s="2692"/>
      <c r="AB5" s="2693"/>
      <c r="AC5" s="2694"/>
      <c r="AD5" s="2695"/>
      <c r="AE5" s="2695"/>
      <c r="AF5" s="2695"/>
      <c r="AG5" s="2695"/>
      <c r="AH5" s="2695"/>
      <c r="AI5" s="2695"/>
      <c r="AJ5" s="2696"/>
      <c r="AK5" s="1599" t="s">
        <v>479</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401</v>
      </c>
      <c r="P6" s="2598"/>
      <c r="Q6" s="2598">
        <v>1</v>
      </c>
      <c r="R6" s="698"/>
      <c r="S6" s="1834">
        <f>$J6</f>
      </c>
      <c r="T6" s="627" t="s">
        <v>402</v>
      </c>
      <c r="U6" s="641"/>
      <c r="V6" s="2586"/>
      <c r="W6" s="2587"/>
      <c r="X6" s="2587"/>
      <c r="Y6" s="2587"/>
      <c r="Z6" s="2587"/>
      <c r="AA6" s="2587"/>
      <c r="AB6" s="2588"/>
      <c r="AC6" s="2586"/>
      <c r="AD6" s="2587"/>
      <c r="AE6" s="2587"/>
      <c r="AF6" s="2587"/>
      <c r="AG6" s="2587"/>
      <c r="AH6" s="2587"/>
      <c r="AI6" s="2587"/>
      <c r="AJ6" s="2588"/>
      <c r="AK6" s="1648" t="s">
        <v>480</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834">
        <f>$K7</f>
      </c>
      <c r="T7" s="1778"/>
      <c r="U7" s="641"/>
      <c r="V7" s="1092"/>
      <c r="W7" s="1092"/>
      <c r="X7" s="1598"/>
      <c r="Y7" s="2606"/>
      <c r="Z7" s="2448" t="s">
        <v>65</v>
      </c>
      <c r="AA7" s="2606"/>
      <c r="AB7" s="2448" t="s">
        <v>65</v>
      </c>
      <c r="AC7" s="1092"/>
      <c r="AD7" s="1092"/>
      <c r="AE7" s="1598"/>
      <c r="AF7" s="2606"/>
      <c r="AG7" s="2448" t="s">
        <v>65</v>
      </c>
      <c r="AH7" s="2628"/>
      <c r="AI7" s="2448" t="s">
        <v>65</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831"/>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481</v>
      </c>
      <c r="U9" s="708"/>
      <c r="V9" s="708"/>
      <c r="W9" s="708"/>
      <c r="X9" s="708"/>
      <c r="Y9" s="708"/>
      <c r="Z9" s="708"/>
      <c r="AA9" s="708"/>
      <c r="AB9" s="708"/>
      <c r="AC9" s="708"/>
      <c r="AD9" s="708"/>
      <c r="AE9" s="708"/>
      <c r="AF9" s="708"/>
      <c r="AG9" s="708"/>
      <c r="AH9" s="708"/>
      <c r="AI9" s="708"/>
      <c r="AJ9" s="708"/>
      <c r="AK9" s="1599" t="s">
        <v>482</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822"/>
      <c r="R10" s="697"/>
      <c r="S10" s="1619"/>
      <c r="T10" s="706" t="s">
        <v>407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483</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17316" customFormat="1" customHeight="1" ht="14.25" hidden="1">
      <c r="A12" s="1684"/>
      <c r="B12" s="1684"/>
      <c r="C12" s="1655"/>
      <c r="D12" s="1655"/>
      <c r="E12" s="2600"/>
      <c r="F12" s="2599"/>
      <c r="G12" s="1655"/>
      <c r="H12" s="1655"/>
      <c r="I12" s="1655"/>
      <c r="J12" s="1655"/>
      <c r="K12" s="1655"/>
      <c r="L12" s="1835"/>
      <c r="M12" s="1662"/>
      <c r="N12" s="1662"/>
      <c r="P12" s="1657"/>
      <c r="Q12" s="1658"/>
      <c r="R12" s="1657"/>
      <c r="S12" s="1663"/>
      <c r="T12" s="1666" t="s">
        <v>410</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1731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411</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65</v>
      </c>
      <c r="AH15" s="2608"/>
      <c r="AI15" s="2609" t="s">
        <v>65</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17315" customFormat="1" customHeight="1" ht="22.5" hidden="1">
      <c r="L18" s="1819"/>
      <c r="M18" s="1703"/>
      <c r="N18" s="1703"/>
      <c r="O18" s="1708" t="s">
        <v>412</v>
      </c>
      <c r="P18" s="1703"/>
      <c r="Q18" s="1712"/>
      <c r="R18" s="1712"/>
      <c r="S18" s="1070"/>
      <c r="Y18" s="1708"/>
      <c r="AA18" s="1708"/>
      <c r="AB18" s="1707"/>
      <c r="AF18" s="1708"/>
      <c r="AH18" s="1708"/>
      <c r="AI18" s="1707"/>
      <c r="AL18" s="852"/>
      <c r="AM18" s="852"/>
      <c r="AN18" s="852"/>
      <c r="AO18" s="852"/>
      <c r="AP18" s="852"/>
      <c r="AQ18" s="1501">
        <v>0</v>
      </c>
    </row>
    <row s="17315" customFormat="1" customHeight="1" ht="14.25" hidden="1">
      <c r="L19" s="1819"/>
      <c r="M19" s="1703"/>
      <c r="N19" s="1703"/>
      <c r="O19" s="1703"/>
      <c r="P19" s="1703"/>
      <c r="Q19" s="1712"/>
      <c r="R19" s="1712"/>
      <c r="S19" s="1070"/>
      <c r="AB19" s="1707"/>
      <c r="AI19" s="1707"/>
      <c r="AL19" s="852"/>
      <c r="AM19" s="852"/>
      <c r="AN19" s="852"/>
      <c r="AO19" s="852"/>
      <c r="AP19" s="852"/>
      <c r="AQ19" s="1501">
        <v>0</v>
      </c>
    </row>
    <row s="17315" customFormat="1" customHeight="1" ht="12" hidden="1">
      <c r="L20" s="1819"/>
      <c r="M20" s="1703"/>
      <c r="N20" s="1703"/>
      <c r="O20" s="1705" t="s">
        <v>413</v>
      </c>
      <c r="P20" s="1703"/>
      <c r="Q20" s="1783"/>
      <c r="R20" s="1783"/>
      <c r="S20" s="1070"/>
      <c r="T20" s="1501" t="s">
        <v>414</v>
      </c>
      <c r="Z20" s="527" t="s">
        <v>415</v>
      </c>
      <c r="AB20" s="527" t="s">
        <v>416</v>
      </c>
      <c r="AC20" s="1501" t="s">
        <v>414</v>
      </c>
      <c r="AG20" s="527" t="s">
        <v>417</v>
      </c>
      <c r="AI20" s="527" t="s">
        <v>416</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17442" customFormat="1" customHeight="1" ht="25.5" hidden="1">
      <c r="A27" s="1709"/>
      <c r="B27" s="1709"/>
      <c r="C27" s="1709"/>
      <c r="D27" s="1709"/>
      <c r="E27" s="1709"/>
      <c r="F27" s="1709"/>
      <c r="G27" s="1709"/>
      <c r="H27" s="1709"/>
      <c r="I27" s="1709"/>
      <c r="J27" s="1709"/>
      <c r="K27" s="1709"/>
      <c r="L27" s="1710"/>
      <c r="M27" s="1709"/>
      <c r="N27" s="1709"/>
      <c r="O27" s="1709"/>
      <c r="S27" s="2591" t="s">
        <v>41</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17442" customFormat="1" customHeight="1" ht="18.75" hidden="1">
      <c r="A28" s="1709"/>
      <c r="B28" s="1709"/>
      <c r="C28" s="1709"/>
      <c r="D28" s="1709"/>
      <c r="E28" s="1709"/>
      <c r="F28" s="1709"/>
      <c r="G28" s="1709"/>
      <c r="H28" s="1709"/>
      <c r="I28" s="1709"/>
      <c r="J28" s="1709"/>
      <c r="K28" s="1709"/>
      <c r="L28" s="1710"/>
      <c r="M28" s="1709"/>
      <c r="N28" s="1709"/>
      <c r="O28" s="1709"/>
      <c r="S28" s="2591" t="s">
        <v>418</v>
      </c>
      <c r="T28" s="2591"/>
      <c r="U28" s="1713"/>
      <c r="V28" s="2605" t="str">
        <f>IF(TITLE_DATE_PR_CHANGE="",IF(TITLE_DATE_PR="","",TITLE_DATE_PR),TITLE_DATE_PR_CHANGE)</f>
        <v/>
      </c>
      <c r="W28" s="2605"/>
      <c r="X28" s="2605"/>
      <c r="Y28" s="2605"/>
      <c r="Z28" s="2605"/>
      <c r="AA28" s="2605"/>
      <c r="AB28" s="667"/>
      <c r="AC28" s="2605" t="str">
        <f>IF(TITLE_DATE_PR_CHANGE="",IF(TITLE_DATE_PR="","",TITLE_DATE_PR),TITLE_DATE_PR_CHANGE)</f>
        <v/>
      </c>
      <c r="AD28" s="2605"/>
      <c r="AE28" s="2605"/>
      <c r="AF28" s="2605"/>
      <c r="AG28" s="2605"/>
      <c r="AH28" s="2605"/>
      <c r="AI28" s="667"/>
      <c r="AJ28" s="667"/>
      <c r="AK28" s="621"/>
      <c r="AL28" s="709"/>
      <c r="AM28" s="709"/>
      <c r="AN28" s="709"/>
      <c r="AO28" s="709"/>
      <c r="AP28" s="709"/>
      <c r="AQ28" s="759">
        <v>0</v>
      </c>
    </row>
    <row s="17442" customFormat="1" customHeight="1" ht="18.75" hidden="1">
      <c r="A29" s="1709"/>
      <c r="B29" s="1709"/>
      <c r="C29" s="1709"/>
      <c r="D29" s="1709"/>
      <c r="E29" s="1709"/>
      <c r="F29" s="1709"/>
      <c r="G29" s="1709"/>
      <c r="H29" s="1709"/>
      <c r="I29" s="1709"/>
      <c r="J29" s="1709"/>
      <c r="K29" s="1709"/>
      <c r="L29" s="1710"/>
      <c r="M29" s="1709"/>
      <c r="N29" s="1709"/>
      <c r="O29" s="1709"/>
      <c r="S29" s="2591" t="s">
        <v>419</v>
      </c>
      <c r="T29" s="2591"/>
      <c r="U29" s="1713"/>
      <c r="V29" s="2592" t="str">
        <f>IF(TITLE_NUMBER_PR_CHANGE="",IF(TITLE_NUMBER_PR="","",TITLE_NUMBER_PR),TITLE_NUMBER_PR_CHANGE)</f>
        <v/>
      </c>
      <c r="W29" s="2592"/>
      <c r="X29" s="2592"/>
      <c r="Y29" s="2592"/>
      <c r="Z29" s="2592"/>
      <c r="AA29" s="2592"/>
      <c r="AB29" s="667"/>
      <c r="AC29" s="2592" t="str">
        <f>IF(TITLE_NUMBER_PR_CHANGE="",IF(TITLE_NUMBER_PR="","",TITLE_NUMBER_PR),TITLE_NUMBER_PR_CHANGE)</f>
        <v/>
      </c>
      <c r="AD29" s="2592"/>
      <c r="AE29" s="2592"/>
      <c r="AF29" s="2592"/>
      <c r="AG29" s="2592"/>
      <c r="AH29" s="2592"/>
      <c r="AI29" s="667"/>
      <c r="AJ29" s="667"/>
      <c r="AK29" s="621"/>
      <c r="AL29" s="709"/>
      <c r="AM29" s="709"/>
      <c r="AN29" s="709"/>
      <c r="AO29" s="709"/>
      <c r="AP29" s="709"/>
      <c r="AQ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42</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hidden="1">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17442" customFormat="1" customHeight="1" ht="18.75" hidden="1">
      <c r="A32" s="1709"/>
      <c r="B32" s="1709"/>
      <c r="C32" s="1709"/>
      <c r="D32" s="1709"/>
      <c r="E32" s="1709"/>
      <c r="F32" s="1709"/>
      <c r="G32" s="1709"/>
      <c r="H32" s="1709"/>
      <c r="I32" s="1709"/>
      <c r="J32" s="1709"/>
      <c r="K32" s="1709"/>
      <c r="L32" s="1710"/>
      <c r="M32" s="1709"/>
      <c r="N32" s="1709"/>
      <c r="O32" s="1709"/>
      <c r="S32" s="2591" t="s">
        <v>420</v>
      </c>
      <c r="T32" s="2591"/>
      <c r="U32" s="1713"/>
      <c r="V32" s="2605" t="str">
        <f>IF(TITLE_DATE_PR_CHANGE="",IF(TITLE_DATE_PR="","",TITLE_DATE_PR),TITLE_DATE_PR_CHANGE)</f>
        <v/>
      </c>
      <c r="W32" s="2605"/>
      <c r="X32" s="2605"/>
      <c r="Y32" s="2605"/>
      <c r="Z32" s="2605"/>
      <c r="AA32" s="2605"/>
      <c r="AB32" s="667"/>
      <c r="AC32" s="2605" t="str">
        <f>IF(TITLE_DATE_PR_CHANGE="",IF(TITLE_DATE_PR="","",TITLE_DATE_PR),TITLE_DATE_PR_CHANGE)</f>
        <v/>
      </c>
      <c r="AD32" s="2605"/>
      <c r="AE32" s="2605"/>
      <c r="AF32" s="2605"/>
      <c r="AG32" s="2605"/>
      <c r="AH32" s="2605"/>
      <c r="AI32" s="667"/>
      <c r="AJ32" s="667"/>
      <c r="AK32" s="621"/>
      <c r="AL32" s="709"/>
      <c r="AM32" s="709"/>
      <c r="AN32" s="709"/>
      <c r="AO32" s="709"/>
      <c r="AP32" s="709"/>
      <c r="AQ32" s="759">
        <v>0</v>
      </c>
    </row>
    <row s="17442" customFormat="1" customHeight="1" ht="18.75" hidden="1">
      <c r="A33" s="1709"/>
      <c r="B33" s="1709"/>
      <c r="C33" s="1709"/>
      <c r="D33" s="1709"/>
      <c r="E33" s="1709"/>
      <c r="F33" s="1709"/>
      <c r="G33" s="1709"/>
      <c r="H33" s="1709"/>
      <c r="I33" s="1709"/>
      <c r="J33" s="1709"/>
      <c r="K33" s="1709"/>
      <c r="L33" s="1710"/>
      <c r="M33" s="1709"/>
      <c r="N33" s="1709"/>
      <c r="O33" s="1709"/>
      <c r="S33" s="2591" t="s">
        <v>421</v>
      </c>
      <c r="T33" s="2591"/>
      <c r="U33" s="1713"/>
      <c r="V33" s="2592" t="str">
        <f>IF(TITLE_NUMBER_PR_CHANGE="",IF(TITLE_NUMBER_PR="","",TITLE_NUMBER_PR),TITLE_NUMBER_PR_CHANGE)</f>
        <v/>
      </c>
      <c r="W33" s="2592"/>
      <c r="X33" s="2592"/>
      <c r="Y33" s="2592"/>
      <c r="Z33" s="2592"/>
      <c r="AA33" s="2592"/>
      <c r="AB33" s="667"/>
      <c r="AC33" s="2592" t="str">
        <f>IF(TITLE_NUMBER_PR_CHANGE="",IF(TITLE_NUMBER_PR="","",TITLE_NUMBER_PR),TITLE_NUMBER_PR_CHANGE)</f>
        <v/>
      </c>
      <c r="AD33" s="2592"/>
      <c r="AE33" s="2592"/>
      <c r="AF33" s="2592"/>
      <c r="AG33" s="2592"/>
      <c r="AH33" s="2592"/>
      <c r="AI33" s="667"/>
      <c r="AJ33" s="667"/>
      <c r="AK33" s="621"/>
      <c r="AL33" s="709"/>
      <c r="AM33" s="709"/>
      <c r="AN33" s="709"/>
      <c r="AO33" s="709"/>
      <c r="AP33" s="709"/>
      <c r="AQ33" s="759">
        <v>0</v>
      </c>
    </row>
    <row s="17442" customFormat="1" customHeight="1" ht="1.05">
      <c r="A34" s="1709"/>
      <c r="B34" s="1709"/>
      <c r="C34" s="1709"/>
      <c r="D34" s="1709"/>
      <c r="E34" s="1709"/>
      <c r="F34" s="1709"/>
      <c r="G34" s="1709"/>
      <c r="H34" s="1709"/>
      <c r="I34" s="1709"/>
      <c r="J34" s="1709"/>
      <c r="K34" s="1709"/>
      <c r="L34" s="1710"/>
      <c r="M34" s="1709"/>
      <c r="N34" s="1709"/>
      <c r="O34" s="1709"/>
      <c r="S34" s="664"/>
      <c r="T34" s="664"/>
      <c r="U34" s="1829"/>
      <c r="V34" s="667"/>
      <c r="W34" s="667"/>
      <c r="X34" s="667"/>
      <c r="Y34" s="667"/>
      <c r="Z34" s="667"/>
      <c r="AA34" s="667"/>
      <c r="AB34" s="619" t="s">
        <v>422</v>
      </c>
      <c r="AC34" s="667"/>
      <c r="AD34" s="667"/>
      <c r="AE34" s="667"/>
      <c r="AF34" s="667"/>
      <c r="AG34" s="667"/>
      <c r="AH34" s="667"/>
      <c r="AI34" s="619" t="s">
        <v>422</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295</v>
      </c>
      <c r="T36" s="2468"/>
      <c r="U36" s="2468"/>
      <c r="V36" s="2468"/>
      <c r="W36" s="2468"/>
      <c r="X36" s="2468"/>
      <c r="Y36" s="2468"/>
      <c r="Z36" s="2468"/>
      <c r="AA36" s="2468"/>
      <c r="AB36" s="2468"/>
      <c r="AC36" s="2468"/>
      <c r="AD36" s="2468"/>
      <c r="AE36" s="2468"/>
      <c r="AF36" s="2468"/>
      <c r="AG36" s="2468"/>
      <c r="AH36" s="2468"/>
      <c r="AI36" s="2468"/>
      <c r="AJ36" s="2468"/>
      <c r="AK36" s="2468" t="s">
        <v>296</v>
      </c>
      <c r="AQ36" s="1496">
        <v>14</v>
      </c>
    </row>
    <row customHeight="1" ht="14.699999999999998">
      <c r="Q37" s="717"/>
      <c r="R37" s="717"/>
      <c r="S37" s="2614" t="s">
        <v>88</v>
      </c>
      <c r="T37" s="2550" t="s">
        <v>423</v>
      </c>
      <c r="U37" s="642"/>
      <c r="V37" s="2615" t="s">
        <v>424</v>
      </c>
      <c r="W37" s="2616"/>
      <c r="X37" s="2616"/>
      <c r="Y37" s="2616"/>
      <c r="Z37" s="2616"/>
      <c r="AA37" s="2617"/>
      <c r="AB37" s="2618" t="s">
        <v>425</v>
      </c>
      <c r="AC37" s="2615" t="s">
        <v>424</v>
      </c>
      <c r="AD37" s="2616"/>
      <c r="AE37" s="2616"/>
      <c r="AF37" s="2616"/>
      <c r="AG37" s="2616"/>
      <c r="AH37" s="2617"/>
      <c r="AI37" s="2618" t="s">
        <v>426</v>
      </c>
      <c r="AJ37" s="2621" t="s">
        <v>427</v>
      </c>
      <c r="AK37" s="2468"/>
      <c r="AQ37" s="1496">
        <v>14</v>
      </c>
    </row>
    <row customHeight="1" ht="35.699999999999996">
      <c r="Q38" s="717"/>
      <c r="R38" s="717"/>
      <c r="S38" s="2614"/>
      <c r="T38" s="2550"/>
      <c r="U38" s="1372"/>
      <c r="V38" s="1824" t="s">
        <v>484</v>
      </c>
      <c r="W38" s="2603" t="s">
        <v>430</v>
      </c>
      <c r="X38" s="2604"/>
      <c r="Y38" s="2603" t="s">
        <v>431</v>
      </c>
      <c r="Z38" s="2610"/>
      <c r="AA38" s="2604"/>
      <c r="AB38" s="2619"/>
      <c r="AC38" s="1824" t="s">
        <v>484</v>
      </c>
      <c r="AD38" s="2603" t="s">
        <v>430</v>
      </c>
      <c r="AE38" s="2604"/>
      <c r="AF38" s="2603" t="s">
        <v>431</v>
      </c>
      <c r="AG38" s="2610"/>
      <c r="AH38" s="2604"/>
      <c r="AI38" s="2619"/>
      <c r="AJ38" s="2622"/>
      <c r="AK38" s="2468"/>
      <c r="AQ38" s="1496">
        <v>34</v>
      </c>
    </row>
    <row customHeight="1" ht="90.3">
      <c r="A39" s="1711"/>
      <c r="B39" s="1711" t="s">
        <v>132</v>
      </c>
      <c r="C39" s="1711" t="s">
        <v>133</v>
      </c>
      <c r="D39" s="1711" t="s">
        <v>134</v>
      </c>
      <c r="E39" s="1705" t="s">
        <v>432</v>
      </c>
      <c r="F39" s="1705" t="s">
        <v>433</v>
      </c>
      <c r="G39" s="1705" t="s">
        <v>434</v>
      </c>
      <c r="H39" s="1705"/>
      <c r="I39" s="1705" t="s">
        <v>485</v>
      </c>
      <c r="J39" s="1705" t="s">
        <v>437</v>
      </c>
      <c r="K39" s="1705" t="s">
        <v>486</v>
      </c>
      <c r="L39" s="1705" t="s">
        <v>413</v>
      </c>
      <c r="Q39" s="717"/>
      <c r="R39" s="717"/>
      <c r="S39" s="2614"/>
      <c r="T39" s="2550"/>
      <c r="U39" s="643"/>
      <c r="V39" s="1824" t="s">
        <v>513</v>
      </c>
      <c r="W39" s="1563" t="s">
        <v>514</v>
      </c>
      <c r="X39" s="1563" t="s">
        <v>489</v>
      </c>
      <c r="Y39" s="1830" t="s">
        <v>441</v>
      </c>
      <c r="Z39" s="2611" t="s">
        <v>442</v>
      </c>
      <c r="AA39" s="2612"/>
      <c r="AB39" s="2620"/>
      <c r="AC39" s="1824" t="s">
        <v>513</v>
      </c>
      <c r="AD39" s="1563" t="s">
        <v>514</v>
      </c>
      <c r="AE39" s="1563" t="s">
        <v>489</v>
      </c>
      <c r="AF39" s="1830" t="s">
        <v>441</v>
      </c>
      <c r="AG39" s="2611" t="s">
        <v>442</v>
      </c>
      <c r="AH39" s="2612"/>
      <c r="AI39" s="2620"/>
      <c r="AJ39" s="2623"/>
      <c r="AK39" s="2468"/>
      <c r="AQ39" s="1496">
        <v>86</v>
      </c>
    </row>
    <row s="17832" customFormat="1" customHeight="1" ht="11.25" hidden="1">
      <c r="A40" s="1711"/>
      <c r="B40" s="1711"/>
      <c r="C40" s="1711"/>
      <c r="D40" s="1711"/>
      <c r="E40" s="1711"/>
      <c r="F40" s="1711"/>
      <c r="G40" s="1711"/>
      <c r="H40" s="1711"/>
      <c r="I40" s="1711"/>
      <c r="J40" s="1711"/>
      <c r="K40" s="1711"/>
      <c r="L40" s="1705"/>
      <c r="M40" s="1703"/>
      <c r="N40" s="1703"/>
      <c r="O40" s="1703"/>
      <c r="P40" s="1587"/>
      <c r="Q40" s="1588"/>
      <c r="R40" s="1595">
        <v>1</v>
      </c>
      <c r="S40" s="1618" t="s">
        <v>106</v>
      </c>
      <c r="T40" s="1596" t="s">
        <v>107</v>
      </c>
      <c r="U40" s="1586" t="str">
        <f>OFFSET(U40,0,-1)</f>
        <v>2</v>
      </c>
      <c r="V40" s="1823">
        <f>OFFSET(V40,0,-1)+1</f>
        <v>3</v>
      </c>
      <c r="W40" s="1823">
        <f>OFFSET(W40,0,-1)+1</f>
        <v>4</v>
      </c>
      <c r="X40" s="1823">
        <f>OFFSET(X40,0,-1)+1</f>
        <v>5</v>
      </c>
      <c r="Y40" s="1823">
        <f>OFFSET(Y40,0,-1)+1</f>
        <v>6</v>
      </c>
      <c r="Z40" s="2613">
        <f>OFFSET(Z40,0,-1)+1</f>
        <v>7</v>
      </c>
      <c r="AA40" s="2613"/>
      <c r="AB40" s="1823">
        <f>OFFSET(AB40,0,-2)+1</f>
        <v>8</v>
      </c>
      <c r="AC40" s="1823">
        <f>OFFSET(AC40,0,-1)+1</f>
        <v>9</v>
      </c>
      <c r="AD40" s="1823">
        <f>OFFSET(AD40,0,-1)+1</f>
        <v>10</v>
      </c>
      <c r="AE40" s="1823">
        <f>OFFSET(AE40,0,-1)+1</f>
        <v>11</v>
      </c>
      <c r="AF40" s="1823">
        <f>OFFSET(AF40,0,-1)+1</f>
        <v>12</v>
      </c>
      <c r="AG40" s="2613">
        <f>OFFSET(AG40,0,-1)+1</f>
        <v>13</v>
      </c>
      <c r="AH40" s="2613"/>
      <c r="AI40" s="1823">
        <f>OFFSET(AI40,0,-2)+1</f>
        <v>14</v>
      </c>
      <c r="AJ40" s="1586">
        <f>OFFSET(AJ40,0,-1)</f>
        <v>14</v>
      </c>
      <c r="AK40" s="1823">
        <f>OFFSET(AK40,0,-1)+1</f>
        <v>15</v>
      </c>
      <c r="AL40" s="852"/>
      <c r="AM40" s="852"/>
      <c r="AN40" s="852"/>
      <c r="AO40" s="852"/>
      <c r="AP40" s="852"/>
      <c r="AQ40" s="837">
        <v>0</v>
      </c>
    </row>
    <row customHeight="1" ht="24">
      <c r="A41" s="1704" t="s">
        <v>261</v>
      </c>
      <c r="B41" s="1704"/>
      <c r="C41" s="1704"/>
      <c r="D41" s="1704"/>
      <c r="E41" s="2599">
        <v>1</v>
      </c>
      <c r="F41" s="1704"/>
      <c r="G41" s="1704"/>
      <c r="H41" s="1704"/>
      <c r="I41" s="1704"/>
      <c r="J41" s="1704"/>
      <c r="K41" s="1704"/>
      <c r="L41" s="1705"/>
      <c r="M41" s="1706"/>
      <c r="N41" s="1706"/>
      <c r="O41" s="1706"/>
      <c r="P41" s="702"/>
      <c r="Q41" s="701"/>
      <c r="R41" s="696"/>
      <c r="S41" s="1834">
        <f>INDEX(PT_DIFFERENTIATION_NUM_NTAR,MATCH(A41,PT_DIFFERENTIATION_NTAR_ID,0))</f>
        <v>0</v>
      </c>
      <c r="T41" s="639" t="s">
        <v>120</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261</v>
      </c>
      <c r="B42" s="1704" t="s">
        <v>262</v>
      </c>
      <c r="C42" s="1704"/>
      <c r="D42" s="1704"/>
      <c r="E42" s="2600"/>
      <c r="F42" s="2599">
        <v>1</v>
      </c>
      <c r="G42" s="1704"/>
      <c r="H42" s="1704"/>
      <c r="I42" s="1704"/>
      <c r="J42" s="1704"/>
      <c r="K42" s="1704"/>
      <c r="L42" s="1705"/>
      <c r="M42" s="1706"/>
      <c r="N42" s="1706"/>
      <c r="O42" s="1706"/>
      <c r="P42" s="1828"/>
      <c r="Q42" s="693"/>
      <c r="R42" s="694"/>
      <c r="S42" s="1834" t="str">
        <f>INDEX(PT_DIFFERENTIATION_NUM_TER,MATCH(B42,PT_DIFFERENTIATION_TER_ID,0))</f>
        <v>.</v>
      </c>
      <c r="T42" s="649" t="s">
        <v>392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393</v>
      </c>
      <c r="AM42" s="841"/>
      <c r="AN42" s="841" t="str">
        <f>IF(T42="","",T42)</f>
        <v>Территория действия тарифа</v>
      </c>
      <c r="AO42" s="841"/>
      <c r="AP42" s="841"/>
      <c r="AQ42" s="1496">
        <v>23</v>
      </c>
    </row>
    <row customHeight="1" ht="24">
      <c r="A43" s="1704" t="s">
        <v>261</v>
      </c>
      <c r="B43" s="1704" t="s">
        <v>262</v>
      </c>
      <c r="C43" s="1704" t="s">
        <v>263</v>
      </c>
      <c r="D43" s="1704"/>
      <c r="E43" s="2600"/>
      <c r="F43" s="2600"/>
      <c r="G43" s="2599">
        <v>1</v>
      </c>
      <c r="H43" s="1704"/>
      <c r="I43" s="1704"/>
      <c r="J43" s="1704"/>
      <c r="K43" s="1704"/>
      <c r="L43" s="1705"/>
      <c r="M43" s="1706"/>
      <c r="N43" s="1706"/>
      <c r="O43" s="1706"/>
      <c r="P43" s="695"/>
      <c r="Q43" s="693"/>
      <c r="R43" s="694"/>
      <c r="S43" s="1834" t="str">
        <f>INDEX(PT_DIFFERENTIATION_NUM_CS,MATCH(C43,PT_DIFFERENTIATION_CS_ID,0))</f>
        <v>..</v>
      </c>
      <c r="T43" s="650" t="s">
        <v>511</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512</v>
      </c>
      <c r="AM43" s="841"/>
      <c r="AN43" s="841" t="str">
        <f>IF(T43="","",T43)</f>
        <v>Наименование централизованной системы водоотведения</v>
      </c>
      <c r="AO43" s="841"/>
      <c r="AP43" s="841"/>
      <c r="AQ43" s="1496">
        <v>23</v>
      </c>
    </row>
    <row customHeight="1" ht="24">
      <c r="A44" s="1704" t="s">
        <v>261</v>
      </c>
      <c r="B44" s="1704" t="s">
        <v>262</v>
      </c>
      <c r="C44" s="1704" t="s">
        <v>263</v>
      </c>
      <c r="D44" s="1704" t="s">
        <v>515</v>
      </c>
      <c r="E44" s="2600"/>
      <c r="F44" s="2600"/>
      <c r="G44" s="2600"/>
      <c r="H44" s="2600"/>
      <c r="I44" s="2597" t="str">
        <f>S43&amp;".1"</f>
        <v>...1</v>
      </c>
      <c r="J44" s="1704"/>
      <c r="K44" s="1704"/>
      <c r="L44" s="1705"/>
      <c r="P44" s="2598">
        <v>1</v>
      </c>
      <c r="Q44" s="1822"/>
      <c r="R44" s="697"/>
      <c r="S44" s="1834" t="str">
        <f>$I44</f>
        <v>...1</v>
      </c>
      <c r="T44" s="626" t="s">
        <v>478</v>
      </c>
      <c r="U44" s="641"/>
      <c r="V44" s="2691"/>
      <c r="W44" s="2692"/>
      <c r="X44" s="2692"/>
      <c r="Y44" s="2692"/>
      <c r="Z44" s="2692"/>
      <c r="AA44" s="2692"/>
      <c r="AB44" s="2693"/>
      <c r="AC44" s="2694"/>
      <c r="AD44" s="2695"/>
      <c r="AE44" s="2695"/>
      <c r="AF44" s="2695"/>
      <c r="AG44" s="2695"/>
      <c r="AH44" s="2695"/>
      <c r="AI44" s="2695"/>
      <c r="AJ44" s="2696"/>
      <c r="AK44" s="1599" t="s">
        <v>479</v>
      </c>
      <c r="AM44" s="841"/>
      <c r="AN44" s="841" t="str">
        <f>IF(T44="","",T44)</f>
        <v>Наименование признака дифференциации</v>
      </c>
      <c r="AO44" s="841"/>
      <c r="AP44" s="841"/>
      <c r="AQ44" s="1496">
        <v>23</v>
      </c>
    </row>
    <row customHeight="1" ht="24">
      <c r="A45" s="1704" t="s">
        <v>261</v>
      </c>
      <c r="B45" s="1704" t="s">
        <v>262</v>
      </c>
      <c r="C45" s="1704" t="s">
        <v>263</v>
      </c>
      <c r="D45" s="1704" t="s">
        <v>515</v>
      </c>
      <c r="E45" s="2600"/>
      <c r="F45" s="2600"/>
      <c r="G45" s="2600"/>
      <c r="H45" s="2600"/>
      <c r="I45" s="2627"/>
      <c r="J45" s="2597" t="str">
        <f>I44&amp;".1"</f>
        <v>...1.1</v>
      </c>
      <c r="K45" s="1704"/>
      <c r="L45" s="1705" t="s">
        <v>401</v>
      </c>
      <c r="P45" s="2598"/>
      <c r="Q45" s="2598">
        <v>1</v>
      </c>
      <c r="R45" s="698"/>
      <c r="S45" s="1834" t="str">
        <f>$J45</f>
        <v>...1.1</v>
      </c>
      <c r="T45" s="627" t="s">
        <v>402</v>
      </c>
      <c r="U45" s="641"/>
      <c r="V45" s="2586"/>
      <c r="W45" s="2587"/>
      <c r="X45" s="2587"/>
      <c r="Y45" s="2587"/>
      <c r="Z45" s="2587"/>
      <c r="AA45" s="2587"/>
      <c r="AB45" s="2588"/>
      <c r="AC45" s="2586"/>
      <c r="AD45" s="2587"/>
      <c r="AE45" s="2587"/>
      <c r="AF45" s="2587"/>
      <c r="AG45" s="2587"/>
      <c r="AH45" s="2587"/>
      <c r="AI45" s="2587"/>
      <c r="AJ45" s="2588"/>
      <c r="AK45" s="1648" t="s">
        <v>480</v>
      </c>
      <c r="AM45" s="841"/>
      <c r="AN45" s="841" t="str">
        <f>IF(T45="","",T45)</f>
        <v>Группа потребителей</v>
      </c>
      <c r="AO45" s="841"/>
      <c r="AP45" s="841"/>
      <c r="AQ45" s="1496">
        <v>23</v>
      </c>
    </row>
    <row customHeight="1" ht="24">
      <c r="A46" s="1704" t="s">
        <v>261</v>
      </c>
      <c r="B46" s="1704" t="s">
        <v>262</v>
      </c>
      <c r="C46" s="1704" t="s">
        <v>263</v>
      </c>
      <c r="D46" s="1704" t="s">
        <v>515</v>
      </c>
      <c r="E46" s="2600"/>
      <c r="F46" s="2600"/>
      <c r="G46" s="2600"/>
      <c r="H46" s="2600"/>
      <c r="I46" s="2627"/>
      <c r="J46" s="2627"/>
      <c r="K46" s="2597" t="str">
        <f>J45&amp;".1"</f>
        <v>...1.1.1</v>
      </c>
      <c r="L46" s="1705"/>
      <c r="P46" s="2598"/>
      <c r="Q46" s="2598"/>
      <c r="R46" s="698">
        <v>1</v>
      </c>
      <c r="S46" s="1834" t="str">
        <f>$K46</f>
        <v>...1.1.1</v>
      </c>
      <c r="T46" s="1778"/>
      <c r="U46" s="641"/>
      <c r="V46" s="1701"/>
      <c r="W46" s="1701"/>
      <c r="X46" s="1702"/>
      <c r="Y46" s="2608"/>
      <c r="Z46" s="2609" t="s">
        <v>65</v>
      </c>
      <c r="AA46" s="2608"/>
      <c r="AB46" s="2609" t="s">
        <v>65</v>
      </c>
      <c r="AC46" s="1092"/>
      <c r="AD46" s="1092"/>
      <c r="AE46" s="1598"/>
      <c r="AF46" s="2606"/>
      <c r="AG46" s="2448" t="s">
        <v>65</v>
      </c>
      <c r="AH46" s="2628"/>
      <c r="AI46" s="2448" t="s">
        <v>19</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261</v>
      </c>
      <c r="B47" s="1704" t="s">
        <v>262</v>
      </c>
      <c r="C47" s="1704" t="s">
        <v>263</v>
      </c>
      <c r="D47" s="1704" t="s">
        <v>515</v>
      </c>
      <c r="E47" s="2600"/>
      <c r="F47" s="2600"/>
      <c r="G47" s="2600"/>
      <c r="H47" s="2600"/>
      <c r="I47" s="2627"/>
      <c r="J47" s="2627"/>
      <c r="K47" s="2597"/>
      <c r="L47" s="1705"/>
      <c r="P47" s="2598"/>
      <c r="Q47" s="2598"/>
      <c r="R47" s="698"/>
      <c r="S47" s="1831"/>
      <c r="T47" s="641"/>
      <c r="U47" s="641"/>
      <c r="V47" s="1701"/>
      <c r="W47" s="1701"/>
      <c r="X47" s="669" t="str">
        <f>Y46&amp;"-"&amp;AA46</f>
        <v>-</v>
      </c>
      <c r="Y47" s="2609"/>
      <c r="Z47" s="2609"/>
      <c r="AA47" s="2609"/>
      <c r="AB47" s="2609"/>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261</v>
      </c>
      <c r="B48" s="1704" t="s">
        <v>262</v>
      </c>
      <c r="C48" s="1704" t="s">
        <v>263</v>
      </c>
      <c r="D48" s="1704" t="s">
        <v>515</v>
      </c>
      <c r="E48" s="2600"/>
      <c r="F48" s="2600"/>
      <c r="G48" s="2600"/>
      <c r="H48" s="2600"/>
      <c r="I48" s="2627"/>
      <c r="J48" s="2597"/>
      <c r="K48" s="1704"/>
      <c r="L48" s="1705"/>
      <c r="P48" s="2598"/>
      <c r="Q48" s="2598"/>
      <c r="R48" s="697"/>
      <c r="S48" s="1619"/>
      <c r="T48" s="628" t="s">
        <v>481</v>
      </c>
      <c r="U48" s="708"/>
      <c r="V48" s="708"/>
      <c r="W48" s="708"/>
      <c r="X48" s="708"/>
      <c r="Y48" s="708"/>
      <c r="Z48" s="708"/>
      <c r="AA48" s="708"/>
      <c r="AB48" s="708"/>
      <c r="AC48" s="708"/>
      <c r="AD48" s="708"/>
      <c r="AE48" s="708"/>
      <c r="AF48" s="708"/>
      <c r="AG48" s="708"/>
      <c r="AH48" s="708"/>
      <c r="AI48" s="708"/>
      <c r="AJ48" s="708"/>
      <c r="AK48" s="1599" t="s">
        <v>482</v>
      </c>
      <c r="AM48" s="841"/>
      <c r="AN48" s="841" t="str">
        <f>IF(T48="","",T48)</f>
        <v>Добавить значение признака дифференциации</v>
      </c>
      <c r="AO48" s="841"/>
      <c r="AP48" s="841"/>
      <c r="AQ48" s="1496">
        <v>20</v>
      </c>
    </row>
    <row customHeight="1" ht="22.049999999999997">
      <c r="A49" s="1704" t="s">
        <v>261</v>
      </c>
      <c r="B49" s="1704" t="s">
        <v>262</v>
      </c>
      <c r="C49" s="1704" t="s">
        <v>263</v>
      </c>
      <c r="D49" s="1704" t="s">
        <v>515</v>
      </c>
      <c r="E49" s="2600"/>
      <c r="F49" s="2600"/>
      <c r="G49" s="2600"/>
      <c r="H49" s="2600"/>
      <c r="I49" s="2597"/>
      <c r="J49" s="1704"/>
      <c r="K49" s="1704"/>
      <c r="L49" s="1705"/>
      <c r="P49" s="2598"/>
      <c r="Q49" s="1822"/>
      <c r="R49" s="697"/>
      <c r="S49" s="1619"/>
      <c r="T49" s="706" t="s">
        <v>407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261</v>
      </c>
      <c r="B50" s="1704" t="s">
        <v>262</v>
      </c>
      <c r="C50" s="1704" t="s">
        <v>263</v>
      </c>
      <c r="D50" s="1704" t="s">
        <v>515</v>
      </c>
      <c r="E50" s="2600"/>
      <c r="F50" s="2600"/>
      <c r="G50" s="2600"/>
      <c r="H50" s="2599"/>
      <c r="I50" s="1704"/>
      <c r="J50" s="1704"/>
      <c r="K50" s="1704"/>
      <c r="L50" s="1705"/>
      <c r="M50" s="1706"/>
      <c r="N50" s="1706"/>
      <c r="O50" s="878"/>
      <c r="P50" s="701"/>
      <c r="Q50" s="716"/>
      <c r="R50" s="696"/>
      <c r="S50" s="1619"/>
      <c r="T50" s="713" t="s">
        <v>483</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17316" customFormat="1" customHeight="1" ht="0">
      <c r="A51" s="1684" t="s">
        <v>261</v>
      </c>
      <c r="B51" s="1684" t="s">
        <v>262</v>
      </c>
      <c r="C51" s="1655"/>
      <c r="D51" s="1655"/>
      <c r="E51" s="2600"/>
      <c r="F51" s="2599"/>
      <c r="G51" s="1655"/>
      <c r="H51" s="1655"/>
      <c r="I51" s="1655"/>
      <c r="J51" s="1655"/>
      <c r="K51" s="1655"/>
      <c r="L51" s="1835"/>
      <c r="M51" s="1662"/>
      <c r="N51" s="1662"/>
      <c r="P51" s="1657"/>
      <c r="Q51" s="1658"/>
      <c r="R51" s="1657"/>
      <c r="S51" s="1663"/>
      <c r="T51" s="1666" t="s">
        <v>410</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17316" customFormat="1" customHeight="1" ht="0">
      <c r="A52" s="1684" t="s">
        <v>261</v>
      </c>
      <c r="B52" s="1684"/>
      <c r="C52" s="1684"/>
      <c r="D52" s="1684"/>
      <c r="E52" s="2599"/>
      <c r="F52" s="1684"/>
      <c r="G52" s="1684"/>
      <c r="H52" s="1684"/>
      <c r="I52" s="1684"/>
      <c r="J52" s="1684"/>
      <c r="K52" s="1684"/>
      <c r="L52" s="1687"/>
      <c r="M52" s="1662"/>
      <c r="N52" s="1662"/>
      <c r="O52" s="859"/>
      <c r="P52" s="721"/>
      <c r="Q52" s="1685"/>
      <c r="R52" s="721"/>
      <c r="S52" s="1663"/>
      <c r="T52" s="1666" t="s">
        <v>411</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17316" customFormat="1" customHeight="1" ht="0">
      <c r="A53" s="1655"/>
      <c r="B53" s="1655"/>
      <c r="C53" s="1655"/>
      <c r="D53" s="1655"/>
      <c r="E53" s="1684"/>
      <c r="F53" s="1655"/>
      <c r="G53" s="1655"/>
      <c r="H53" s="1655"/>
      <c r="I53" s="1655"/>
      <c r="J53" s="1655"/>
      <c r="K53" s="1655"/>
      <c r="L53" s="1835"/>
      <c r="M53" s="1662"/>
      <c r="N53" s="1662"/>
      <c r="P53" s="1657"/>
      <c r="Q53" s="1658"/>
      <c r="R53" s="1657"/>
      <c r="S53" s="1663"/>
      <c r="T53" s="1666" t="s">
        <v>443</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82</v>
      </c>
      <c r="B58" s="1501">
        <v>0</v>
      </c>
      <c r="C58" s="1501">
        <v>0</v>
      </c>
      <c r="D58" s="1501">
        <v>0</v>
      </c>
      <c r="E58" s="1501">
        <v>0</v>
      </c>
      <c r="F58" s="1501">
        <v>0</v>
      </c>
      <c r="G58" s="1501">
        <v>0</v>
      </c>
      <c r="H58" s="1501">
        <v>0</v>
      </c>
      <c r="I58" s="1501">
        <v>0</v>
      </c>
      <c r="J58" s="1501">
        <v>0</v>
      </c>
      <c r="K58" s="1501">
        <v>0</v>
      </c>
      <c r="L58" s="1819">
        <v>0</v>
      </c>
      <c r="M58" s="1703">
        <v>0</v>
      </c>
      <c r="N58" s="1703">
        <v>0</v>
      </c>
      <c r="O58" s="1703">
        <v>0</v>
      </c>
      <c r="P58" s="1814">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54FF26-815D-AE86-7095-4B7109B4771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4.140625" hidden="1" customWidth="1"/>
    <col min="10" max="10" style="17315" width="9.8515625" hidden="1" customWidth="1"/>
    <col min="11" max="11" style="17315" width="14.71093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4" style="17239" width="24.7109375" hidden="1" customWidth="1"/>
    <col min="25" max="25" style="17239" width="11.7109375" hidden="1" customWidth="1"/>
    <col min="26" max="26" style="17239" width="3.7109375" hidden="1" customWidth="1"/>
    <col min="27" max="27" style="17239" width="11.7109375" hidden="1" customWidth="1"/>
    <col min="28" max="28" style="17239" width="8.57421875" hidden="1" customWidth="1"/>
    <col min="29" max="29" style="17239" width="24.7109375" customWidth="1"/>
    <col min="30" max="31" style="17239" width="24.00390625" customWidth="1"/>
    <col min="32" max="32" style="17239" width="11.00390625" customWidth="1"/>
    <col min="33" max="33" style="17239" width="3.7109375" customWidth="1"/>
    <col min="34" max="34" style="17239" width="11.00390625" customWidth="1"/>
    <col min="35" max="35" style="17239" width="8.57421875" hidden="1" customWidth="1"/>
    <col min="36" max="36" style="17239" width="4.00390625" customWidth="1"/>
    <col min="37" max="37" style="17239" width="115.00390625" customWidth="1"/>
    <col min="38" max="42" style="17316" width="10.00390625" customWidth="1"/>
    <col min="43" max="43" style="17239"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834">
        <f>INDEX(PT_DIFFERENTIATION_NUM_NTAR,MATCH(A2,PT_DIFFERENTIATION_NTAR_ID,0))</f>
      </c>
      <c r="T2" s="639" t="s">
        <v>120</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828"/>
      <c r="Q3" s="693"/>
      <c r="R3" s="694"/>
      <c r="S3" s="1834">
        <f>INDEX(PT_DIFFERENTIATION_NUM_TER,MATCH(B3,PT_DIFFERENTIATION_TER_ID,0))</f>
      </c>
      <c r="T3" s="649" t="s">
        <v>392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393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834">
        <f>INDEX(PT_DIFFERENTIATION_NUM_CS,MATCH(C4,PT_DIFFERENTIATION_CS_ID,0))</f>
      </c>
      <c r="T4" s="650" t="s">
        <v>511</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512</v>
      </c>
      <c r="AM4" s="841"/>
      <c r="AN4" s="841" t="str">
        <f>IF(T4="","",T4)</f>
        <v>Наименование централизованной системы водоотведения</v>
      </c>
      <c r="AO4" s="841"/>
      <c r="AP4" s="841"/>
      <c r="AQ4" s="1496">
        <v>0</v>
      </c>
    </row>
    <row customHeight="1" ht="23.25" hidden="1">
      <c r="A5" s="1704"/>
      <c r="B5" s="1704"/>
      <c r="C5" s="1704"/>
      <c r="D5" s="1704"/>
      <c r="E5" s="2600"/>
      <c r="F5" s="2600"/>
      <c r="G5" s="2600"/>
      <c r="H5" s="2600"/>
      <c r="I5" s="2597">
        <f>S4&amp;".1"</f>
      </c>
      <c r="J5" s="1704"/>
      <c r="K5" s="1704"/>
      <c r="L5" s="1705"/>
      <c r="P5" s="2598">
        <v>1</v>
      </c>
      <c r="Q5" s="1822"/>
      <c r="R5" s="697"/>
      <c r="S5" s="1834">
        <f>$I5</f>
      </c>
      <c r="T5" s="626" t="s">
        <v>478</v>
      </c>
      <c r="U5" s="641"/>
      <c r="V5" s="2691"/>
      <c r="W5" s="2692"/>
      <c r="X5" s="2692"/>
      <c r="Y5" s="2692"/>
      <c r="Z5" s="2692"/>
      <c r="AA5" s="2692"/>
      <c r="AB5" s="2693"/>
      <c r="AC5" s="2694"/>
      <c r="AD5" s="2695"/>
      <c r="AE5" s="2695"/>
      <c r="AF5" s="2695"/>
      <c r="AG5" s="2695"/>
      <c r="AH5" s="2695"/>
      <c r="AI5" s="2695"/>
      <c r="AJ5" s="2696"/>
      <c r="AK5" s="1599" t="s">
        <v>479</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401</v>
      </c>
      <c r="P6" s="2598"/>
      <c r="Q6" s="2598">
        <v>1</v>
      </c>
      <c r="R6" s="698"/>
      <c r="S6" s="1834">
        <f>$J6</f>
      </c>
      <c r="T6" s="627" t="s">
        <v>402</v>
      </c>
      <c r="U6" s="641"/>
      <c r="V6" s="2586"/>
      <c r="W6" s="2587"/>
      <c r="X6" s="2587"/>
      <c r="Y6" s="2587"/>
      <c r="Z6" s="2587"/>
      <c r="AA6" s="2587"/>
      <c r="AB6" s="2588"/>
      <c r="AC6" s="2586"/>
      <c r="AD6" s="2587"/>
      <c r="AE6" s="2587"/>
      <c r="AF6" s="2587"/>
      <c r="AG6" s="2587"/>
      <c r="AH6" s="2587"/>
      <c r="AI6" s="2587"/>
      <c r="AJ6" s="2588"/>
      <c r="AK6" s="1648" t="s">
        <v>480</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834">
        <f>$K7</f>
      </c>
      <c r="T7" s="1778"/>
      <c r="U7" s="641"/>
      <c r="V7" s="1092"/>
      <c r="W7" s="1092"/>
      <c r="X7" s="1598"/>
      <c r="Y7" s="2606"/>
      <c r="Z7" s="2448" t="s">
        <v>65</v>
      </c>
      <c r="AA7" s="2606"/>
      <c r="AB7" s="2448" t="s">
        <v>65</v>
      </c>
      <c r="AC7" s="1092"/>
      <c r="AD7" s="1092"/>
      <c r="AE7" s="1598"/>
      <c r="AF7" s="2606"/>
      <c r="AG7" s="2448" t="s">
        <v>65</v>
      </c>
      <c r="AH7" s="2628"/>
      <c r="AI7" s="2448" t="s">
        <v>65</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831"/>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481</v>
      </c>
      <c r="U9" s="708"/>
      <c r="V9" s="708"/>
      <c r="W9" s="708"/>
      <c r="X9" s="708"/>
      <c r="Y9" s="708"/>
      <c r="Z9" s="708"/>
      <c r="AA9" s="708"/>
      <c r="AB9" s="708"/>
      <c r="AC9" s="708"/>
      <c r="AD9" s="708"/>
      <c r="AE9" s="708"/>
      <c r="AF9" s="708"/>
      <c r="AG9" s="708"/>
      <c r="AH9" s="708"/>
      <c r="AI9" s="708"/>
      <c r="AJ9" s="708"/>
      <c r="AK9" s="1599" t="s">
        <v>482</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822"/>
      <c r="R10" s="697"/>
      <c r="S10" s="1619"/>
      <c r="T10" s="706" t="s">
        <v>407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483</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17316" customFormat="1" customHeight="1" ht="14.25" hidden="1">
      <c r="A12" s="1684"/>
      <c r="B12" s="1684"/>
      <c r="C12" s="1655"/>
      <c r="D12" s="1655"/>
      <c r="E12" s="2600"/>
      <c r="F12" s="2599"/>
      <c r="G12" s="1655"/>
      <c r="H12" s="1655"/>
      <c r="I12" s="1655"/>
      <c r="J12" s="1655"/>
      <c r="K12" s="1655"/>
      <c r="L12" s="1835"/>
      <c r="M12" s="1662"/>
      <c r="N12" s="1662"/>
      <c r="P12" s="1657"/>
      <c r="Q12" s="1658"/>
      <c r="R12" s="1657"/>
      <c r="S12" s="1663"/>
      <c r="T12" s="1666" t="s">
        <v>410</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1731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411</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65</v>
      </c>
      <c r="AH15" s="2608"/>
      <c r="AI15" s="2609" t="s">
        <v>65</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17315" customFormat="1" customHeight="1" ht="22.5" hidden="1">
      <c r="L18" s="1819"/>
      <c r="M18" s="1703"/>
      <c r="N18" s="1703"/>
      <c r="O18" s="1708" t="s">
        <v>412</v>
      </c>
      <c r="P18" s="1703"/>
      <c r="Q18" s="1712"/>
      <c r="R18" s="1712"/>
      <c r="S18" s="1070"/>
      <c r="Y18" s="1708"/>
      <c r="AA18" s="1708"/>
      <c r="AB18" s="1707"/>
      <c r="AF18" s="1708"/>
      <c r="AH18" s="1708"/>
      <c r="AI18" s="1707"/>
      <c r="AL18" s="852"/>
      <c r="AM18" s="852"/>
      <c r="AN18" s="852"/>
      <c r="AO18" s="852"/>
      <c r="AP18" s="852"/>
      <c r="AQ18" s="1501">
        <v>0</v>
      </c>
    </row>
    <row s="17315" customFormat="1" customHeight="1" ht="14.25" hidden="1">
      <c r="L19" s="1819"/>
      <c r="M19" s="1703"/>
      <c r="N19" s="1703"/>
      <c r="O19" s="1703"/>
      <c r="P19" s="1703"/>
      <c r="Q19" s="1712"/>
      <c r="R19" s="1712"/>
      <c r="S19" s="1070"/>
      <c r="AB19" s="1707"/>
      <c r="AI19" s="1707"/>
      <c r="AL19" s="852"/>
      <c r="AM19" s="852"/>
      <c r="AN19" s="852"/>
      <c r="AO19" s="852"/>
      <c r="AP19" s="852"/>
      <c r="AQ19" s="1501">
        <v>0</v>
      </c>
    </row>
    <row s="17315" customFormat="1" customHeight="1" ht="12" hidden="1">
      <c r="L20" s="1819"/>
      <c r="M20" s="1703"/>
      <c r="N20" s="1703"/>
      <c r="O20" s="1705" t="s">
        <v>413</v>
      </c>
      <c r="P20" s="1703"/>
      <c r="Q20" s="1783"/>
      <c r="R20" s="1783"/>
      <c r="S20" s="1070"/>
      <c r="T20" s="1501" t="s">
        <v>414</v>
      </c>
      <c r="Z20" s="527" t="s">
        <v>415</v>
      </c>
      <c r="AB20" s="527" t="s">
        <v>416</v>
      </c>
      <c r="AC20" s="1501" t="s">
        <v>414</v>
      </c>
      <c r="AG20" s="527" t="s">
        <v>417</v>
      </c>
      <c r="AI20" s="527" t="s">
        <v>416</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17442" customFormat="1" customHeight="1" ht="25.5" hidden="1">
      <c r="A27" s="1709"/>
      <c r="B27" s="1709"/>
      <c r="C27" s="1709"/>
      <c r="D27" s="1709"/>
      <c r="E27" s="1709"/>
      <c r="F27" s="1709"/>
      <c r="G27" s="1709"/>
      <c r="H27" s="1709"/>
      <c r="I27" s="1709"/>
      <c r="J27" s="1709"/>
      <c r="K27" s="1709"/>
      <c r="L27" s="1710"/>
      <c r="M27" s="1709"/>
      <c r="N27" s="1709"/>
      <c r="O27" s="1709"/>
      <c r="S27" s="2591" t="s">
        <v>41</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17442" customFormat="1" customHeight="1" ht="18.75" hidden="1">
      <c r="A28" s="1709"/>
      <c r="B28" s="1709"/>
      <c r="C28" s="1709"/>
      <c r="D28" s="1709"/>
      <c r="E28" s="1709"/>
      <c r="F28" s="1709"/>
      <c r="G28" s="1709"/>
      <c r="H28" s="1709"/>
      <c r="I28" s="1709"/>
      <c r="J28" s="1709"/>
      <c r="K28" s="1709"/>
      <c r="L28" s="1710"/>
      <c r="M28" s="1709"/>
      <c r="N28" s="1709"/>
      <c r="O28" s="1709"/>
      <c r="S28" s="2591" t="s">
        <v>418</v>
      </c>
      <c r="T28" s="2591"/>
      <c r="U28" s="1713"/>
      <c r="V28" s="2605" t="str">
        <f>IF(TITLE_DATE_PR_CHANGE="",IF(TITLE_DATE_PR="","",TITLE_DATE_PR),TITLE_DATE_PR_CHANGE)</f>
        <v/>
      </c>
      <c r="W28" s="2605"/>
      <c r="X28" s="2605"/>
      <c r="Y28" s="2605"/>
      <c r="Z28" s="2605"/>
      <c r="AA28" s="2605"/>
      <c r="AB28" s="667"/>
      <c r="AC28" s="2605" t="str">
        <f>IF(TITLE_DATE_PR_CHANGE="",IF(TITLE_DATE_PR="","",TITLE_DATE_PR),TITLE_DATE_PR_CHANGE)</f>
        <v/>
      </c>
      <c r="AD28" s="2605"/>
      <c r="AE28" s="2605"/>
      <c r="AF28" s="2605"/>
      <c r="AG28" s="2605"/>
      <c r="AH28" s="2605"/>
      <c r="AI28" s="667"/>
      <c r="AJ28" s="667"/>
      <c r="AK28" s="621"/>
      <c r="AL28" s="709"/>
      <c r="AM28" s="709"/>
      <c r="AN28" s="709"/>
      <c r="AO28" s="709"/>
      <c r="AP28" s="709"/>
      <c r="AQ28" s="759">
        <v>0</v>
      </c>
    </row>
    <row s="17442" customFormat="1" customHeight="1" ht="18.75" hidden="1">
      <c r="A29" s="1709"/>
      <c r="B29" s="1709"/>
      <c r="C29" s="1709"/>
      <c r="D29" s="1709"/>
      <c r="E29" s="1709"/>
      <c r="F29" s="1709"/>
      <c r="G29" s="1709"/>
      <c r="H29" s="1709"/>
      <c r="I29" s="1709"/>
      <c r="J29" s="1709"/>
      <c r="K29" s="1709"/>
      <c r="L29" s="1710"/>
      <c r="M29" s="1709"/>
      <c r="N29" s="1709"/>
      <c r="O29" s="1709"/>
      <c r="S29" s="2591" t="s">
        <v>419</v>
      </c>
      <c r="T29" s="2591"/>
      <c r="U29" s="1713"/>
      <c r="V29" s="2592" t="str">
        <f>IF(TITLE_NUMBER_PR_CHANGE="",IF(TITLE_NUMBER_PR="","",TITLE_NUMBER_PR),TITLE_NUMBER_PR_CHANGE)</f>
        <v/>
      </c>
      <c r="W29" s="2592"/>
      <c r="X29" s="2592"/>
      <c r="Y29" s="2592"/>
      <c r="Z29" s="2592"/>
      <c r="AA29" s="2592"/>
      <c r="AB29" s="667"/>
      <c r="AC29" s="2592" t="str">
        <f>IF(TITLE_NUMBER_PR_CHANGE="",IF(TITLE_NUMBER_PR="","",TITLE_NUMBER_PR),TITLE_NUMBER_PR_CHANGE)</f>
        <v/>
      </c>
      <c r="AD29" s="2592"/>
      <c r="AE29" s="2592"/>
      <c r="AF29" s="2592"/>
      <c r="AG29" s="2592"/>
      <c r="AH29" s="2592"/>
      <c r="AI29" s="667"/>
      <c r="AJ29" s="667"/>
      <c r="AK29" s="621"/>
      <c r="AL29" s="709"/>
      <c r="AM29" s="709"/>
      <c r="AN29" s="709"/>
      <c r="AO29" s="709"/>
      <c r="AP29" s="709"/>
      <c r="AQ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42</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hidden="1">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17442" customFormat="1" customHeight="1" ht="18.75" hidden="1">
      <c r="A32" s="1709"/>
      <c r="B32" s="1709"/>
      <c r="C32" s="1709"/>
      <c r="D32" s="1709"/>
      <c r="E32" s="1709"/>
      <c r="F32" s="1709"/>
      <c r="G32" s="1709"/>
      <c r="H32" s="1709"/>
      <c r="I32" s="1709"/>
      <c r="J32" s="1709"/>
      <c r="K32" s="1709"/>
      <c r="L32" s="1710"/>
      <c r="M32" s="1709"/>
      <c r="N32" s="1709"/>
      <c r="O32" s="1709"/>
      <c r="S32" s="2591" t="s">
        <v>420</v>
      </c>
      <c r="T32" s="2591"/>
      <c r="U32" s="1713"/>
      <c r="V32" s="2605" t="str">
        <f>IF(TITLE_DATE_PR_CHANGE="",IF(TITLE_DATE_PR="","",TITLE_DATE_PR),TITLE_DATE_PR_CHANGE)</f>
        <v/>
      </c>
      <c r="W32" s="2605"/>
      <c r="X32" s="2605"/>
      <c r="Y32" s="2605"/>
      <c r="Z32" s="2605"/>
      <c r="AA32" s="2605"/>
      <c r="AB32" s="667"/>
      <c r="AC32" s="2605" t="str">
        <f>IF(TITLE_DATE_PR_CHANGE="",IF(TITLE_DATE_PR="","",TITLE_DATE_PR),TITLE_DATE_PR_CHANGE)</f>
        <v/>
      </c>
      <c r="AD32" s="2605"/>
      <c r="AE32" s="2605"/>
      <c r="AF32" s="2605"/>
      <c r="AG32" s="2605"/>
      <c r="AH32" s="2605"/>
      <c r="AI32" s="667"/>
      <c r="AJ32" s="667"/>
      <c r="AK32" s="621"/>
      <c r="AL32" s="709"/>
      <c r="AM32" s="709"/>
      <c r="AN32" s="709"/>
      <c r="AO32" s="709"/>
      <c r="AP32" s="709"/>
      <c r="AQ32" s="759">
        <v>0</v>
      </c>
    </row>
    <row s="17442" customFormat="1" customHeight="1" ht="18.75" hidden="1">
      <c r="A33" s="1709"/>
      <c r="B33" s="1709"/>
      <c r="C33" s="1709"/>
      <c r="D33" s="1709"/>
      <c r="E33" s="1709"/>
      <c r="F33" s="1709"/>
      <c r="G33" s="1709"/>
      <c r="H33" s="1709"/>
      <c r="I33" s="1709"/>
      <c r="J33" s="1709"/>
      <c r="K33" s="1709"/>
      <c r="L33" s="1710"/>
      <c r="M33" s="1709"/>
      <c r="N33" s="1709"/>
      <c r="O33" s="1709"/>
      <c r="S33" s="2591" t="s">
        <v>421</v>
      </c>
      <c r="T33" s="2591"/>
      <c r="U33" s="1713"/>
      <c r="V33" s="2592" t="str">
        <f>IF(TITLE_NUMBER_PR_CHANGE="",IF(TITLE_NUMBER_PR="","",TITLE_NUMBER_PR),TITLE_NUMBER_PR_CHANGE)</f>
        <v/>
      </c>
      <c r="W33" s="2592"/>
      <c r="X33" s="2592"/>
      <c r="Y33" s="2592"/>
      <c r="Z33" s="2592"/>
      <c r="AA33" s="2592"/>
      <c r="AB33" s="667"/>
      <c r="AC33" s="2592" t="str">
        <f>IF(TITLE_NUMBER_PR_CHANGE="",IF(TITLE_NUMBER_PR="","",TITLE_NUMBER_PR),TITLE_NUMBER_PR_CHANGE)</f>
        <v/>
      </c>
      <c r="AD33" s="2592"/>
      <c r="AE33" s="2592"/>
      <c r="AF33" s="2592"/>
      <c r="AG33" s="2592"/>
      <c r="AH33" s="2592"/>
      <c r="AI33" s="667"/>
      <c r="AJ33" s="667"/>
      <c r="AK33" s="621"/>
      <c r="AL33" s="709"/>
      <c r="AM33" s="709"/>
      <c r="AN33" s="709"/>
      <c r="AO33" s="709"/>
      <c r="AP33" s="709"/>
      <c r="AQ33" s="759">
        <v>0</v>
      </c>
    </row>
    <row s="17442" customFormat="1" customHeight="1" ht="1.05">
      <c r="A34" s="1709"/>
      <c r="B34" s="1709"/>
      <c r="C34" s="1709"/>
      <c r="D34" s="1709"/>
      <c r="E34" s="1709"/>
      <c r="F34" s="1709"/>
      <c r="G34" s="1709"/>
      <c r="H34" s="1709"/>
      <c r="I34" s="1709"/>
      <c r="J34" s="1709"/>
      <c r="K34" s="1709"/>
      <c r="L34" s="1710"/>
      <c r="M34" s="1709"/>
      <c r="N34" s="1709"/>
      <c r="O34" s="1709"/>
      <c r="S34" s="664"/>
      <c r="T34" s="664"/>
      <c r="U34" s="1829"/>
      <c r="V34" s="667"/>
      <c r="W34" s="667"/>
      <c r="X34" s="667"/>
      <c r="Y34" s="667"/>
      <c r="Z34" s="667"/>
      <c r="AA34" s="667"/>
      <c r="AB34" s="619" t="s">
        <v>422</v>
      </c>
      <c r="AC34" s="667"/>
      <c r="AD34" s="667"/>
      <c r="AE34" s="667"/>
      <c r="AF34" s="667"/>
      <c r="AG34" s="667"/>
      <c r="AH34" s="667"/>
      <c r="AI34" s="619" t="s">
        <v>422</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295</v>
      </c>
      <c r="T36" s="2468"/>
      <c r="U36" s="2468"/>
      <c r="V36" s="2468"/>
      <c r="W36" s="2468"/>
      <c r="X36" s="2468"/>
      <c r="Y36" s="2468"/>
      <c r="Z36" s="2468"/>
      <c r="AA36" s="2468"/>
      <c r="AB36" s="2468"/>
      <c r="AC36" s="2468"/>
      <c r="AD36" s="2468"/>
      <c r="AE36" s="2468"/>
      <c r="AF36" s="2468"/>
      <c r="AG36" s="2468"/>
      <c r="AH36" s="2468"/>
      <c r="AI36" s="2468"/>
      <c r="AJ36" s="2468"/>
      <c r="AK36" s="2468" t="s">
        <v>296</v>
      </c>
      <c r="AQ36" s="1496">
        <v>14</v>
      </c>
    </row>
    <row customHeight="1" ht="14.699999999999998">
      <c r="Q37" s="717"/>
      <c r="R37" s="717"/>
      <c r="S37" s="2614" t="s">
        <v>88</v>
      </c>
      <c r="T37" s="2550" t="s">
        <v>423</v>
      </c>
      <c r="U37" s="642"/>
      <c r="V37" s="2615" t="s">
        <v>424</v>
      </c>
      <c r="W37" s="2616"/>
      <c r="X37" s="2616"/>
      <c r="Y37" s="2616"/>
      <c r="Z37" s="2616"/>
      <c r="AA37" s="2617"/>
      <c r="AB37" s="2618" t="s">
        <v>425</v>
      </c>
      <c r="AC37" s="2615" t="s">
        <v>424</v>
      </c>
      <c r="AD37" s="2616"/>
      <c r="AE37" s="2616"/>
      <c r="AF37" s="2616"/>
      <c r="AG37" s="2616"/>
      <c r="AH37" s="2617"/>
      <c r="AI37" s="2618" t="s">
        <v>426</v>
      </c>
      <c r="AJ37" s="2621" t="s">
        <v>427</v>
      </c>
      <c r="AK37" s="2468"/>
      <c r="AQ37" s="1496">
        <v>14</v>
      </c>
    </row>
    <row customHeight="1" ht="35.699999999999996">
      <c r="Q38" s="717"/>
      <c r="R38" s="717"/>
      <c r="S38" s="2614"/>
      <c r="T38" s="2550"/>
      <c r="U38" s="1372"/>
      <c r="V38" s="1824" t="s">
        <v>484</v>
      </c>
      <c r="W38" s="2603" t="s">
        <v>430</v>
      </c>
      <c r="X38" s="2604"/>
      <c r="Y38" s="2603" t="s">
        <v>431</v>
      </c>
      <c r="Z38" s="2610"/>
      <c r="AA38" s="2604"/>
      <c r="AB38" s="2619"/>
      <c r="AC38" s="1824" t="s">
        <v>484</v>
      </c>
      <c r="AD38" s="2603" t="s">
        <v>430</v>
      </c>
      <c r="AE38" s="2604"/>
      <c r="AF38" s="2603" t="s">
        <v>431</v>
      </c>
      <c r="AG38" s="2610"/>
      <c r="AH38" s="2604"/>
      <c r="AI38" s="2619"/>
      <c r="AJ38" s="2622"/>
      <c r="AK38" s="2468"/>
      <c r="AQ38" s="1496">
        <v>34</v>
      </c>
    </row>
    <row customHeight="1" ht="90.3">
      <c r="A39" s="1711"/>
      <c r="B39" s="1711" t="s">
        <v>132</v>
      </c>
      <c r="C39" s="1711" t="s">
        <v>133</v>
      </c>
      <c r="D39" s="1711" t="s">
        <v>134</v>
      </c>
      <c r="E39" s="1705" t="s">
        <v>432</v>
      </c>
      <c r="F39" s="1705" t="s">
        <v>433</v>
      </c>
      <c r="G39" s="1705" t="s">
        <v>434</v>
      </c>
      <c r="H39" s="1705"/>
      <c r="I39" s="1705" t="s">
        <v>485</v>
      </c>
      <c r="J39" s="1705" t="s">
        <v>437</v>
      </c>
      <c r="K39" s="1705" t="s">
        <v>486</v>
      </c>
      <c r="L39" s="1705" t="s">
        <v>413</v>
      </c>
      <c r="Q39" s="717"/>
      <c r="R39" s="717"/>
      <c r="S39" s="2614"/>
      <c r="T39" s="2550"/>
      <c r="U39" s="643"/>
      <c r="V39" s="1824" t="s">
        <v>513</v>
      </c>
      <c r="W39" s="1563" t="s">
        <v>514</v>
      </c>
      <c r="X39" s="1563" t="s">
        <v>489</v>
      </c>
      <c r="Y39" s="1830" t="s">
        <v>441</v>
      </c>
      <c r="Z39" s="2611" t="s">
        <v>442</v>
      </c>
      <c r="AA39" s="2612"/>
      <c r="AB39" s="2620"/>
      <c r="AC39" s="1824" t="s">
        <v>513</v>
      </c>
      <c r="AD39" s="1563" t="s">
        <v>514</v>
      </c>
      <c r="AE39" s="1563" t="s">
        <v>489</v>
      </c>
      <c r="AF39" s="1830" t="s">
        <v>441</v>
      </c>
      <c r="AG39" s="2611" t="s">
        <v>442</v>
      </c>
      <c r="AH39" s="2612"/>
      <c r="AI39" s="2620"/>
      <c r="AJ39" s="2623"/>
      <c r="AK39" s="2468"/>
      <c r="AQ39" s="1496">
        <v>86</v>
      </c>
    </row>
    <row s="17832" customFormat="1" customHeight="1" ht="0">
      <c r="A40" s="1711"/>
      <c r="B40" s="1711"/>
      <c r="C40" s="1711"/>
      <c r="D40" s="1711"/>
      <c r="E40" s="1711"/>
      <c r="F40" s="1711"/>
      <c r="G40" s="1711"/>
      <c r="H40" s="1711"/>
      <c r="I40" s="1711"/>
      <c r="J40" s="1711"/>
      <c r="K40" s="1711"/>
      <c r="L40" s="1705"/>
      <c r="M40" s="1703"/>
      <c r="N40" s="1703"/>
      <c r="O40" s="1703"/>
      <c r="P40" s="1587"/>
      <c r="Q40" s="1588"/>
      <c r="R40" s="1595">
        <v>1</v>
      </c>
      <c r="S40" s="1618" t="s">
        <v>106</v>
      </c>
      <c r="T40" s="1596" t="s">
        <v>107</v>
      </c>
      <c r="U40" s="1586" t="str">
        <f>OFFSET(U40,0,-1)</f>
        <v>2</v>
      </c>
      <c r="V40" s="1823">
        <f>OFFSET(V40,0,-1)+1</f>
        <v>3</v>
      </c>
      <c r="W40" s="1823">
        <f>OFFSET(W40,0,-1)+1</f>
        <v>4</v>
      </c>
      <c r="X40" s="1823">
        <f>OFFSET(X40,0,-1)+1</f>
        <v>5</v>
      </c>
      <c r="Y40" s="1823">
        <f>OFFSET(Y40,0,-1)+1</f>
        <v>6</v>
      </c>
      <c r="Z40" s="2613">
        <f>OFFSET(Z40,0,-1)+1</f>
        <v>7</v>
      </c>
      <c r="AA40" s="2613"/>
      <c r="AB40" s="1823">
        <f>OFFSET(AB40,0,-2)+1</f>
        <v>8</v>
      </c>
      <c r="AC40" s="1823">
        <f>OFFSET(AC40,0,-1)+1</f>
        <v>9</v>
      </c>
      <c r="AD40" s="1823">
        <f>OFFSET(AD40,0,-1)+1</f>
        <v>10</v>
      </c>
      <c r="AE40" s="1823">
        <f>OFFSET(AE40,0,-1)+1</f>
        <v>11</v>
      </c>
      <c r="AF40" s="1823">
        <f>OFFSET(AF40,0,-1)+1</f>
        <v>12</v>
      </c>
      <c r="AG40" s="2613">
        <f>OFFSET(AG40,0,-1)+1</f>
        <v>13</v>
      </c>
      <c r="AH40" s="2613"/>
      <c r="AI40" s="1823">
        <f>OFFSET(AI40,0,-2)+1</f>
        <v>14</v>
      </c>
      <c r="AJ40" s="1586">
        <f>OFFSET(AJ40,0,-1)</f>
        <v>14</v>
      </c>
      <c r="AK40" s="1823">
        <f>OFFSET(AK40,0,-1)+1</f>
        <v>15</v>
      </c>
      <c r="AL40" s="852"/>
      <c r="AM40" s="852"/>
      <c r="AN40" s="852"/>
      <c r="AO40" s="852"/>
      <c r="AP40" s="852"/>
      <c r="AQ40" s="837">
        <v>0</v>
      </c>
    </row>
    <row customHeight="1" ht="24">
      <c r="A41" s="1704" t="s">
        <v>266</v>
      </c>
      <c r="B41" s="1704"/>
      <c r="C41" s="1704"/>
      <c r="D41" s="1704"/>
      <c r="E41" s="2599">
        <v>1</v>
      </c>
      <c r="F41" s="1704"/>
      <c r="G41" s="1704"/>
      <c r="H41" s="1704"/>
      <c r="I41" s="1704"/>
      <c r="J41" s="1704"/>
      <c r="K41" s="1704"/>
      <c r="L41" s="1705"/>
      <c r="M41" s="1706"/>
      <c r="N41" s="1706"/>
      <c r="O41" s="1706"/>
      <c r="P41" s="702"/>
      <c r="Q41" s="701"/>
      <c r="R41" s="696"/>
      <c r="S41" s="1834">
        <f>INDEX(PT_DIFFERENTIATION_NUM_NTAR,MATCH(A41,PT_DIFFERENTIATION_NTAR_ID,0))</f>
        <v>0</v>
      </c>
      <c r="T41" s="639" t="s">
        <v>120</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266</v>
      </c>
      <c r="B42" s="1704" t="s">
        <v>267</v>
      </c>
      <c r="C42" s="1704"/>
      <c r="D42" s="1704"/>
      <c r="E42" s="2600"/>
      <c r="F42" s="2599">
        <v>1</v>
      </c>
      <c r="G42" s="1704"/>
      <c r="H42" s="1704"/>
      <c r="I42" s="1704"/>
      <c r="J42" s="1704"/>
      <c r="K42" s="1704"/>
      <c r="L42" s="1705"/>
      <c r="M42" s="1706"/>
      <c r="N42" s="1706"/>
      <c r="O42" s="1706"/>
      <c r="P42" s="1828"/>
      <c r="Q42" s="693"/>
      <c r="R42" s="694"/>
      <c r="S42" s="1834" t="str">
        <f>INDEX(PT_DIFFERENTIATION_NUM_TER,MATCH(B42,PT_DIFFERENTIATION_TER_ID,0))</f>
        <v>.</v>
      </c>
      <c r="T42" s="649" t="s">
        <v>392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393</v>
      </c>
      <c r="AM42" s="841"/>
      <c r="AN42" s="841" t="str">
        <f>IF(T42="","",T42)</f>
        <v>Территория действия тарифа</v>
      </c>
      <c r="AO42" s="841"/>
      <c r="AP42" s="841"/>
      <c r="AQ42" s="1496">
        <v>23</v>
      </c>
    </row>
    <row customHeight="1" ht="24">
      <c r="A43" s="1704" t="s">
        <v>266</v>
      </c>
      <c r="B43" s="1704" t="s">
        <v>267</v>
      </c>
      <c r="C43" s="1704" t="s">
        <v>268</v>
      </c>
      <c r="D43" s="1704"/>
      <c r="E43" s="2600"/>
      <c r="F43" s="2600"/>
      <c r="G43" s="2599">
        <v>1</v>
      </c>
      <c r="H43" s="1704"/>
      <c r="I43" s="1704"/>
      <c r="J43" s="1704"/>
      <c r="K43" s="1704"/>
      <c r="L43" s="1705"/>
      <c r="M43" s="1706"/>
      <c r="N43" s="1706"/>
      <c r="O43" s="1706"/>
      <c r="P43" s="695"/>
      <c r="Q43" s="693"/>
      <c r="R43" s="694"/>
      <c r="S43" s="1834" t="str">
        <f>INDEX(PT_DIFFERENTIATION_NUM_CS,MATCH(C43,PT_DIFFERENTIATION_CS_ID,0))</f>
        <v>..</v>
      </c>
      <c r="T43" s="650" t="s">
        <v>511</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512</v>
      </c>
      <c r="AM43" s="841"/>
      <c r="AN43" s="841" t="str">
        <f>IF(T43="","",T43)</f>
        <v>Наименование централизованной системы водоотведения</v>
      </c>
      <c r="AO43" s="841"/>
      <c r="AP43" s="841"/>
      <c r="AQ43" s="1496">
        <v>23</v>
      </c>
    </row>
    <row customHeight="1" ht="24">
      <c r="A44" s="1704" t="s">
        <v>266</v>
      </c>
      <c r="B44" s="1704" t="s">
        <v>267</v>
      </c>
      <c r="C44" s="1704" t="s">
        <v>268</v>
      </c>
      <c r="D44" s="1704" t="s">
        <v>516</v>
      </c>
      <c r="E44" s="2600"/>
      <c r="F44" s="2600"/>
      <c r="G44" s="2600"/>
      <c r="H44" s="2600"/>
      <c r="I44" s="2597" t="str">
        <f>S43&amp;".1"</f>
        <v>...1</v>
      </c>
      <c r="J44" s="1704"/>
      <c r="K44" s="1704"/>
      <c r="L44" s="1705"/>
      <c r="P44" s="2598">
        <v>1</v>
      </c>
      <c r="Q44" s="1822"/>
      <c r="R44" s="697"/>
      <c r="S44" s="1834" t="str">
        <f>$I44</f>
        <v>...1</v>
      </c>
      <c r="T44" s="626" t="s">
        <v>478</v>
      </c>
      <c r="U44" s="641"/>
      <c r="V44" s="2691"/>
      <c r="W44" s="2692"/>
      <c r="X44" s="2692"/>
      <c r="Y44" s="2692"/>
      <c r="Z44" s="2692"/>
      <c r="AA44" s="2692"/>
      <c r="AB44" s="2693"/>
      <c r="AC44" s="2694"/>
      <c r="AD44" s="2695"/>
      <c r="AE44" s="2695"/>
      <c r="AF44" s="2695"/>
      <c r="AG44" s="2695"/>
      <c r="AH44" s="2695"/>
      <c r="AI44" s="2695"/>
      <c r="AJ44" s="2696"/>
      <c r="AK44" s="1599" t="s">
        <v>479</v>
      </c>
      <c r="AM44" s="841"/>
      <c r="AN44" s="841" t="str">
        <f>IF(T44="","",T44)</f>
        <v>Наименование признака дифференциации</v>
      </c>
      <c r="AO44" s="841"/>
      <c r="AP44" s="841"/>
      <c r="AQ44" s="1496">
        <v>23</v>
      </c>
    </row>
    <row customHeight="1" ht="24">
      <c r="A45" s="1704" t="s">
        <v>266</v>
      </c>
      <c r="B45" s="1704" t="s">
        <v>267</v>
      </c>
      <c r="C45" s="1704" t="s">
        <v>268</v>
      </c>
      <c r="D45" s="1704" t="s">
        <v>516</v>
      </c>
      <c r="E45" s="2600"/>
      <c r="F45" s="2600"/>
      <c r="G45" s="2600"/>
      <c r="H45" s="2600"/>
      <c r="I45" s="2627"/>
      <c r="J45" s="2597" t="str">
        <f>I44&amp;".1"</f>
        <v>...1.1</v>
      </c>
      <c r="K45" s="1704"/>
      <c r="L45" s="1705" t="s">
        <v>401</v>
      </c>
      <c r="P45" s="2598"/>
      <c r="Q45" s="2598">
        <v>1</v>
      </c>
      <c r="R45" s="698"/>
      <c r="S45" s="1834" t="str">
        <f>$J45</f>
        <v>...1.1</v>
      </c>
      <c r="T45" s="627" t="s">
        <v>402</v>
      </c>
      <c r="U45" s="641"/>
      <c r="V45" s="2586"/>
      <c r="W45" s="2587"/>
      <c r="X45" s="2587"/>
      <c r="Y45" s="2587"/>
      <c r="Z45" s="2587"/>
      <c r="AA45" s="2587"/>
      <c r="AB45" s="2588"/>
      <c r="AC45" s="2586"/>
      <c r="AD45" s="2587"/>
      <c r="AE45" s="2587"/>
      <c r="AF45" s="2587"/>
      <c r="AG45" s="2587"/>
      <c r="AH45" s="2587"/>
      <c r="AI45" s="2587"/>
      <c r="AJ45" s="2588"/>
      <c r="AK45" s="1648" t="s">
        <v>480</v>
      </c>
      <c r="AM45" s="841"/>
      <c r="AN45" s="841" t="str">
        <f>IF(T45="","",T45)</f>
        <v>Группа потребителей</v>
      </c>
      <c r="AO45" s="841"/>
      <c r="AP45" s="841"/>
      <c r="AQ45" s="1496">
        <v>23</v>
      </c>
    </row>
    <row customHeight="1" ht="24">
      <c r="A46" s="1704" t="s">
        <v>266</v>
      </c>
      <c r="B46" s="1704" t="s">
        <v>267</v>
      </c>
      <c r="C46" s="1704" t="s">
        <v>268</v>
      </c>
      <c r="D46" s="1704" t="s">
        <v>516</v>
      </c>
      <c r="E46" s="2600"/>
      <c r="F46" s="2600"/>
      <c r="G46" s="2600"/>
      <c r="H46" s="2600"/>
      <c r="I46" s="2627"/>
      <c r="J46" s="2627"/>
      <c r="K46" s="2597" t="str">
        <f>J45&amp;".1"</f>
        <v>...1.1.1</v>
      </c>
      <c r="L46" s="1705"/>
      <c r="P46" s="2598"/>
      <c r="Q46" s="2598"/>
      <c r="R46" s="698">
        <v>1</v>
      </c>
      <c r="S46" s="1834" t="str">
        <f>$K46</f>
        <v>...1.1.1</v>
      </c>
      <c r="T46" s="1778"/>
      <c r="U46" s="641"/>
      <c r="V46" s="1701"/>
      <c r="W46" s="1701"/>
      <c r="X46" s="1702"/>
      <c r="Y46" s="2608"/>
      <c r="Z46" s="2609" t="s">
        <v>65</v>
      </c>
      <c r="AA46" s="2608"/>
      <c r="AB46" s="2609" t="s">
        <v>65</v>
      </c>
      <c r="AC46" s="1092"/>
      <c r="AD46" s="1092"/>
      <c r="AE46" s="1598"/>
      <c r="AF46" s="2606"/>
      <c r="AG46" s="2448" t="s">
        <v>65</v>
      </c>
      <c r="AH46" s="2628"/>
      <c r="AI46" s="2448" t="s">
        <v>19</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266</v>
      </c>
      <c r="B47" s="1704" t="s">
        <v>267</v>
      </c>
      <c r="C47" s="1704" t="s">
        <v>268</v>
      </c>
      <c r="D47" s="1704" t="s">
        <v>516</v>
      </c>
      <c r="E47" s="2600"/>
      <c r="F47" s="2600"/>
      <c r="G47" s="2600"/>
      <c r="H47" s="2600"/>
      <c r="I47" s="2627"/>
      <c r="J47" s="2627"/>
      <c r="K47" s="2597"/>
      <c r="L47" s="1705"/>
      <c r="P47" s="2598"/>
      <c r="Q47" s="2598"/>
      <c r="R47" s="698"/>
      <c r="S47" s="1831"/>
      <c r="T47" s="641"/>
      <c r="U47" s="641"/>
      <c r="V47" s="1701"/>
      <c r="W47" s="1701"/>
      <c r="X47" s="669" t="str">
        <f>Y46&amp;"-"&amp;AA46</f>
        <v>-</v>
      </c>
      <c r="Y47" s="2609"/>
      <c r="Z47" s="2609"/>
      <c r="AA47" s="2609"/>
      <c r="AB47" s="2609"/>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266</v>
      </c>
      <c r="B48" s="1704" t="s">
        <v>267</v>
      </c>
      <c r="C48" s="1704" t="s">
        <v>268</v>
      </c>
      <c r="D48" s="1704" t="s">
        <v>516</v>
      </c>
      <c r="E48" s="2600"/>
      <c r="F48" s="2600"/>
      <c r="G48" s="2600"/>
      <c r="H48" s="2600"/>
      <c r="I48" s="2627"/>
      <c r="J48" s="2597"/>
      <c r="K48" s="1704"/>
      <c r="L48" s="1705"/>
      <c r="P48" s="2598"/>
      <c r="Q48" s="2598"/>
      <c r="R48" s="697"/>
      <c r="S48" s="1619"/>
      <c r="T48" s="628" t="s">
        <v>481</v>
      </c>
      <c r="U48" s="708"/>
      <c r="V48" s="708"/>
      <c r="W48" s="708"/>
      <c r="X48" s="708"/>
      <c r="Y48" s="708"/>
      <c r="Z48" s="708"/>
      <c r="AA48" s="708"/>
      <c r="AB48" s="708"/>
      <c r="AC48" s="708"/>
      <c r="AD48" s="708"/>
      <c r="AE48" s="708"/>
      <c r="AF48" s="708"/>
      <c r="AG48" s="708"/>
      <c r="AH48" s="708"/>
      <c r="AI48" s="708"/>
      <c r="AJ48" s="708"/>
      <c r="AK48" s="1599" t="s">
        <v>482</v>
      </c>
      <c r="AM48" s="841"/>
      <c r="AN48" s="841" t="str">
        <f>IF(T48="","",T48)</f>
        <v>Добавить значение признака дифференциации</v>
      </c>
      <c r="AO48" s="841"/>
      <c r="AP48" s="841"/>
      <c r="AQ48" s="1496">
        <v>20</v>
      </c>
    </row>
    <row customHeight="1" ht="22.049999999999997">
      <c r="A49" s="1704" t="s">
        <v>266</v>
      </c>
      <c r="B49" s="1704" t="s">
        <v>267</v>
      </c>
      <c r="C49" s="1704" t="s">
        <v>268</v>
      </c>
      <c r="D49" s="1704" t="s">
        <v>516</v>
      </c>
      <c r="E49" s="2600"/>
      <c r="F49" s="2600"/>
      <c r="G49" s="2600"/>
      <c r="H49" s="2600"/>
      <c r="I49" s="2597"/>
      <c r="J49" s="1704"/>
      <c r="K49" s="1704"/>
      <c r="L49" s="1705"/>
      <c r="P49" s="2598"/>
      <c r="Q49" s="1822"/>
      <c r="R49" s="697"/>
      <c r="S49" s="1619"/>
      <c r="T49" s="706" t="s">
        <v>407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266</v>
      </c>
      <c r="B50" s="1704" t="s">
        <v>267</v>
      </c>
      <c r="C50" s="1704" t="s">
        <v>268</v>
      </c>
      <c r="D50" s="1704" t="s">
        <v>516</v>
      </c>
      <c r="E50" s="2600"/>
      <c r="F50" s="2600"/>
      <c r="G50" s="2600"/>
      <c r="H50" s="2599"/>
      <c r="I50" s="1704"/>
      <c r="J50" s="1704"/>
      <c r="K50" s="1704"/>
      <c r="L50" s="1705"/>
      <c r="M50" s="1706"/>
      <c r="N50" s="1706"/>
      <c r="O50" s="878"/>
      <c r="P50" s="701"/>
      <c r="Q50" s="716"/>
      <c r="R50" s="696"/>
      <c r="S50" s="1619"/>
      <c r="T50" s="713" t="s">
        <v>483</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17316" customFormat="1" customHeight="1" ht="0">
      <c r="A51" s="1684" t="s">
        <v>266</v>
      </c>
      <c r="B51" s="1684" t="s">
        <v>267</v>
      </c>
      <c r="C51" s="1655"/>
      <c r="D51" s="1655"/>
      <c r="E51" s="2600"/>
      <c r="F51" s="2599"/>
      <c r="G51" s="1655"/>
      <c r="H51" s="1655"/>
      <c r="I51" s="1655"/>
      <c r="J51" s="1655"/>
      <c r="K51" s="1655"/>
      <c r="L51" s="1835"/>
      <c r="M51" s="1662"/>
      <c r="N51" s="1662"/>
      <c r="P51" s="1657"/>
      <c r="Q51" s="1658"/>
      <c r="R51" s="1657"/>
      <c r="S51" s="1663"/>
      <c r="T51" s="1666" t="s">
        <v>410</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17316" customFormat="1" customHeight="1" ht="0">
      <c r="A52" s="1684" t="s">
        <v>266</v>
      </c>
      <c r="B52" s="1684"/>
      <c r="C52" s="1684"/>
      <c r="D52" s="1684"/>
      <c r="E52" s="2599"/>
      <c r="F52" s="1684"/>
      <c r="G52" s="1684"/>
      <c r="H52" s="1684"/>
      <c r="I52" s="1684"/>
      <c r="J52" s="1684"/>
      <c r="K52" s="1684"/>
      <c r="L52" s="1687"/>
      <c r="M52" s="1662"/>
      <c r="N52" s="1662"/>
      <c r="O52" s="859"/>
      <c r="P52" s="721"/>
      <c r="Q52" s="1685"/>
      <c r="R52" s="721"/>
      <c r="S52" s="1663"/>
      <c r="T52" s="1666" t="s">
        <v>411</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17316" customFormat="1" customHeight="1" ht="0">
      <c r="A53" s="1655"/>
      <c r="B53" s="1655"/>
      <c r="C53" s="1655"/>
      <c r="D53" s="1655"/>
      <c r="E53" s="1684"/>
      <c r="F53" s="1655"/>
      <c r="G53" s="1655"/>
      <c r="H53" s="1655"/>
      <c r="I53" s="1655"/>
      <c r="J53" s="1655"/>
      <c r="K53" s="1655"/>
      <c r="L53" s="1835"/>
      <c r="M53" s="1662"/>
      <c r="N53" s="1662"/>
      <c r="P53" s="1657"/>
      <c r="Q53" s="1658"/>
      <c r="R53" s="1657"/>
      <c r="S53" s="1663"/>
      <c r="T53" s="1666" t="s">
        <v>443</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82</v>
      </c>
      <c r="B58" s="1501">
        <v>0</v>
      </c>
      <c r="C58" s="1501">
        <v>0</v>
      </c>
      <c r="D58" s="1501">
        <v>0</v>
      </c>
      <c r="E58" s="1501">
        <v>0</v>
      </c>
      <c r="F58" s="1501">
        <v>0</v>
      </c>
      <c r="G58" s="1501">
        <v>0</v>
      </c>
      <c r="H58" s="1501">
        <v>0</v>
      </c>
      <c r="I58" s="1501">
        <v>0</v>
      </c>
      <c r="J58" s="1501">
        <v>0</v>
      </c>
      <c r="K58" s="1501">
        <v>0</v>
      </c>
      <c r="L58" s="1819">
        <v>0</v>
      </c>
      <c r="M58" s="1703">
        <v>0</v>
      </c>
      <c r="N58" s="1703">
        <v>0</v>
      </c>
      <c r="O58" s="1703">
        <v>0</v>
      </c>
      <c r="P58" s="1814">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2E4642-5E2E-DDA4-A594-6654EC4F2BBB}"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7315" width="11.57421875" hidden="1" customWidth="1"/>
    <col min="2" max="2" style="17315" width="11.00390625" hidden="1" customWidth="1"/>
    <col min="3" max="3" style="17315" width="10.57421875" hidden="1"/>
    <col min="4" max="4" style="17315" width="12.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7" width="3.7109375" hidden="1" customWidth="1"/>
    <col min="17" max="17" style="18263" width="3.7109375" hidden="1" customWidth="1"/>
    <col min="18" max="18" style="18079" width="3.00390625" customWidth="1"/>
    <col min="19" max="19" style="18080" width="12.00390625" customWidth="1"/>
    <col min="20" max="20" style="17239" width="31.00390625" customWidth="1"/>
    <col min="21" max="21" style="17239" width="0.140625" customWidth="1"/>
    <col min="22" max="25" style="17239" width="21.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3.7109375" customWidth="1"/>
    <col min="31" max="32" style="17239" width="3.00390625" customWidth="1"/>
    <col min="33" max="33" style="17239" width="24.00390625" customWidth="1"/>
    <col min="34" max="34" style="17239" width="3.7109375" customWidth="1"/>
    <col min="35" max="36" style="17239" width="3.00390625" customWidth="1"/>
    <col min="37" max="37" style="17239" width="24.00390625" customWidth="1"/>
    <col min="38" max="38" style="17239" width="3.7109375" customWidth="1"/>
    <col min="39" max="40" style="17239" width="3.00390625" customWidth="1"/>
    <col min="41" max="41" style="17239" width="18.00390625" customWidth="1"/>
    <col min="42" max="42" style="17239" width="3.7109375" customWidth="1"/>
    <col min="43" max="44" style="17239" width="3.00390625" customWidth="1"/>
    <col min="45" max="45" style="17239" width="18.00390625" customWidth="1"/>
    <col min="46" max="49" style="17239" width="21.00390625" customWidth="1"/>
    <col min="50" max="50" style="17239" width="11.00390625" customWidth="1"/>
    <col min="51" max="51" style="17239" width="3.7109375" customWidth="1"/>
    <col min="52" max="52" style="17239" width="11.00390625" customWidth="1"/>
    <col min="53" max="53" style="17239" width="8.57421875" hidden="1" customWidth="1"/>
    <col min="54" max="54" style="17239" width="4.00390625" customWidth="1"/>
    <col min="55" max="55" style="17239" width="115.00390625" customWidth="1"/>
    <col min="56" max="60" style="17316" width="10.00390625" customWidth="1"/>
    <col min="61" max="61" style="17239" width="10.57421875" hidden="1"/>
  </cols>
  <sheetData>
    <row customHeight="1" ht="22.5" hidden="1">
      <c r="W1" s="668"/>
      <c r="Y1" s="668"/>
      <c r="Z1" s="668"/>
      <c r="AW1" s="668"/>
      <c r="AX1" s="668"/>
      <c r="BI1" s="1496" t="s">
        <v>14</v>
      </c>
    </row>
    <row customHeight="1" ht="21" hidden="1">
      <c r="A2" s="1704"/>
      <c r="B2" s="1704"/>
      <c r="C2" s="1704"/>
      <c r="D2" s="1704"/>
      <c r="E2" s="2599">
        <v>1</v>
      </c>
      <c r="F2" s="1704"/>
      <c r="G2" s="1704"/>
      <c r="H2" s="1704"/>
      <c r="I2" s="1704"/>
      <c r="J2" s="1704"/>
      <c r="K2" s="1704"/>
      <c r="L2" s="1705"/>
      <c r="M2" s="1706"/>
      <c r="N2" s="1706"/>
      <c r="O2" s="1706"/>
      <c r="P2" s="1750"/>
      <c r="Q2" s="1214"/>
      <c r="R2" s="696"/>
      <c r="S2" s="1834">
        <f>INDEX(PT_DIFFERENTIATION_NUM_NTAR,MATCH(A2,PT_DIFFERENTIATION_NTAR_ID,0))</f>
      </c>
      <c r="T2" s="639" t="s">
        <v>120</v>
      </c>
      <c r="U2" s="641"/>
      <c r="V2" s="2584"/>
      <c r="W2" s="2584"/>
      <c r="X2" s="2584"/>
      <c r="Y2" s="2584"/>
      <c r="Z2" s="2584"/>
      <c r="AA2" s="2584"/>
      <c r="AB2" s="2584"/>
      <c r="AC2" s="2585"/>
      <c r="AD2" s="2583">
        <f>INDEX(PT_DIFFERENTIATION_NTAR,MATCH(A2,PT_DIFFERENTIATION_NTAR_ID,0))</f>
      </c>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5"/>
      <c r="BC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1"/>
      <c r="BF2" s="841" t="str">
        <f>IF(T2="","",T2)</f>
        <v>Наименование тарифа</v>
      </c>
      <c r="BG2" s="841"/>
      <c r="BH2" s="841"/>
      <c r="BI2" s="1496">
        <v>0</v>
      </c>
    </row>
    <row customHeight="1" ht="21" hidden="1">
      <c r="A3" s="1704"/>
      <c r="B3" s="1704"/>
      <c r="C3" s="1704"/>
      <c r="D3" s="1704"/>
      <c r="E3" s="2600"/>
      <c r="F3" s="2599">
        <v>1</v>
      </c>
      <c r="G3" s="1704"/>
      <c r="H3" s="1704"/>
      <c r="I3" s="1704"/>
      <c r="J3" s="1704"/>
      <c r="K3" s="1704"/>
      <c r="L3" s="1705"/>
      <c r="M3" s="1706"/>
      <c r="N3" s="1706"/>
      <c r="O3" s="1706"/>
      <c r="P3" s="1751"/>
      <c r="Q3" s="1752"/>
      <c r="R3" s="694"/>
      <c r="S3" s="1834">
        <f>INDEX(PT_DIFFERENTIATION_NUM_TER,MATCH(B3,PT_DIFFERENTIATION_TER_ID,0))</f>
      </c>
      <c r="T3" s="649" t="s">
        <v>392</v>
      </c>
      <c r="U3" s="641"/>
      <c r="V3" s="2584"/>
      <c r="W3" s="2584"/>
      <c r="X3" s="2584"/>
      <c r="Y3" s="2584"/>
      <c r="Z3" s="2584"/>
      <c r="AA3" s="2584"/>
      <c r="AB3" s="2584"/>
      <c r="AC3" s="2585"/>
      <c r="AD3" s="2583">
        <f>INDEX(PT_DIFFERENTIATION_TER,MATCH(B3,PT_DIFFERENTIATION_TER_ID,0))</f>
      </c>
      <c r="AE3" s="2584"/>
      <c r="AF3" s="2584"/>
      <c r="AG3" s="2584"/>
      <c r="AH3" s="2584"/>
      <c r="AI3" s="2584"/>
      <c r="AJ3" s="2584"/>
      <c r="AK3" s="2584"/>
      <c r="AL3" s="2584"/>
      <c r="AM3" s="2584"/>
      <c r="AN3" s="2584"/>
      <c r="AO3" s="2584"/>
      <c r="AP3" s="2584"/>
      <c r="AQ3" s="2584"/>
      <c r="AR3" s="2584"/>
      <c r="AS3" s="2584"/>
      <c r="AT3" s="2584"/>
      <c r="AU3" s="2584"/>
      <c r="AV3" s="2584"/>
      <c r="AW3" s="2584"/>
      <c r="AX3" s="2584"/>
      <c r="AY3" s="2584"/>
      <c r="AZ3" s="2584"/>
      <c r="BA3" s="2584"/>
      <c r="BB3" s="2585"/>
      <c r="BC3" s="1599" t="s">
        <v>393</v>
      </c>
      <c r="BE3" s="841"/>
      <c r="BF3" s="841" t="str">
        <f>IF(T3="","",T3)</f>
        <v>Территория действия тарифа</v>
      </c>
      <c r="BG3" s="841"/>
      <c r="BH3" s="841"/>
      <c r="BI3" s="1496">
        <v>0</v>
      </c>
    </row>
    <row customHeight="1" ht="33.75" hidden="1">
      <c r="A4" s="1704"/>
      <c r="B4" s="1704"/>
      <c r="C4" s="1704"/>
      <c r="D4" s="1704"/>
      <c r="E4" s="2600"/>
      <c r="F4" s="2600"/>
      <c r="G4" s="2599">
        <v>1</v>
      </c>
      <c r="H4" s="1704"/>
      <c r="I4" s="1704"/>
      <c r="J4" s="1704"/>
      <c r="K4" s="1704"/>
      <c r="L4" s="1705"/>
      <c r="M4" s="1706"/>
      <c r="N4" s="1706"/>
      <c r="O4" s="1706"/>
      <c r="P4" s="1753"/>
      <c r="Q4" s="1752"/>
      <c r="R4" s="694"/>
      <c r="S4" s="1834">
        <f>INDEX(PT_DIFFERENTIATION_NUM_CS,MATCH(C4,PT_DIFFERENTIATION_CS_ID,0))</f>
      </c>
      <c r="T4" s="650" t="s">
        <v>511</v>
      </c>
      <c r="U4" s="641"/>
      <c r="V4" s="2584"/>
      <c r="W4" s="2584"/>
      <c r="X4" s="2584"/>
      <c r="Y4" s="2584"/>
      <c r="Z4" s="2584"/>
      <c r="AA4" s="2584"/>
      <c r="AB4" s="2584"/>
      <c r="AC4" s="2585"/>
      <c r="AD4" s="2583">
        <f>INDEX(PT_DIFFERENTIATION_CS,MATCH(C4,PT_DIFFERENTIATION_CS_ID,0))</f>
      </c>
      <c r="AE4" s="2584"/>
      <c r="AF4" s="2584"/>
      <c r="AG4" s="2584"/>
      <c r="AH4" s="2584"/>
      <c r="AI4" s="2584"/>
      <c r="AJ4" s="2584"/>
      <c r="AK4" s="2584"/>
      <c r="AL4" s="2584"/>
      <c r="AM4" s="2584"/>
      <c r="AN4" s="2584"/>
      <c r="AO4" s="2584"/>
      <c r="AP4" s="2584"/>
      <c r="AQ4" s="2584"/>
      <c r="AR4" s="2584"/>
      <c r="AS4" s="2584"/>
      <c r="AT4" s="2584"/>
      <c r="AU4" s="2584"/>
      <c r="AV4" s="2584"/>
      <c r="AW4" s="2584"/>
      <c r="AX4" s="2584"/>
      <c r="AY4" s="2584"/>
      <c r="AZ4" s="2584"/>
      <c r="BA4" s="2584"/>
      <c r="BB4" s="2585"/>
      <c r="BC4" s="1599" t="s">
        <v>512</v>
      </c>
      <c r="BE4" s="841"/>
      <c r="BF4" s="841" t="str">
        <f>IF(T4="","",T4)</f>
        <v>Наименование централизованной системы водоотведения</v>
      </c>
      <c r="BG4" s="841"/>
      <c r="BH4" s="841"/>
      <c r="BI4" s="1496">
        <v>0</v>
      </c>
    </row>
    <row s="17316" customFormat="1" customHeight="1" ht="14.25" hidden="1">
      <c r="A5" s="1684"/>
      <c r="B5" s="1684"/>
      <c r="C5" s="1684"/>
      <c r="D5" s="1684"/>
      <c r="E5" s="2600"/>
      <c r="F5" s="2600"/>
      <c r="G5" s="2600"/>
      <c r="H5" s="2599">
        <v>1</v>
      </c>
      <c r="I5" s="1684"/>
      <c r="J5" s="1684"/>
      <c r="K5" s="1684"/>
      <c r="L5" s="1687"/>
      <c r="M5" s="1656"/>
      <c r="N5" s="1656"/>
      <c r="O5" s="1656"/>
      <c r="P5" s="1838"/>
      <c r="Q5" s="1839"/>
      <c r="R5" s="698"/>
      <c r="S5" s="1383"/>
      <c r="T5" s="1840"/>
      <c r="U5" s="1725"/>
      <c r="V5" s="2638"/>
      <c r="W5" s="2638"/>
      <c r="X5" s="2638"/>
      <c r="Y5" s="2638"/>
      <c r="Z5" s="2638"/>
      <c r="AA5" s="2638"/>
      <c r="AB5" s="2638"/>
      <c r="AC5" s="2639"/>
      <c r="AD5" s="2637"/>
      <c r="AE5" s="2638"/>
      <c r="AF5" s="2638"/>
      <c r="AG5" s="2638"/>
      <c r="AH5" s="2638"/>
      <c r="AI5" s="2638"/>
      <c r="AJ5" s="2638"/>
      <c r="AK5" s="2638"/>
      <c r="AL5" s="2638"/>
      <c r="AM5" s="2638"/>
      <c r="AN5" s="2638"/>
      <c r="AO5" s="2638"/>
      <c r="AP5" s="2638"/>
      <c r="AQ5" s="2638"/>
      <c r="AR5" s="2638"/>
      <c r="AS5" s="2638"/>
      <c r="AT5" s="2638"/>
      <c r="AU5" s="2638"/>
      <c r="AV5" s="2638"/>
      <c r="AW5" s="2638"/>
      <c r="AX5" s="2638"/>
      <c r="AY5" s="2638"/>
      <c r="AZ5" s="2638"/>
      <c r="BA5" s="2638"/>
      <c r="BB5" s="2639"/>
      <c r="BC5" s="1726" t="s">
        <v>397</v>
      </c>
      <c r="BE5" s="841"/>
      <c r="BF5" s="841" t="str">
        <f>IF(T5="","",T5)</f>
        <v/>
      </c>
      <c r="BG5" s="841"/>
      <c r="BH5" s="841"/>
      <c r="BI5" s="852">
        <v>0</v>
      </c>
    </row>
    <row s="17316" customFormat="1" customHeight="1" ht="14.25" hidden="1">
      <c r="A6" s="1684"/>
      <c r="B6" s="1684"/>
      <c r="C6" s="1684"/>
      <c r="D6" s="1684"/>
      <c r="E6" s="2600"/>
      <c r="F6" s="2600"/>
      <c r="G6" s="2600"/>
      <c r="H6" s="2600"/>
      <c r="I6" s="2597" t="str">
        <f>S5&amp;".1"</f>
        <v>.1</v>
      </c>
      <c r="J6" s="1684"/>
      <c r="K6" s="1684"/>
      <c r="L6" s="1687" t="s">
        <v>398</v>
      </c>
      <c r="M6" s="851"/>
      <c r="N6" s="851"/>
      <c r="O6" s="851"/>
      <c r="P6" s="2598">
        <v>1</v>
      </c>
      <c r="Q6" s="1822"/>
      <c r="R6" s="697"/>
      <c r="S6" s="1383"/>
      <c r="T6" s="1724"/>
      <c r="U6" s="1725"/>
      <c r="V6" s="2638"/>
      <c r="W6" s="2638"/>
      <c r="X6" s="2638"/>
      <c r="Y6" s="2638"/>
      <c r="Z6" s="2638"/>
      <c r="AA6" s="2638"/>
      <c r="AB6" s="2638"/>
      <c r="AC6" s="2639"/>
      <c r="AD6" s="2637"/>
      <c r="AE6" s="2638"/>
      <c r="AF6" s="2638"/>
      <c r="AG6" s="2638"/>
      <c r="AH6" s="2638"/>
      <c r="AI6" s="2638"/>
      <c r="AJ6" s="2638"/>
      <c r="AK6" s="2638"/>
      <c r="AL6" s="2638"/>
      <c r="AM6" s="2638"/>
      <c r="AN6" s="2638"/>
      <c r="AO6" s="2638"/>
      <c r="AP6" s="2638"/>
      <c r="AQ6" s="2638"/>
      <c r="AR6" s="2638"/>
      <c r="AS6" s="2638"/>
      <c r="AT6" s="2638"/>
      <c r="AU6" s="2638"/>
      <c r="AV6" s="2638"/>
      <c r="AW6" s="2638"/>
      <c r="AX6" s="2638"/>
      <c r="AY6" s="2638"/>
      <c r="AZ6" s="2638"/>
      <c r="BA6" s="2638"/>
      <c r="BB6" s="2639"/>
      <c r="BC6" s="1726"/>
      <c r="BE6" s="841"/>
      <c r="BF6" s="841" t="str">
        <f>IF(T6="","",T6)</f>
        <v/>
      </c>
      <c r="BG6" s="841"/>
      <c r="BH6" s="841"/>
      <c r="BI6" s="852">
        <v>0</v>
      </c>
    </row>
    <row s="17316" customFormat="1" customHeight="1" ht="14.25" hidden="1">
      <c r="A7" s="1684"/>
      <c r="B7" s="1684"/>
      <c r="C7" s="1684"/>
      <c r="D7" s="1684"/>
      <c r="E7" s="2600"/>
      <c r="F7" s="2600"/>
      <c r="G7" s="2600"/>
      <c r="H7" s="2600"/>
      <c r="I7" s="2627"/>
      <c r="J7" s="2597" t="str">
        <f>S5&amp;".1"</f>
        <v>.1</v>
      </c>
      <c r="K7" s="1684"/>
      <c r="L7" s="1687"/>
      <c r="M7" s="851"/>
      <c r="N7" s="851"/>
      <c r="O7" s="851"/>
      <c r="P7" s="2598"/>
      <c r="Q7" s="2598">
        <v>1</v>
      </c>
      <c r="R7" s="698"/>
      <c r="S7" s="1383"/>
      <c r="T7" s="1740"/>
      <c r="U7" s="1725"/>
      <c r="V7" s="2638"/>
      <c r="W7" s="2638"/>
      <c r="X7" s="2638"/>
      <c r="Y7" s="2638"/>
      <c r="Z7" s="2638"/>
      <c r="AA7" s="2638"/>
      <c r="AB7" s="2638"/>
      <c r="AC7" s="2639"/>
      <c r="AD7" s="2637"/>
      <c r="AE7" s="2638"/>
      <c r="AF7" s="2638"/>
      <c r="AG7" s="2638"/>
      <c r="AH7" s="2638"/>
      <c r="AI7" s="2638"/>
      <c r="AJ7" s="2638"/>
      <c r="AK7" s="2638"/>
      <c r="AL7" s="2638"/>
      <c r="AM7" s="2638"/>
      <c r="AN7" s="2638"/>
      <c r="AO7" s="2638"/>
      <c r="AP7" s="2638"/>
      <c r="AQ7" s="2638"/>
      <c r="AR7" s="2638"/>
      <c r="AS7" s="2638"/>
      <c r="AT7" s="2638"/>
      <c r="AU7" s="2638"/>
      <c r="AV7" s="2638"/>
      <c r="AW7" s="2638"/>
      <c r="AX7" s="2638"/>
      <c r="AY7" s="2638"/>
      <c r="AZ7" s="2638"/>
      <c r="BA7" s="2638"/>
      <c r="BB7" s="2639"/>
      <c r="BC7" s="1726"/>
      <c r="BE7" s="841"/>
      <c r="BF7" s="841" t="str">
        <f>IF(T7="","",T7)</f>
        <v/>
      </c>
      <c r="BG7" s="841"/>
      <c r="BH7" s="841"/>
      <c r="BI7" s="852">
        <v>0</v>
      </c>
    </row>
    <row customHeight="1" ht="11.25" hidden="1">
      <c r="A8" s="1704"/>
      <c r="B8" s="1704"/>
      <c r="C8" s="1704"/>
      <c r="D8" s="1704"/>
      <c r="E8" s="2600"/>
      <c r="F8" s="2600"/>
      <c r="G8" s="2600"/>
      <c r="H8" s="2600"/>
      <c r="I8" s="2627"/>
      <c r="J8" s="2627"/>
      <c r="K8" s="2597">
        <f>S4&amp;".1"</f>
      </c>
      <c r="L8" s="1705"/>
      <c r="P8" s="2598"/>
      <c r="Q8" s="2598"/>
      <c r="R8" s="2688">
        <v>1</v>
      </c>
      <c r="S8" s="2682">
        <f>$K8</f>
      </c>
      <c r="T8" s="2701"/>
      <c r="U8" s="641"/>
      <c r="V8" s="1092"/>
      <c r="W8" s="1598"/>
      <c r="X8" s="1092"/>
      <c r="Y8" s="1598"/>
      <c r="Z8" s="2075"/>
      <c r="AA8" s="1810" t="s">
        <v>65</v>
      </c>
      <c r="AB8" s="2075"/>
      <c r="AC8" s="1810" t="s">
        <v>65</v>
      </c>
      <c r="AD8" s="2526" t="s">
        <v>65</v>
      </c>
      <c r="AE8" s="2667"/>
      <c r="AF8" s="2546">
        <v>1</v>
      </c>
      <c r="AG8" s="2704"/>
      <c r="AH8" s="2448" t="s">
        <v>65</v>
      </c>
      <c r="AI8" s="2667"/>
      <c r="AJ8" s="2546">
        <v>1</v>
      </c>
      <c r="AK8" s="2668" t="s">
        <v>22</v>
      </c>
      <c r="AL8" s="2448" t="s">
        <v>65</v>
      </c>
      <c r="AM8" s="2533"/>
      <c r="AN8" s="2546">
        <v>1</v>
      </c>
      <c r="AO8" s="2698"/>
      <c r="AP8" s="2699" t="s">
        <v>65</v>
      </c>
      <c r="AQ8" s="652"/>
      <c r="AR8" s="1827">
        <v>1</v>
      </c>
      <c r="AS8" s="1833" t="s">
        <v>22</v>
      </c>
      <c r="AT8" s="1092"/>
      <c r="AU8" s="1598"/>
      <c r="AV8" s="1092"/>
      <c r="AW8" s="1598"/>
      <c r="AX8" s="2075"/>
      <c r="AY8" s="1810" t="s">
        <v>65</v>
      </c>
      <c r="AZ8" s="2075"/>
      <c r="BA8" s="1810" t="s">
        <v>65</v>
      </c>
      <c r="BB8" s="1689"/>
      <c r="BC8" s="2594" t="s">
        <v>496</v>
      </c>
      <c r="BE8" s="841"/>
      <c r="BF8" s="841" t="str">
        <f>IF(T8="","",T8)</f>
        <v/>
      </c>
      <c r="BG8" s="841"/>
      <c r="BH8" s="841"/>
      <c r="BI8" s="1496">
        <v>0</v>
      </c>
    </row>
    <row customHeight="1" ht="11.25" hidden="1">
      <c r="A9" s="1704"/>
      <c r="B9" s="1704"/>
      <c r="C9" s="1704"/>
      <c r="D9" s="1704"/>
      <c r="E9" s="2600"/>
      <c r="F9" s="2600"/>
      <c r="G9" s="2600"/>
      <c r="H9" s="2600"/>
      <c r="I9" s="2627"/>
      <c r="J9" s="2627"/>
      <c r="K9" s="2597"/>
      <c r="L9" s="1705"/>
      <c r="P9" s="2598"/>
      <c r="Q9" s="2598"/>
      <c r="R9" s="2688"/>
      <c r="S9" s="2683"/>
      <c r="T9" s="2702"/>
      <c r="U9" s="641"/>
      <c r="V9" s="1734"/>
      <c r="W9" s="1837"/>
      <c r="X9" s="1734"/>
      <c r="Y9" s="1837"/>
      <c r="Z9" s="1734"/>
      <c r="AA9" s="1734"/>
      <c r="AB9" s="1734"/>
      <c r="AC9" s="1734"/>
      <c r="AD9" s="2527"/>
      <c r="AE9" s="2667"/>
      <c r="AF9" s="2546"/>
      <c r="AG9" s="2704"/>
      <c r="AH9" s="2448"/>
      <c r="AI9" s="2667"/>
      <c r="AJ9" s="2546"/>
      <c r="AK9" s="2668"/>
      <c r="AL9" s="2448"/>
      <c r="AM9" s="2541"/>
      <c r="AN9" s="2546"/>
      <c r="AO9" s="2698"/>
      <c r="AP9" s="2700"/>
      <c r="AQ9" s="657"/>
      <c r="AR9" s="757"/>
      <c r="AS9" s="757" t="s">
        <v>497</v>
      </c>
      <c r="AT9" s="1734"/>
      <c r="AU9" s="1837"/>
      <c r="AV9" s="1734"/>
      <c r="AW9" s="1837"/>
      <c r="AX9" s="1734"/>
      <c r="AY9" s="1734"/>
      <c r="AZ9" s="1734"/>
      <c r="BA9" s="1734"/>
      <c r="BB9" s="1738"/>
      <c r="BC9" s="2595"/>
      <c r="BE9" s="841"/>
      <c r="BF9" s="841"/>
      <c r="BG9" s="841"/>
      <c r="BH9" s="841"/>
      <c r="BI9" s="1496">
        <v>0</v>
      </c>
    </row>
    <row customHeight="1" ht="11.25" hidden="1">
      <c r="A10" s="1704"/>
      <c r="B10" s="1704"/>
      <c r="C10" s="1704"/>
      <c r="D10" s="1704"/>
      <c r="E10" s="2600"/>
      <c r="F10" s="2600"/>
      <c r="G10" s="2600"/>
      <c r="H10" s="2600"/>
      <c r="I10" s="2627"/>
      <c r="J10" s="2627"/>
      <c r="K10" s="2597"/>
      <c r="L10" s="1705"/>
      <c r="P10" s="2598"/>
      <c r="Q10" s="2598"/>
      <c r="R10" s="2688"/>
      <c r="S10" s="2683"/>
      <c r="T10" s="2702"/>
      <c r="U10" s="641"/>
      <c r="V10" s="1734"/>
      <c r="W10" s="1837"/>
      <c r="X10" s="1734"/>
      <c r="Y10" s="1837"/>
      <c r="Z10" s="1734"/>
      <c r="AA10" s="1734"/>
      <c r="AB10" s="1734"/>
      <c r="AC10" s="1734"/>
      <c r="AD10" s="2527"/>
      <c r="AE10" s="2667"/>
      <c r="AF10" s="2546"/>
      <c r="AG10" s="2704"/>
      <c r="AH10" s="2448"/>
      <c r="AI10" s="2667"/>
      <c r="AJ10" s="2546"/>
      <c r="AK10" s="2668"/>
      <c r="AL10" s="2448"/>
      <c r="AM10" s="657"/>
      <c r="AN10" s="1841"/>
      <c r="AO10" s="1841" t="s">
        <v>517</v>
      </c>
      <c r="AP10" s="757"/>
      <c r="AQ10" s="757"/>
      <c r="AR10" s="757"/>
      <c r="AS10" s="1734"/>
      <c r="AT10" s="1734"/>
      <c r="AU10" s="1837"/>
      <c r="AV10" s="1734"/>
      <c r="AW10" s="1837"/>
      <c r="AX10" s="1734"/>
      <c r="AY10" s="1734"/>
      <c r="AZ10" s="1734"/>
      <c r="BA10" s="1734"/>
      <c r="BB10" s="1738"/>
      <c r="BC10" s="2595"/>
      <c r="BE10" s="841"/>
      <c r="BF10" s="841"/>
      <c r="BG10" s="841"/>
      <c r="BH10" s="841"/>
      <c r="BI10" s="1496">
        <v>0</v>
      </c>
    </row>
    <row customHeight="1" ht="11.25" hidden="1">
      <c r="A11" s="1704"/>
      <c r="B11" s="1704"/>
      <c r="C11" s="1704"/>
      <c r="D11" s="1704"/>
      <c r="E11" s="2600"/>
      <c r="F11" s="2600"/>
      <c r="G11" s="2600"/>
      <c r="H11" s="2600"/>
      <c r="I11" s="2627"/>
      <c r="J11" s="2627"/>
      <c r="K11" s="2597"/>
      <c r="L11" s="1705"/>
      <c r="P11" s="2598"/>
      <c r="Q11" s="2598"/>
      <c r="R11" s="2688"/>
      <c r="S11" s="2683"/>
      <c r="T11" s="2702"/>
      <c r="U11" s="641"/>
      <c r="V11" s="1734"/>
      <c r="W11" s="1837"/>
      <c r="X11" s="1734"/>
      <c r="Y11" s="1837"/>
      <c r="Z11" s="1734"/>
      <c r="AA11" s="1734"/>
      <c r="AB11" s="1734"/>
      <c r="AC11" s="1734"/>
      <c r="AD11" s="2527"/>
      <c r="AE11" s="2667"/>
      <c r="AF11" s="2546"/>
      <c r="AG11" s="2704"/>
      <c r="AH11" s="2448"/>
      <c r="AI11" s="635"/>
      <c r="AJ11" s="756"/>
      <c r="AK11" s="654" t="s">
        <v>518</v>
      </c>
      <c r="AL11" s="1734"/>
      <c r="AM11" s="1734"/>
      <c r="AN11" s="1734"/>
      <c r="AO11" s="1734"/>
      <c r="AP11" s="1734"/>
      <c r="AQ11" s="1734"/>
      <c r="AR11" s="1734"/>
      <c r="AS11" s="1734"/>
      <c r="AT11" s="1734"/>
      <c r="AU11" s="1837"/>
      <c r="AV11" s="1734"/>
      <c r="AW11" s="1837"/>
      <c r="AX11" s="1734"/>
      <c r="AY11" s="1734"/>
      <c r="AZ11" s="1734"/>
      <c r="BA11" s="1734"/>
      <c r="BB11" s="1738"/>
      <c r="BC11" s="2595"/>
      <c r="BE11" s="841"/>
      <c r="BF11" s="841"/>
      <c r="BG11" s="841"/>
      <c r="BH11" s="841"/>
      <c r="BI11" s="1496">
        <v>0</v>
      </c>
    </row>
    <row customHeight="1" ht="11.25" hidden="1">
      <c r="A12" s="1704"/>
      <c r="B12" s="1704"/>
      <c r="C12" s="1704"/>
      <c r="D12" s="1704"/>
      <c r="E12" s="2600"/>
      <c r="F12" s="2600"/>
      <c r="G12" s="2600"/>
      <c r="H12" s="2600"/>
      <c r="I12" s="2627"/>
      <c r="J12" s="2627"/>
      <c r="K12" s="2597"/>
      <c r="L12" s="1705"/>
      <c r="P12" s="2598"/>
      <c r="Q12" s="2598"/>
      <c r="R12" s="2688"/>
      <c r="S12" s="2684"/>
      <c r="T12" s="2703"/>
      <c r="U12" s="641"/>
      <c r="V12" s="1734"/>
      <c r="W12" s="1735" t="str">
        <f>Z8&amp;"-"&amp;AB8</f>
        <v>-</v>
      </c>
      <c r="X12" s="1734"/>
      <c r="Y12" s="1735" t="str">
        <f>AB8&amp;"-"&amp;AD8</f>
        <v>-да</v>
      </c>
      <c r="Z12" s="1734"/>
      <c r="AA12" s="1734"/>
      <c r="AB12" s="1734"/>
      <c r="AC12" s="1734"/>
      <c r="AD12" s="2453"/>
      <c r="AE12" s="653"/>
      <c r="AF12" s="655"/>
      <c r="AG12" s="757" t="s">
        <v>500</v>
      </c>
      <c r="AH12" s="1734"/>
      <c r="AI12" s="1734"/>
      <c r="AJ12" s="1734"/>
      <c r="AK12" s="1734"/>
      <c r="AL12" s="1734"/>
      <c r="AM12" s="1734"/>
      <c r="AN12" s="1734"/>
      <c r="AO12" s="1734"/>
      <c r="AP12" s="1734"/>
      <c r="AQ12" s="1734"/>
      <c r="AR12" s="1734"/>
      <c r="AS12" s="1734"/>
      <c r="AT12" s="1734"/>
      <c r="AU12" s="1735" t="str">
        <f>AX8&amp;"-"&amp;AZ8</f>
        <v>-</v>
      </c>
      <c r="AV12" s="1734"/>
      <c r="AW12" s="1735" t="str">
        <f>AZ8&amp;"-"&amp;BB8</f>
        <v>-</v>
      </c>
      <c r="AX12" s="1734"/>
      <c r="AY12" s="1734"/>
      <c r="AZ12" s="1734"/>
      <c r="BA12" s="1734"/>
      <c r="BB12" s="1737" t="str">
        <f>BE8&amp;"-"&amp;BG8</f>
        <v>-</v>
      </c>
      <c r="BC12" s="2595"/>
      <c r="BE12" s="841"/>
      <c r="BF12" s="841" t="str">
        <f>IF(T12="","",T12)</f>
        <v/>
      </c>
      <c r="BG12" s="841"/>
      <c r="BH12" s="841"/>
      <c r="BI12" s="1496">
        <v>0</v>
      </c>
    </row>
    <row customHeight="1" ht="11.25" hidden="1">
      <c r="A13" s="1704"/>
      <c r="B13" s="1704"/>
      <c r="C13" s="1704"/>
      <c r="D13" s="1704"/>
      <c r="E13" s="2600"/>
      <c r="F13" s="2600"/>
      <c r="G13" s="2600"/>
      <c r="H13" s="2600"/>
      <c r="I13" s="2627"/>
      <c r="J13" s="2597"/>
      <c r="K13" s="1704"/>
      <c r="L13" s="1705"/>
      <c r="P13" s="2598"/>
      <c r="Q13" s="2598"/>
      <c r="R13" s="697"/>
      <c r="S13" s="1619"/>
      <c r="T13" s="628" t="s">
        <v>463</v>
      </c>
      <c r="U13" s="708"/>
      <c r="V13" s="708"/>
      <c r="W13" s="708"/>
      <c r="X13" s="708"/>
      <c r="Y13" s="708"/>
      <c r="Z13" s="708"/>
      <c r="AA13" s="708"/>
      <c r="AB13" s="708"/>
      <c r="AC13" s="708"/>
      <c r="AD13" s="1846"/>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665"/>
      <c r="BC13" s="2596"/>
      <c r="BE13" s="841"/>
      <c r="BF13" s="841" t="str">
        <f>IF(T13="","",T13)</f>
        <v>Добавить строку</v>
      </c>
      <c r="BG13" s="841"/>
      <c r="BH13" s="841"/>
      <c r="BI13" s="1496">
        <v>0</v>
      </c>
    </row>
    <row s="17316" customFormat="1" customHeight="1" ht="14.25" hidden="1">
      <c r="A14" s="1684"/>
      <c r="B14" s="1684"/>
      <c r="C14" s="1684"/>
      <c r="D14" s="1684"/>
      <c r="E14" s="2600"/>
      <c r="F14" s="2600"/>
      <c r="G14" s="2600"/>
      <c r="H14" s="2600"/>
      <c r="I14" s="2597"/>
      <c r="J14" s="1684"/>
      <c r="K14" s="1684"/>
      <c r="L14" s="1687"/>
      <c r="M14" s="851"/>
      <c r="N14" s="851"/>
      <c r="O14" s="851"/>
      <c r="P14" s="2598"/>
      <c r="Q14" s="1822"/>
      <c r="R14" s="697"/>
      <c r="S14" s="1727"/>
      <c r="T14" s="1728"/>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1729"/>
      <c r="AU14" s="1729"/>
      <c r="AV14" s="1729"/>
      <c r="AW14" s="1729"/>
      <c r="AX14" s="1729"/>
      <c r="AY14" s="1729"/>
      <c r="AZ14" s="1729"/>
      <c r="BA14" s="1729"/>
      <c r="BB14" s="1729"/>
      <c r="BC14" s="1730"/>
      <c r="BE14" s="841"/>
      <c r="BF14" s="841" t="str">
        <f>IF(T14="","",T14)</f>
        <v/>
      </c>
      <c r="BG14" s="841"/>
      <c r="BH14" s="841"/>
      <c r="BI14" s="852">
        <v>0</v>
      </c>
    </row>
    <row s="17316" customFormat="1" customHeight="1" ht="14.25" hidden="1">
      <c r="A15" s="1684"/>
      <c r="B15" s="1684"/>
      <c r="C15" s="1684"/>
      <c r="D15" s="1684"/>
      <c r="E15" s="2600"/>
      <c r="F15" s="2600"/>
      <c r="G15" s="2600"/>
      <c r="H15" s="2599"/>
      <c r="I15" s="1684"/>
      <c r="J15" s="1684"/>
      <c r="K15" s="1684"/>
      <c r="L15" s="1687"/>
      <c r="M15" s="1656"/>
      <c r="N15" s="1656"/>
      <c r="O15" s="859"/>
      <c r="P15" s="721"/>
      <c r="Q15" s="1685"/>
      <c r="R15" s="1742"/>
      <c r="S15" s="1727"/>
      <c r="T15" s="1728"/>
      <c r="U15" s="1729"/>
      <c r="V15" s="1729"/>
      <c r="W15" s="1729"/>
      <c r="X15" s="1729"/>
      <c r="Y15" s="1729"/>
      <c r="Z15" s="1729"/>
      <c r="AA15" s="1729"/>
      <c r="AB15" s="1729"/>
      <c r="AC15" s="1729"/>
      <c r="AD15" s="1729"/>
      <c r="AE15" s="1729"/>
      <c r="AF15" s="1729"/>
      <c r="AG15" s="1729"/>
      <c r="AH15" s="1729"/>
      <c r="AI15" s="1729"/>
      <c r="AJ15" s="1729"/>
      <c r="AK15" s="1729"/>
      <c r="AL15" s="1729"/>
      <c r="AM15" s="1729"/>
      <c r="AN15" s="1729"/>
      <c r="AO15" s="1729"/>
      <c r="AP15" s="1729"/>
      <c r="AQ15" s="1729"/>
      <c r="AR15" s="1729"/>
      <c r="AS15" s="1729"/>
      <c r="AT15" s="1729"/>
      <c r="AU15" s="1729"/>
      <c r="AV15" s="1729"/>
      <c r="AW15" s="1729"/>
      <c r="AX15" s="1729"/>
      <c r="AY15" s="1729"/>
      <c r="AZ15" s="1729"/>
      <c r="BA15" s="1729"/>
      <c r="BB15" s="1729"/>
      <c r="BC15" s="1730"/>
      <c r="BE15" s="841"/>
      <c r="BF15" s="841" t="str">
        <f>IF(T15="","",T15)</f>
        <v/>
      </c>
      <c r="BG15" s="841"/>
      <c r="BH15" s="841"/>
      <c r="BI15" s="852">
        <v>0</v>
      </c>
    </row>
    <row s="17316" customFormat="1" customHeight="1" ht="14.25" hidden="1">
      <c r="A16" s="1684"/>
      <c r="B16" s="1684"/>
      <c r="C16" s="1684"/>
      <c r="D16" s="1655"/>
      <c r="E16" s="2600"/>
      <c r="F16" s="2600"/>
      <c r="G16" s="2599"/>
      <c r="H16" s="1655"/>
      <c r="I16" s="1655"/>
      <c r="J16" s="1655"/>
      <c r="K16" s="1655"/>
      <c r="L16" s="1835"/>
      <c r="M16" s="1656"/>
      <c r="N16" s="1656"/>
      <c r="P16" s="1657"/>
      <c r="Q16" s="1658"/>
      <c r="R16" s="1657"/>
      <c r="S16" s="1663"/>
      <c r="T16" s="1666"/>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V16" s="1665"/>
      <c r="AW16" s="1665"/>
      <c r="AX16" s="1665"/>
      <c r="AY16" s="1665"/>
      <c r="AZ16" s="1665"/>
      <c r="BA16" s="1665"/>
      <c r="BB16" s="1665"/>
      <c r="BC16" s="1665"/>
      <c r="BE16" s="1130"/>
      <c r="BF16" s="1130" t="str">
        <f>IF(T16="","",T16)</f>
        <v/>
      </c>
      <c r="BG16" s="1130"/>
      <c r="BH16" s="1130"/>
      <c r="BI16" s="859">
        <v>0</v>
      </c>
    </row>
    <row s="17316" customFormat="1" customHeight="1" ht="14.25" hidden="1">
      <c r="A17" s="1684"/>
      <c r="B17" s="1684"/>
      <c r="C17" s="1655"/>
      <c r="D17" s="1655"/>
      <c r="E17" s="2600"/>
      <c r="F17" s="2599"/>
      <c r="G17" s="1655"/>
      <c r="H17" s="1655"/>
      <c r="I17" s="1655"/>
      <c r="J17" s="1655"/>
      <c r="K17" s="1655"/>
      <c r="L17" s="1835"/>
      <c r="M17" s="1662"/>
      <c r="N17" s="1662"/>
      <c r="P17" s="1657"/>
      <c r="Q17" s="1658"/>
      <c r="R17" s="1657"/>
      <c r="S17" s="1663"/>
      <c r="T17" s="1666" t="s">
        <v>410</v>
      </c>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5"/>
      <c r="AZ17" s="1665"/>
      <c r="BA17" s="1665"/>
      <c r="BB17" s="1665"/>
      <c r="BC17" s="1665"/>
      <c r="BE17" s="1130"/>
      <c r="BF17" s="1130" t="str">
        <f>IF(T17="","",T17)</f>
        <v>Добавить централизованную систему для дифференциации</v>
      </c>
      <c r="BG17" s="1130"/>
      <c r="BH17" s="1130"/>
      <c r="BI17" s="859">
        <v>0</v>
      </c>
    </row>
    <row s="17316" customFormat="1" customHeight="1" ht="14.25" hidden="1">
      <c r="A18" s="1684"/>
      <c r="B18" s="1684"/>
      <c r="C18" s="1684"/>
      <c r="D18" s="1684"/>
      <c r="E18" s="2599"/>
      <c r="F18" s="1684"/>
      <c r="G18" s="1684"/>
      <c r="H18" s="1684"/>
      <c r="I18" s="1684"/>
      <c r="J18" s="1684"/>
      <c r="K18" s="1684"/>
      <c r="L18" s="1687"/>
      <c r="M18" s="1662"/>
      <c r="N18" s="1662"/>
      <c r="O18" s="859"/>
      <c r="P18" s="721"/>
      <c r="Q18" s="1685"/>
      <c r="R18" s="721"/>
      <c r="S18" s="1663"/>
      <c r="T18" s="1666" t="s">
        <v>411</v>
      </c>
      <c r="U18" s="1665"/>
      <c r="V18" s="1665"/>
      <c r="W18" s="1665"/>
      <c r="X18" s="1665"/>
      <c r="Y18" s="1665"/>
      <c r="Z18" s="1665"/>
      <c r="AA18" s="1665"/>
      <c r="AB18" s="1665"/>
      <c r="AC18" s="1665"/>
      <c r="AD18" s="1665"/>
      <c r="AE18" s="1665"/>
      <c r="AF18" s="1665"/>
      <c r="AG18" s="1665"/>
      <c r="AH18" s="1665"/>
      <c r="AI18" s="1665"/>
      <c r="AJ18" s="1665"/>
      <c r="AK18" s="1665"/>
      <c r="AL18" s="1665"/>
      <c r="AM18" s="1665"/>
      <c r="AN18" s="1665"/>
      <c r="AO18" s="1665"/>
      <c r="AP18" s="1665"/>
      <c r="AQ18" s="1665"/>
      <c r="AR18" s="1665"/>
      <c r="AS18" s="1665"/>
      <c r="AT18" s="1665"/>
      <c r="AU18" s="1665"/>
      <c r="AV18" s="1665"/>
      <c r="AW18" s="1665"/>
      <c r="AX18" s="1665"/>
      <c r="AY18" s="1665"/>
      <c r="AZ18" s="1665"/>
      <c r="BA18" s="1665"/>
      <c r="BB18" s="1665"/>
      <c r="BC18" s="1665"/>
      <c r="BE18" s="841"/>
      <c r="BF18" s="841" t="str">
        <f>IF(T18="","",T18)</f>
        <v>Добавить территорию для дифференциации</v>
      </c>
      <c r="BG18" s="841"/>
      <c r="BH18" s="841"/>
      <c r="BI18" s="852">
        <v>0</v>
      </c>
    </row>
    <row customHeight="1" ht="14.25" hidden="1">
      <c r="AC19" s="668"/>
      <c r="BA19" s="668"/>
      <c r="BI19" s="1496">
        <v>0</v>
      </c>
    </row>
    <row customHeight="1" ht="14.25" hidden="1">
      <c r="AD20" s="1665" t="s">
        <v>19</v>
      </c>
      <c r="AE20" s="1842"/>
      <c r="AF20" s="889">
        <v>1</v>
      </c>
      <c r="AG20" s="1843"/>
      <c r="AH20" s="1665" t="s">
        <v>19</v>
      </c>
      <c r="AI20" s="1842"/>
      <c r="AJ20" s="889">
        <v>1</v>
      </c>
      <c r="AK20" s="1843"/>
      <c r="AL20" s="1665" t="s">
        <v>19</v>
      </c>
      <c r="AM20" s="1844"/>
      <c r="AN20" s="889">
        <v>1</v>
      </c>
      <c r="AO20" s="1845"/>
      <c r="AP20" s="1665" t="s">
        <v>19</v>
      </c>
      <c r="AQ20" s="1844"/>
      <c r="AR20" s="889">
        <v>1</v>
      </c>
      <c r="AS20" s="1845"/>
      <c r="AT20" s="666"/>
      <c r="AU20" s="725"/>
      <c r="AV20" s="666"/>
      <c r="AW20" s="725"/>
      <c r="AX20" s="2077"/>
      <c r="AY20" s="1826" t="s">
        <v>65</v>
      </c>
      <c r="AZ20" s="2077"/>
      <c r="BA20" s="1826" t="s">
        <v>65</v>
      </c>
      <c r="BI20" s="1496">
        <v>0</v>
      </c>
    </row>
    <row customHeight="1" ht="14.25" hidden="1">
      <c r="BD21" s="837"/>
      <c r="BE21" s="837"/>
      <c r="BF21" s="837"/>
      <c r="BG21" s="837"/>
      <c r="BH21" s="837"/>
      <c r="BI21" s="1496">
        <v>0</v>
      </c>
    </row>
    <row customHeight="1" ht="14.25" hidden="1">
      <c r="O22" s="1708" t="s">
        <v>412</v>
      </c>
      <c r="Z22" s="1686"/>
      <c r="AB22" s="1686"/>
      <c r="AC22" s="668"/>
      <c r="AX22" s="1686"/>
      <c r="AZ22" s="1686"/>
      <c r="BA22" s="668"/>
      <c r="BD22" s="837"/>
      <c r="BE22" s="837"/>
      <c r="BF22" s="837"/>
      <c r="BG22" s="837"/>
      <c r="BH22" s="837"/>
      <c r="BI22" s="1496">
        <v>0</v>
      </c>
    </row>
    <row customHeight="1" ht="14.25" hidden="1">
      <c r="AC23" s="668"/>
      <c r="BA23" s="668"/>
      <c r="BD23" s="837"/>
      <c r="BE23" s="837"/>
      <c r="BF23" s="837"/>
      <c r="BG23" s="837"/>
      <c r="BH23" s="837"/>
      <c r="BI23" s="1496">
        <v>0</v>
      </c>
    </row>
    <row s="18234" customFormat="1" customHeight="1" ht="14.25" hidden="1">
      <c r="M24" s="1849"/>
      <c r="N24" s="1849"/>
      <c r="O24" s="1850" t="s">
        <v>413</v>
      </c>
      <c r="P24" s="1849"/>
      <c r="Q24" s="1851"/>
      <c r="R24" s="1851"/>
      <c r="AA24" s="1848" t="s">
        <v>415</v>
      </c>
      <c r="AC24" s="1848" t="s">
        <v>416</v>
      </c>
      <c r="AD24" s="1848" t="s">
        <v>464</v>
      </c>
      <c r="AH24" s="1848" t="s">
        <v>464</v>
      </c>
      <c r="AK24" s="1848" t="s">
        <v>501</v>
      </c>
      <c r="AL24" s="1848" t="s">
        <v>464</v>
      </c>
      <c r="AP24" s="1848" t="s">
        <v>464</v>
      </c>
      <c r="AY24" s="1848" t="s">
        <v>415</v>
      </c>
      <c r="BA24" s="1848" t="s">
        <v>416</v>
      </c>
      <c r="BD24" s="1852"/>
      <c r="BE24" s="1852"/>
      <c r="BF24" s="1852"/>
      <c r="BG24" s="1852"/>
      <c r="BH24" s="1852"/>
      <c r="BI24" s="1848">
        <v>0</v>
      </c>
    </row>
    <row customHeight="1" ht="14.25" hidden="1">
      <c r="O25" s="1705"/>
      <c r="BD25" s="837"/>
      <c r="BE25" s="837"/>
      <c r="BF25" s="837"/>
      <c r="BG25" s="837"/>
      <c r="BH25" s="837"/>
      <c r="BI25" s="1496">
        <v>0</v>
      </c>
    </row>
    <row customHeight="1" ht="14.25" hidden="1">
      <c r="O26" s="1705"/>
      <c r="BD26" s="837"/>
      <c r="BE26" s="837"/>
      <c r="BF26" s="837"/>
      <c r="BG26" s="837"/>
      <c r="BH26" s="837"/>
      <c r="BI26" s="1496">
        <v>0</v>
      </c>
    </row>
    <row customHeight="1" ht="14.699999999999998">
      <c r="Q27" s="632"/>
      <c r="R27" s="717"/>
      <c r="S27" s="1616"/>
      <c r="T27" s="704"/>
      <c r="U27" s="704"/>
      <c r="V27" s="850"/>
      <c r="W27" s="850"/>
      <c r="X27" s="850"/>
      <c r="Y27" s="850"/>
      <c r="Z27" s="850"/>
      <c r="AA27" s="850"/>
      <c r="AB27" s="850"/>
      <c r="AC27" s="850"/>
      <c r="AD27" s="850"/>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I27" s="1496">
        <v>14</v>
      </c>
    </row>
    <row customHeight="1" ht="14.699999999999998">
      <c r="Q28" s="632"/>
      <c r="R28" s="717"/>
      <c r="S28" s="258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89"/>
      <c r="AS28" s="2589"/>
      <c r="AT28" s="2589"/>
      <c r="AU28" s="2589"/>
      <c r="AV28" s="2589"/>
      <c r="AW28" s="2589"/>
      <c r="AX28" s="2589"/>
      <c r="AY28" s="2589"/>
      <c r="AZ28" s="2589"/>
      <c r="BA28" s="1584"/>
      <c r="BI28" s="1496">
        <v>14</v>
      </c>
    </row>
    <row customHeight="1" ht="14.699999999999998">
      <c r="Q29" s="632"/>
      <c r="R29" s="717"/>
      <c r="S29" s="2590" t="str">
        <f>IF(org=0,"Не определено",org)</f>
        <v>АО "ДГК"</v>
      </c>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584"/>
      <c r="BI29" s="1496">
        <v>14</v>
      </c>
    </row>
    <row customHeight="1" ht="14.25" hidden="1">
      <c r="Q30" s="632"/>
      <c r="R30" s="717"/>
      <c r="S30" s="1616"/>
      <c r="T30" s="704"/>
      <c r="U30" s="704"/>
      <c r="V30" s="663"/>
      <c r="W30" s="663"/>
      <c r="X30" s="663"/>
      <c r="Y30" s="663"/>
      <c r="Z30" s="663"/>
      <c r="AA30" s="663"/>
      <c r="AB30" s="663"/>
      <c r="AC30" s="663"/>
      <c r="AD30" s="663"/>
      <c r="AE30" s="663"/>
      <c r="AF30" s="663"/>
      <c r="AG30" s="663"/>
      <c r="AH30" s="663"/>
      <c r="AI30" s="663"/>
      <c r="AJ30" s="663"/>
      <c r="AK30" s="663"/>
      <c r="AL30" s="663"/>
      <c r="AM30" s="663"/>
      <c r="AN30" s="663"/>
      <c r="AO30" s="663"/>
      <c r="AP30" s="663"/>
      <c r="AQ30" s="663"/>
      <c r="AR30" s="663"/>
      <c r="AS30" s="663"/>
      <c r="AT30" s="663"/>
      <c r="AU30" s="663"/>
      <c r="AV30" s="663"/>
      <c r="AW30" s="663"/>
      <c r="AX30" s="663"/>
      <c r="AY30" s="663"/>
      <c r="AZ30" s="663"/>
      <c r="BA30" s="663"/>
      <c r="BB30" s="850"/>
      <c r="BI30" s="1496">
        <v>0</v>
      </c>
    </row>
    <row s="17442" customFormat="1" customHeight="1" ht="25.5" hidden="1">
      <c r="A31" s="1709"/>
      <c r="B31" s="1709"/>
      <c r="C31" s="1709"/>
      <c r="D31" s="1709"/>
      <c r="E31" s="1709"/>
      <c r="F31" s="1709"/>
      <c r="G31" s="1709"/>
      <c r="H31" s="1709"/>
      <c r="I31" s="1709"/>
      <c r="J31" s="1709"/>
      <c r="K31" s="1709"/>
      <c r="L31" s="1710"/>
      <c r="M31" s="1709"/>
      <c r="N31" s="1709"/>
      <c r="O31" s="1709"/>
      <c r="P31" s="1709"/>
      <c r="Q31" s="1709"/>
      <c r="S31" s="2591" t="s">
        <v>41</v>
      </c>
      <c r="T31" s="2591"/>
      <c r="U31" s="1713"/>
      <c r="V31" s="2592" t="str">
        <f>IF(TITLE_NAME_OR_PR_CHANGE="",IF(TITLE_NAME_OR_PR="","",TITLE_NAME_OR_PR),TITLE_NAME_OR_PR_CHANGE)</f>
        <v/>
      </c>
      <c r="W31" s="2592"/>
      <c r="X31" s="2592"/>
      <c r="Y31" s="2592"/>
      <c r="Z31" s="2592"/>
      <c r="AA31" s="2592"/>
      <c r="AB31" s="2592"/>
      <c r="AC31" s="667"/>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667"/>
      <c r="BB31" s="667"/>
      <c r="BC31" s="621"/>
      <c r="BD31" s="709"/>
      <c r="BE31" s="709"/>
      <c r="BF31" s="709"/>
      <c r="BG31" s="709"/>
      <c r="BH31" s="709"/>
      <c r="BI31" s="759">
        <v>0</v>
      </c>
    </row>
    <row s="17442" customFormat="1" customHeight="1" ht="18.75" hidden="1">
      <c r="A32" s="1709"/>
      <c r="B32" s="1709"/>
      <c r="C32" s="1709"/>
      <c r="D32" s="1709"/>
      <c r="E32" s="1709"/>
      <c r="F32" s="1709"/>
      <c r="G32" s="1709"/>
      <c r="H32" s="1709"/>
      <c r="I32" s="1709"/>
      <c r="J32" s="1709"/>
      <c r="K32" s="1709"/>
      <c r="L32" s="1710"/>
      <c r="M32" s="1709"/>
      <c r="N32" s="1709"/>
      <c r="O32" s="1709"/>
      <c r="P32" s="1709"/>
      <c r="Q32" s="1709"/>
      <c r="S32" s="2591" t="s">
        <v>418</v>
      </c>
      <c r="T32" s="2591"/>
      <c r="U32" s="1713"/>
      <c r="V32" s="2605" t="str">
        <f>IF(TITLE_DATE_PR_CHANGE="",IF(TITLE_DATE_PR="","",TITLE_DATE_PR),TITLE_DATE_PR_CHANGE)</f>
        <v/>
      </c>
      <c r="W32" s="2605"/>
      <c r="X32" s="2605"/>
      <c r="Y32" s="2605"/>
      <c r="Z32" s="2605"/>
      <c r="AA32" s="2605"/>
      <c r="AB32" s="2605"/>
      <c r="AC32" s="667"/>
      <c r="AD32" s="2605" t="str">
        <f>IF(TITLE_DATE_PR_CHANGE="",IF(TITLE_DATE_PR="","",TITLE_DATE_PR),TITLE_DATE_PR_CHANGE)</f>
        <v/>
      </c>
      <c r="AE32" s="2605"/>
      <c r="AF32" s="2605"/>
      <c r="AG32" s="2605"/>
      <c r="AH32" s="2605"/>
      <c r="AI32" s="2605"/>
      <c r="AJ32" s="2605"/>
      <c r="AK32" s="2605"/>
      <c r="AL32" s="2605"/>
      <c r="AM32" s="2605"/>
      <c r="AN32" s="2605"/>
      <c r="AO32" s="2605"/>
      <c r="AP32" s="2605"/>
      <c r="AQ32" s="2605"/>
      <c r="AR32" s="2605"/>
      <c r="AS32" s="2605"/>
      <c r="AT32" s="2605"/>
      <c r="AU32" s="2605"/>
      <c r="AV32" s="2605"/>
      <c r="AW32" s="2605"/>
      <c r="AX32" s="2605"/>
      <c r="AY32" s="2605"/>
      <c r="AZ32" s="2605"/>
      <c r="BA32" s="667"/>
      <c r="BB32" s="667"/>
      <c r="BC32" s="621"/>
      <c r="BD32" s="709"/>
      <c r="BE32" s="709"/>
      <c r="BF32" s="709"/>
      <c r="BG32" s="709"/>
      <c r="BH32" s="709"/>
      <c r="BI32" s="759">
        <v>0</v>
      </c>
    </row>
    <row s="17442" customFormat="1" customHeight="1" ht="18.75" hidden="1">
      <c r="A33" s="1709"/>
      <c r="B33" s="1709"/>
      <c r="C33" s="1709"/>
      <c r="D33" s="1709"/>
      <c r="E33" s="1709"/>
      <c r="F33" s="1709"/>
      <c r="G33" s="1709"/>
      <c r="H33" s="1709"/>
      <c r="I33" s="1709"/>
      <c r="J33" s="1709"/>
      <c r="K33" s="1709"/>
      <c r="L33" s="1710"/>
      <c r="M33" s="1709"/>
      <c r="N33" s="1709"/>
      <c r="O33" s="1709"/>
      <c r="P33" s="1709"/>
      <c r="Q33" s="1709"/>
      <c r="S33" s="2591" t="s">
        <v>419</v>
      </c>
      <c r="T33" s="2591"/>
      <c r="U33" s="1713"/>
      <c r="V33" s="2592" t="str">
        <f>IF(TITLE_NUMBER_PR_CHANGE="",IF(TITLE_NUMBER_PR="","",TITLE_NUMBER_PR),TITLE_NUMBER_PR_CHANGE)</f>
        <v/>
      </c>
      <c r="W33" s="2592"/>
      <c r="X33" s="2592"/>
      <c r="Y33" s="2592"/>
      <c r="Z33" s="2592"/>
      <c r="AA33" s="2592"/>
      <c r="AB33" s="2592"/>
      <c r="AC33" s="667"/>
      <c r="AD33" s="2592" t="str">
        <f>IF(TITLE_NUMBER_PR_CHANGE="",IF(TITLE_NUMBER_PR="","",TITLE_NUMBER_PR),TITLE_NUMBER_PR_CHANGE)</f>
        <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667"/>
      <c r="BB33" s="667"/>
      <c r="BC33" s="621"/>
      <c r="BD33" s="709"/>
      <c r="BE33" s="709"/>
      <c r="BF33" s="709"/>
      <c r="BG33" s="709"/>
      <c r="BH33" s="709"/>
      <c r="BI33" s="759">
        <v>0</v>
      </c>
    </row>
    <row s="17442" customFormat="1" customHeight="1" ht="18.75" hidden="1">
      <c r="A34" s="1709"/>
      <c r="B34" s="1709"/>
      <c r="C34" s="1709"/>
      <c r="D34" s="1709"/>
      <c r="E34" s="1709"/>
      <c r="F34" s="1709"/>
      <c r="G34" s="1709"/>
      <c r="H34" s="1709"/>
      <c r="I34" s="1709"/>
      <c r="J34" s="1709"/>
      <c r="K34" s="1709"/>
      <c r="L34" s="1710"/>
      <c r="M34" s="1709"/>
      <c r="N34" s="1709"/>
      <c r="O34" s="1709"/>
      <c r="P34" s="1709"/>
      <c r="Q34" s="1709"/>
      <c r="S34" s="2591" t="s">
        <v>42</v>
      </c>
      <c r="T34" s="2591"/>
      <c r="U34" s="1713"/>
      <c r="V34" s="2592" t="str">
        <f>IF(TITLE_IST_PUB_CHANGE="",IF(TITLE_IST_PUB="","",TITLE_IST_PUB),TITLE_IST_PUB_CHANGE)</f>
        <v/>
      </c>
      <c r="W34" s="2592"/>
      <c r="X34" s="2592"/>
      <c r="Y34" s="2592"/>
      <c r="Z34" s="2592"/>
      <c r="AA34" s="2592"/>
      <c r="AB34" s="2592"/>
      <c r="AC34" s="667"/>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667"/>
      <c r="BB34" s="667"/>
      <c r="BC34" s="621"/>
      <c r="BD34" s="709"/>
      <c r="BE34" s="709"/>
      <c r="BF34" s="709"/>
      <c r="BG34" s="709"/>
      <c r="BH34" s="709"/>
      <c r="BI34" s="759">
        <v>0</v>
      </c>
    </row>
    <row customHeight="1" ht="14.25" hidden="1">
      <c r="Q35" s="632"/>
      <c r="R35" s="717"/>
      <c r="S35" s="1616"/>
      <c r="T35" s="704"/>
      <c r="U35" s="704"/>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850"/>
      <c r="BI35" s="1496">
        <v>0</v>
      </c>
    </row>
    <row s="17442" customFormat="1" customHeight="1" ht="18.75" hidden="1">
      <c r="A36" s="1709"/>
      <c r="B36" s="1709"/>
      <c r="C36" s="1709"/>
      <c r="D36" s="1709"/>
      <c r="E36" s="1709"/>
      <c r="F36" s="1709"/>
      <c r="G36" s="1709"/>
      <c r="H36" s="1709"/>
      <c r="I36" s="1709"/>
      <c r="J36" s="1709"/>
      <c r="K36" s="1709"/>
      <c r="L36" s="1710"/>
      <c r="M36" s="1709"/>
      <c r="N36" s="1709"/>
      <c r="O36" s="1709"/>
      <c r="P36" s="1709"/>
      <c r="Q36" s="1709"/>
      <c r="S36" s="2591" t="s">
        <v>418</v>
      </c>
      <c r="T36" s="2591"/>
      <c r="U36" s="1713"/>
      <c r="V36" s="2605" t="str">
        <f>IF(TITLE_DATE_PR_CHANGE="",IF(TITLE_DATE_PR="","",TITLE_DATE_PR),TITLE_DATE_PR_CHANGE)</f>
        <v/>
      </c>
      <c r="W36" s="2605"/>
      <c r="X36" s="2605"/>
      <c r="Y36" s="2605"/>
      <c r="Z36" s="2605"/>
      <c r="AA36" s="2605"/>
      <c r="AB36" s="2605"/>
      <c r="AC36" s="667"/>
      <c r="AD36" s="2605" t="str">
        <f>IF(TITLE_DATE_PR_CHANGE="",IF(TITLE_DATE_PR="","",TITLE_DATE_PR),TITLE_DATE_PR_CHANGE)</f>
        <v/>
      </c>
      <c r="AE36" s="2605"/>
      <c r="AF36" s="2605"/>
      <c r="AG36" s="2605"/>
      <c r="AH36" s="2605"/>
      <c r="AI36" s="2605"/>
      <c r="AJ36" s="2605"/>
      <c r="AK36" s="2605"/>
      <c r="AL36" s="2605"/>
      <c r="AM36" s="2605"/>
      <c r="AN36" s="2605"/>
      <c r="AO36" s="2605"/>
      <c r="AP36" s="2605"/>
      <c r="AQ36" s="2605"/>
      <c r="AR36" s="2605"/>
      <c r="AS36" s="2605"/>
      <c r="AT36" s="2605"/>
      <c r="AU36" s="2605"/>
      <c r="AV36" s="2605"/>
      <c r="AW36" s="2605"/>
      <c r="AX36" s="2605"/>
      <c r="AY36" s="2605"/>
      <c r="AZ36" s="2605"/>
      <c r="BA36" s="667"/>
      <c r="BB36" s="667"/>
      <c r="BC36" s="621"/>
      <c r="BD36" s="709"/>
      <c r="BE36" s="709"/>
      <c r="BF36" s="709"/>
      <c r="BG36" s="709"/>
      <c r="BH36" s="709"/>
      <c r="BI36" s="759">
        <v>0</v>
      </c>
    </row>
    <row s="17442" customFormat="1" customHeight="1" ht="18.75" hidden="1">
      <c r="A37" s="1709"/>
      <c r="B37" s="1709"/>
      <c r="C37" s="1709"/>
      <c r="D37" s="1709"/>
      <c r="E37" s="1709"/>
      <c r="F37" s="1709"/>
      <c r="G37" s="1709"/>
      <c r="H37" s="1709"/>
      <c r="I37" s="1709"/>
      <c r="J37" s="1709"/>
      <c r="K37" s="1709"/>
      <c r="L37" s="1710"/>
      <c r="M37" s="1709"/>
      <c r="N37" s="1709"/>
      <c r="O37" s="1709"/>
      <c r="P37" s="1709"/>
      <c r="Q37" s="1709"/>
      <c r="S37" s="2591" t="s">
        <v>419</v>
      </c>
      <c r="T37" s="2591"/>
      <c r="U37" s="1713"/>
      <c r="V37" s="2592" t="str">
        <f>IF(TITLE_NUMBER_PR_CHANGE="",IF(TITLE_NUMBER_PR="","",TITLE_NUMBER_PR),TITLE_NUMBER_PR_CHANGE)</f>
        <v/>
      </c>
      <c r="W37" s="2592"/>
      <c r="X37" s="2592"/>
      <c r="Y37" s="2592"/>
      <c r="Z37" s="2592"/>
      <c r="AA37" s="2592"/>
      <c r="AB37" s="2592"/>
      <c r="AC37" s="667"/>
      <c r="AD37" s="2592" t="str">
        <f>IF(TITLE_NUMBER_PR_CHANGE="",IF(TITLE_NUMBER_PR="","",TITLE_NUMBER_PR),TITLE_NUMBER_PR_CHANGE)</f>
        <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667"/>
      <c r="BB37" s="667"/>
      <c r="BC37" s="621"/>
      <c r="BD37" s="709"/>
      <c r="BE37" s="709"/>
      <c r="BF37" s="709"/>
      <c r="BG37" s="709"/>
      <c r="BH37" s="709"/>
      <c r="BI37" s="759">
        <v>0</v>
      </c>
    </row>
    <row s="17442" customFormat="1" customHeight="1" ht="0">
      <c r="A38" s="1709"/>
      <c r="B38" s="1709"/>
      <c r="C38" s="1709"/>
      <c r="D38" s="1709"/>
      <c r="E38" s="1709"/>
      <c r="F38" s="1709"/>
      <c r="G38" s="1709"/>
      <c r="H38" s="1709"/>
      <c r="I38" s="1709"/>
      <c r="J38" s="1709"/>
      <c r="K38" s="1709"/>
      <c r="L38" s="1710"/>
      <c r="M38" s="1709"/>
      <c r="N38" s="1709"/>
      <c r="O38" s="1709"/>
      <c r="P38" s="1709"/>
      <c r="Q38" s="1709"/>
      <c r="S38" s="664"/>
      <c r="T38" s="664"/>
      <c r="U38" s="1829"/>
      <c r="V38" s="667"/>
      <c r="W38" s="667"/>
      <c r="X38" s="667"/>
      <c r="Y38" s="667"/>
      <c r="Z38" s="667"/>
      <c r="AA38" s="667"/>
      <c r="AB38" s="667"/>
      <c r="AC38" s="619" t="s">
        <v>422</v>
      </c>
      <c r="AD38" s="667"/>
      <c r="AE38" s="667"/>
      <c r="AF38" s="667"/>
      <c r="AG38" s="667"/>
      <c r="AH38" s="667"/>
      <c r="AI38" s="667"/>
      <c r="AJ38" s="667"/>
      <c r="AK38" s="667"/>
      <c r="AL38" s="667"/>
      <c r="AM38" s="667"/>
      <c r="AN38" s="667"/>
      <c r="AO38" s="667"/>
      <c r="AP38" s="667"/>
      <c r="AQ38" s="667"/>
      <c r="AR38" s="667"/>
      <c r="AS38" s="667"/>
      <c r="AT38" s="667"/>
      <c r="AU38" s="667"/>
      <c r="AV38" s="667"/>
      <c r="AW38" s="667"/>
      <c r="AX38" s="667"/>
      <c r="AY38" s="667"/>
      <c r="AZ38" s="667"/>
      <c r="BA38" s="619" t="s">
        <v>422</v>
      </c>
      <c r="BD38" s="709"/>
      <c r="BE38" s="709"/>
      <c r="BF38" s="709"/>
      <c r="BG38" s="709"/>
      <c r="BH38" s="709"/>
      <c r="BI38" s="759">
        <v>0</v>
      </c>
    </row>
    <row customHeight="1" ht="14.699999999999998">
      <c r="Q39" s="632"/>
      <c r="R39" s="717"/>
      <c r="S39" s="1616"/>
      <c r="T39" s="704"/>
      <c r="U39" s="1585"/>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c r="BA39" s="2593"/>
      <c r="BI39" s="1496">
        <v>14</v>
      </c>
    </row>
    <row customHeight="1" ht="14.699999999999998">
      <c r="Q40" s="632"/>
      <c r="R40" s="717"/>
      <c r="S40" s="2468" t="s">
        <v>295</v>
      </c>
      <c r="T40" s="2468"/>
      <c r="U40" s="2468"/>
      <c r="V40" s="2468"/>
      <c r="W40" s="2468"/>
      <c r="X40" s="2468"/>
      <c r="Y40" s="2468"/>
      <c r="Z40" s="2468"/>
      <c r="AA40" s="2468"/>
      <c r="AB40" s="2468"/>
      <c r="AC40" s="2468"/>
      <c r="AD40" s="2468"/>
      <c r="AE40" s="2468"/>
      <c r="AF40" s="2468"/>
      <c r="AG40" s="2468"/>
      <c r="AH40" s="2468"/>
      <c r="AI40" s="2468"/>
      <c r="AJ40" s="2468"/>
      <c r="AK40" s="2468"/>
      <c r="AL40" s="2468"/>
      <c r="AM40" s="2468"/>
      <c r="AN40" s="2468"/>
      <c r="AO40" s="2468"/>
      <c r="AP40" s="2468"/>
      <c r="AQ40" s="2468"/>
      <c r="AR40" s="2468"/>
      <c r="AS40" s="2468"/>
      <c r="AT40" s="2468"/>
      <c r="AU40" s="2468"/>
      <c r="AV40" s="2468"/>
      <c r="AW40" s="2468"/>
      <c r="AX40" s="2468"/>
      <c r="AY40" s="2468"/>
      <c r="AZ40" s="2468"/>
      <c r="BA40" s="2468"/>
      <c r="BB40" s="2468"/>
      <c r="BC40" s="2468" t="s">
        <v>296</v>
      </c>
      <c r="BI40" s="1496">
        <v>14</v>
      </c>
    </row>
    <row customHeight="1" ht="14.699999999999998">
      <c r="Q41" s="632"/>
      <c r="R41" s="717"/>
      <c r="S41" s="2614" t="s">
        <v>88</v>
      </c>
      <c r="T41" s="2550" t="s">
        <v>502</v>
      </c>
      <c r="U41" s="642"/>
      <c r="V41" s="2615" t="s">
        <v>424</v>
      </c>
      <c r="W41" s="2616"/>
      <c r="X41" s="2616"/>
      <c r="Y41" s="2616"/>
      <c r="Z41" s="2616"/>
      <c r="AA41" s="2616"/>
      <c r="AB41" s="2617"/>
      <c r="AC41" s="2618" t="s">
        <v>425</v>
      </c>
      <c r="AD41" s="2669" t="s">
        <v>519</v>
      </c>
      <c r="AE41" s="2632"/>
      <c r="AF41" s="2632"/>
      <c r="AG41" s="2670"/>
      <c r="AH41" s="2669" t="s">
        <v>520</v>
      </c>
      <c r="AI41" s="2632"/>
      <c r="AJ41" s="2632"/>
      <c r="AK41" s="2670"/>
      <c r="AL41" s="2669" t="s">
        <v>521</v>
      </c>
      <c r="AM41" s="2632"/>
      <c r="AN41" s="2632"/>
      <c r="AO41" s="2670"/>
      <c r="AP41" s="2669" t="s">
        <v>506</v>
      </c>
      <c r="AQ41" s="2632"/>
      <c r="AR41" s="2632"/>
      <c r="AS41" s="2670"/>
      <c r="AT41" s="2615" t="s">
        <v>424</v>
      </c>
      <c r="AU41" s="2616"/>
      <c r="AV41" s="2616"/>
      <c r="AW41" s="2616"/>
      <c r="AX41" s="2616"/>
      <c r="AY41" s="2616"/>
      <c r="AZ41" s="2617"/>
      <c r="BA41" s="2618" t="s">
        <v>425</v>
      </c>
      <c r="BB41" s="2621" t="s">
        <v>427</v>
      </c>
      <c r="BC41" s="2468"/>
      <c r="BI41" s="1496">
        <v>14</v>
      </c>
    </row>
    <row customHeight="1" ht="35.699999999999996">
      <c r="Q42" s="632"/>
      <c r="R42" s="717"/>
      <c r="S42" s="2614"/>
      <c r="T42" s="2550"/>
      <c r="U42" s="1372"/>
      <c r="V42" s="2533" t="s">
        <v>507</v>
      </c>
      <c r="W42" s="2534"/>
      <c r="X42" s="2533" t="s">
        <v>508</v>
      </c>
      <c r="Y42" s="2534"/>
      <c r="Z42" s="2635" t="s">
        <v>509</v>
      </c>
      <c r="AA42" s="2654"/>
      <c r="AB42" s="2655"/>
      <c r="AC42" s="2619"/>
      <c r="AD42" s="2671"/>
      <c r="AE42" s="2672"/>
      <c r="AF42" s="2672"/>
      <c r="AG42" s="2673"/>
      <c r="AH42" s="2671"/>
      <c r="AI42" s="2672"/>
      <c r="AJ42" s="2672"/>
      <c r="AK42" s="2673"/>
      <c r="AL42" s="2671"/>
      <c r="AM42" s="2672"/>
      <c r="AN42" s="2672"/>
      <c r="AO42" s="2673"/>
      <c r="AP42" s="2671"/>
      <c r="AQ42" s="2672"/>
      <c r="AR42" s="2672"/>
      <c r="AS42" s="2673"/>
      <c r="AT42" s="2533" t="s">
        <v>522</v>
      </c>
      <c r="AU42" s="2534"/>
      <c r="AV42" s="2533" t="s">
        <v>523</v>
      </c>
      <c r="AW42" s="2534"/>
      <c r="AX42" s="2635" t="s">
        <v>509</v>
      </c>
      <c r="AY42" s="2654"/>
      <c r="AZ42" s="2655"/>
      <c r="BA42" s="2619"/>
      <c r="BB42" s="2622"/>
      <c r="BC42" s="2468"/>
      <c r="BI42" s="1496">
        <v>34</v>
      </c>
    </row>
    <row customHeight="1" ht="14.699999999999998">
      <c r="Q43" s="632"/>
      <c r="R43" s="717"/>
      <c r="S43" s="2614"/>
      <c r="T43" s="2550"/>
      <c r="U43" s="1372"/>
      <c r="V43" s="2541"/>
      <c r="W43" s="2542"/>
      <c r="X43" s="2541"/>
      <c r="Y43" s="2542"/>
      <c r="Z43" s="2636"/>
      <c r="AA43" s="2656"/>
      <c r="AB43" s="2657"/>
      <c r="AC43" s="2619"/>
      <c r="AD43" s="2671"/>
      <c r="AE43" s="2672"/>
      <c r="AF43" s="2672"/>
      <c r="AG43" s="2673"/>
      <c r="AH43" s="2671"/>
      <c r="AI43" s="2672"/>
      <c r="AJ43" s="2672"/>
      <c r="AK43" s="2673"/>
      <c r="AL43" s="2671"/>
      <c r="AM43" s="2672"/>
      <c r="AN43" s="2672"/>
      <c r="AO43" s="2673"/>
      <c r="AP43" s="2671"/>
      <c r="AQ43" s="2672"/>
      <c r="AR43" s="2672"/>
      <c r="AS43" s="2673"/>
      <c r="AT43" s="2541"/>
      <c r="AU43" s="2542"/>
      <c r="AV43" s="2541"/>
      <c r="AW43" s="2542"/>
      <c r="AX43" s="2636"/>
      <c r="AY43" s="2656"/>
      <c r="AZ43" s="2657"/>
      <c r="BA43" s="2619"/>
      <c r="BB43" s="2622"/>
      <c r="BC43" s="2468"/>
      <c r="BI43" s="1496">
        <v>14</v>
      </c>
    </row>
    <row customHeight="1" ht="14.699999999999998">
      <c r="A44" s="1711"/>
      <c r="B44" s="1711" t="s">
        <v>132</v>
      </c>
      <c r="C44" s="1711" t="s">
        <v>133</v>
      </c>
      <c r="D44" s="1711" t="s">
        <v>134</v>
      </c>
      <c r="E44" s="1705" t="s">
        <v>432</v>
      </c>
      <c r="F44" s="1705" t="s">
        <v>433</v>
      </c>
      <c r="G44" s="1705" t="s">
        <v>434</v>
      </c>
      <c r="H44" s="1705" t="s">
        <v>435</v>
      </c>
      <c r="I44" s="1705" t="s">
        <v>436</v>
      </c>
      <c r="J44" s="1705" t="s">
        <v>437</v>
      </c>
      <c r="K44" s="1705" t="s">
        <v>438</v>
      </c>
      <c r="L44" s="1705" t="s">
        <v>413</v>
      </c>
      <c r="Q44" s="632"/>
      <c r="R44" s="717"/>
      <c r="S44" s="2614"/>
      <c r="T44" s="2550"/>
      <c r="U44" s="643"/>
      <c r="V44" s="1820" t="s">
        <v>473</v>
      </c>
      <c r="W44" s="1820" t="s">
        <v>474</v>
      </c>
      <c r="X44" s="1820" t="s">
        <v>473</v>
      </c>
      <c r="Y44" s="1820" t="s">
        <v>474</v>
      </c>
      <c r="Z44" s="1830" t="s">
        <v>441</v>
      </c>
      <c r="AA44" s="2611" t="s">
        <v>442</v>
      </c>
      <c r="AB44" s="2612"/>
      <c r="AC44" s="2620"/>
      <c r="AD44" s="2674"/>
      <c r="AE44" s="2675"/>
      <c r="AF44" s="2675"/>
      <c r="AG44" s="2676"/>
      <c r="AH44" s="2674"/>
      <c r="AI44" s="2675"/>
      <c r="AJ44" s="2675"/>
      <c r="AK44" s="2676"/>
      <c r="AL44" s="2674"/>
      <c r="AM44" s="2675"/>
      <c r="AN44" s="2675"/>
      <c r="AO44" s="2676"/>
      <c r="AP44" s="2674"/>
      <c r="AQ44" s="2675"/>
      <c r="AR44" s="2675"/>
      <c r="AS44" s="2676"/>
      <c r="AT44" s="1820" t="s">
        <v>473</v>
      </c>
      <c r="AU44" s="1820" t="s">
        <v>474</v>
      </c>
      <c r="AV44" s="1820" t="s">
        <v>473</v>
      </c>
      <c r="AW44" s="1820" t="s">
        <v>474</v>
      </c>
      <c r="AX44" s="1830" t="s">
        <v>441</v>
      </c>
      <c r="AY44" s="2611" t="s">
        <v>442</v>
      </c>
      <c r="AZ44" s="2612"/>
      <c r="BA44" s="2620"/>
      <c r="BB44" s="2623"/>
      <c r="BC44" s="2468"/>
      <c r="BI44" s="1496">
        <v>14</v>
      </c>
    </row>
    <row s="17832" customFormat="1" customHeight="1" ht="11.25" hidden="1">
      <c r="A45" s="1711"/>
      <c r="B45" s="1711"/>
      <c r="C45" s="1711"/>
      <c r="D45" s="1711"/>
      <c r="E45" s="1711"/>
      <c r="F45" s="1711"/>
      <c r="G45" s="1711"/>
      <c r="H45" s="1711"/>
      <c r="I45" s="1711"/>
      <c r="J45" s="1711"/>
      <c r="K45" s="1711"/>
      <c r="L45" s="1705"/>
      <c r="M45" s="1703"/>
      <c r="N45" s="1703"/>
      <c r="O45" s="1703"/>
      <c r="P45" s="851"/>
      <c r="Q45" s="1595"/>
      <c r="R45" s="1595">
        <v>1</v>
      </c>
      <c r="S45" s="1618" t="s">
        <v>106</v>
      </c>
      <c r="T45" s="1596" t="s">
        <v>107</v>
      </c>
      <c r="U45" s="1586" t="str">
        <f>OFFSET(U45,0,-1)</f>
        <v>2</v>
      </c>
      <c r="V45" s="1823">
        <f>OFFSET(V45,0,-1)+1</f>
        <v>3</v>
      </c>
      <c r="W45" s="1823">
        <f>OFFSET(W45,0,-1)+1</f>
        <v>4</v>
      </c>
      <c r="X45" s="1823">
        <f>OFFSET(X45,0,-1)+1</f>
        <v>5</v>
      </c>
      <c r="Y45" s="1823">
        <f>OFFSET(Y45,0,-1)+1</f>
        <v>6</v>
      </c>
      <c r="Z45" s="1823">
        <f>OFFSET(Z45,0,-1)+1</f>
        <v>7</v>
      </c>
      <c r="AA45" s="2613">
        <f>OFFSET(AA45,0,-1)+1</f>
        <v>8</v>
      </c>
      <c r="AB45" s="2613"/>
      <c r="AC45" s="1823">
        <f>OFFSET(AC45,0,-2)+1</f>
        <v>9</v>
      </c>
      <c r="AD45" s="1823">
        <f>OFFSET(AD45,0,-1)+1</f>
        <v>10</v>
      </c>
      <c r="AE45" s="1823"/>
      <c r="AF45" s="1823"/>
      <c r="AG45" s="1823"/>
      <c r="AH45" s="1823"/>
      <c r="AI45" s="1823"/>
      <c r="AJ45" s="1823"/>
      <c r="AK45" s="1823"/>
      <c r="AL45" s="1823"/>
      <c r="AM45" s="1823"/>
      <c r="AN45" s="1823"/>
      <c r="AO45" s="1823"/>
      <c r="AP45" s="1823"/>
      <c r="AQ45" s="1823"/>
      <c r="AR45" s="1823"/>
      <c r="AS45" s="1823"/>
      <c r="AT45" s="1823"/>
      <c r="AU45" s="1823"/>
      <c r="AV45" s="1823"/>
      <c r="AW45" s="1823">
        <f>OFFSET(AW45,0,-1)+1</f>
        <v>1</v>
      </c>
      <c r="AX45" s="1823">
        <f>OFFSET(AX45,0,-1)+1</f>
        <v>2</v>
      </c>
      <c r="AY45" s="2613">
        <f>OFFSET(AY45,0,-1)+1</f>
        <v>3</v>
      </c>
      <c r="AZ45" s="2613"/>
      <c r="BA45" s="1823">
        <f>OFFSET(BA45,0,-2)+1</f>
        <v>4</v>
      </c>
      <c r="BB45" s="1586">
        <f>OFFSET(BB45,0,-1)</f>
        <v>4</v>
      </c>
      <c r="BC45" s="1823">
        <f>OFFSET(BC45,0,-1)+1</f>
        <v>5</v>
      </c>
      <c r="BD45" s="852"/>
      <c r="BE45" s="852"/>
      <c r="BF45" s="852"/>
      <c r="BG45" s="852"/>
      <c r="BH45" s="852"/>
      <c r="BI45" s="837">
        <v>0</v>
      </c>
    </row>
    <row customHeight="1" ht="22.049999999999997">
      <c r="A46" s="1704" t="s">
        <v>271</v>
      </c>
      <c r="B46" s="1704"/>
      <c r="C46" s="1704"/>
      <c r="D46" s="1704"/>
      <c r="E46" s="2599">
        <v>1</v>
      </c>
      <c r="F46" s="1704"/>
      <c r="G46" s="1704"/>
      <c r="H46" s="1704"/>
      <c r="I46" s="1704"/>
      <c r="J46" s="1704"/>
      <c r="K46" s="1704"/>
      <c r="L46" s="1705"/>
      <c r="M46" s="1706"/>
      <c r="N46" s="1706"/>
      <c r="O46" s="1706"/>
      <c r="P46" s="1750"/>
      <c r="Q46" s="1214"/>
      <c r="R46" s="696"/>
      <c r="S46" s="1834">
        <f>INDEX(PT_DIFFERENTIATION_NUM_NTAR,MATCH(A46,PT_DIFFERENTIATION_NTAR_ID,0))</f>
        <v>0</v>
      </c>
      <c r="T46" s="639" t="s">
        <v>120</v>
      </c>
      <c r="U46" s="641"/>
      <c r="V46" s="2584"/>
      <c r="W46" s="2584"/>
      <c r="X46" s="2584"/>
      <c r="Y46" s="2584"/>
      <c r="Z46" s="2584"/>
      <c r="AA46" s="2584"/>
      <c r="AB46" s="2584"/>
      <c r="AC46" s="2585"/>
      <c r="AD46" s="2583" t="str">
        <f>INDEX(PT_DIFFERENTIATION_NTAR,MATCH(A46,PT_DIFFERENTIATION_NTAR_ID,0))</f>
        <v/>
      </c>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2584"/>
      <c r="BB46" s="2585"/>
      <c r="BC46"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1"/>
      <c r="BF46" s="841" t="str">
        <f>IF(T46="","",T46)</f>
        <v>Наименование тарифа</v>
      </c>
      <c r="BG46" s="841"/>
      <c r="BH46" s="841"/>
      <c r="BI46" s="1496">
        <v>21</v>
      </c>
    </row>
    <row customHeight="1" ht="22.049999999999997">
      <c r="A47" s="1704" t="s">
        <v>271</v>
      </c>
      <c r="B47" s="1704" t="s">
        <v>272</v>
      </c>
      <c r="C47" s="1704"/>
      <c r="D47" s="1704"/>
      <c r="E47" s="2600"/>
      <c r="F47" s="2599">
        <v>1</v>
      </c>
      <c r="G47" s="1704"/>
      <c r="H47" s="1704"/>
      <c r="I47" s="1704"/>
      <c r="J47" s="1704"/>
      <c r="K47" s="1704"/>
      <c r="L47" s="1705"/>
      <c r="M47" s="1706"/>
      <c r="N47" s="1706"/>
      <c r="O47" s="1706"/>
      <c r="P47" s="1751"/>
      <c r="Q47" s="1752"/>
      <c r="R47" s="694"/>
      <c r="S47" s="1834" t="str">
        <f>INDEX(PT_DIFFERENTIATION_NUM_TER,MATCH(B47,PT_DIFFERENTIATION_TER_ID,0))</f>
        <v>.</v>
      </c>
      <c r="T47" s="649" t="s">
        <v>392</v>
      </c>
      <c r="U47" s="641"/>
      <c r="V47" s="2584"/>
      <c r="W47" s="2584"/>
      <c r="X47" s="2584"/>
      <c r="Y47" s="2584"/>
      <c r="Z47" s="2584"/>
      <c r="AA47" s="2584"/>
      <c r="AB47" s="2584"/>
      <c r="AC47" s="2585"/>
      <c r="AD47" s="2583" t="str">
        <f>INDEX(PT_DIFFERENTIATION_TER,MATCH(B47,PT_DIFFERENTIATION_TER_ID,0))</f>
        <v/>
      </c>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2584"/>
      <c r="BB47" s="2585"/>
      <c r="BC47" s="1599" t="s">
        <v>393</v>
      </c>
      <c r="BE47" s="841"/>
      <c r="BF47" s="841" t="str">
        <f>IF(T47="","",T47)</f>
        <v>Территория действия тарифа</v>
      </c>
      <c r="BG47" s="841"/>
      <c r="BH47" s="841"/>
      <c r="BI47" s="1496">
        <v>21</v>
      </c>
    </row>
    <row customHeight="1" ht="35.699999999999996">
      <c r="A48" s="1704" t="s">
        <v>271</v>
      </c>
      <c r="B48" s="1704" t="s">
        <v>272</v>
      </c>
      <c r="C48" s="1704" t="s">
        <v>273</v>
      </c>
      <c r="D48" s="1704"/>
      <c r="E48" s="2600"/>
      <c r="F48" s="2600"/>
      <c r="G48" s="2599">
        <v>1</v>
      </c>
      <c r="H48" s="1704"/>
      <c r="I48" s="1704"/>
      <c r="J48" s="1704"/>
      <c r="K48" s="1704"/>
      <c r="L48" s="1705"/>
      <c r="M48" s="1706"/>
      <c r="N48" s="1706"/>
      <c r="O48" s="1706"/>
      <c r="P48" s="1753"/>
      <c r="Q48" s="1752"/>
      <c r="R48" s="694"/>
      <c r="S48" s="1834" t="str">
        <f>INDEX(PT_DIFFERENTIATION_NUM_CS,MATCH(C48,PT_DIFFERENTIATION_CS_ID,0))</f>
        <v>..</v>
      </c>
      <c r="T48" s="650" t="s">
        <v>511</v>
      </c>
      <c r="U48" s="641"/>
      <c r="V48" s="2584"/>
      <c r="W48" s="2584"/>
      <c r="X48" s="2584"/>
      <c r="Y48" s="2584"/>
      <c r="Z48" s="2584"/>
      <c r="AA48" s="2584"/>
      <c r="AB48" s="2584"/>
      <c r="AC48" s="2585"/>
      <c r="AD48" s="2583" t="str">
        <f>INDEX(PT_DIFFERENTIATION_CS,MATCH(C48,PT_DIFFERENTIATION_CS_ID,0))</f>
        <v/>
      </c>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2584"/>
      <c r="BB48" s="2585"/>
      <c r="BC48" s="1599" t="s">
        <v>512</v>
      </c>
      <c r="BE48" s="841"/>
      <c r="BF48" s="841" t="str">
        <f>IF(T48="","",T48)</f>
        <v>Наименование централизованной системы водоотведения</v>
      </c>
      <c r="BG48" s="841"/>
      <c r="BH48" s="841"/>
      <c r="BI48" s="1496">
        <v>34</v>
      </c>
    </row>
    <row s="17316" customFormat="1" customHeight="1" ht="0">
      <c r="A49" s="1684" t="s">
        <v>271</v>
      </c>
      <c r="B49" s="1684" t="s">
        <v>272</v>
      </c>
      <c r="C49" s="1684" t="s">
        <v>273</v>
      </c>
      <c r="D49" s="1684" t="s">
        <v>524</v>
      </c>
      <c r="E49" s="2600"/>
      <c r="F49" s="2600"/>
      <c r="G49" s="2600"/>
      <c r="H49" s="2599">
        <v>1</v>
      </c>
      <c r="I49" s="1684"/>
      <c r="J49" s="1684"/>
      <c r="K49" s="1684"/>
      <c r="L49" s="1687"/>
      <c r="M49" s="1656"/>
      <c r="N49" s="1656"/>
      <c r="O49" s="1656"/>
      <c r="P49" s="1838"/>
      <c r="Q49" s="1839"/>
      <c r="R49" s="698"/>
      <c r="S49" s="1383"/>
      <c r="T49" s="1840"/>
      <c r="U49" s="1725"/>
      <c r="V49" s="2638"/>
      <c r="W49" s="2638"/>
      <c r="X49" s="2638"/>
      <c r="Y49" s="2638"/>
      <c r="Z49" s="2638"/>
      <c r="AA49" s="2638"/>
      <c r="AB49" s="2638"/>
      <c r="AC49" s="2639"/>
      <c r="AD49" s="2637"/>
      <c r="AE49" s="2638"/>
      <c r="AF49" s="2638"/>
      <c r="AG49" s="2638"/>
      <c r="AH49" s="2638"/>
      <c r="AI49" s="2638"/>
      <c r="AJ49" s="2638"/>
      <c r="AK49" s="2638"/>
      <c r="AL49" s="2638"/>
      <c r="AM49" s="2638"/>
      <c r="AN49" s="2638"/>
      <c r="AO49" s="2638"/>
      <c r="AP49" s="2638"/>
      <c r="AQ49" s="2638"/>
      <c r="AR49" s="2638"/>
      <c r="AS49" s="2638"/>
      <c r="AT49" s="2638"/>
      <c r="AU49" s="2638"/>
      <c r="AV49" s="2638"/>
      <c r="AW49" s="2638"/>
      <c r="AX49" s="2638"/>
      <c r="AY49" s="2638"/>
      <c r="AZ49" s="2638"/>
      <c r="BA49" s="2638"/>
      <c r="BB49" s="2639"/>
      <c r="BC49" s="1726" t="s">
        <v>397</v>
      </c>
      <c r="BE49" s="841"/>
      <c r="BF49" s="841" t="str">
        <f>IF(T49="","",T49)</f>
        <v/>
      </c>
      <c r="BG49" s="841"/>
      <c r="BH49" s="841"/>
      <c r="BI49" s="852">
        <v>0</v>
      </c>
    </row>
    <row s="17316" customFormat="1" customHeight="1" ht="0">
      <c r="A50" s="1684" t="s">
        <v>271</v>
      </c>
      <c r="B50" s="1684" t="s">
        <v>272</v>
      </c>
      <c r="C50" s="1684" t="s">
        <v>273</v>
      </c>
      <c r="D50" s="1684" t="s">
        <v>524</v>
      </c>
      <c r="E50" s="2600"/>
      <c r="F50" s="2600"/>
      <c r="G50" s="2600"/>
      <c r="H50" s="2600"/>
      <c r="I50" s="2597" t="str">
        <f>S49&amp;".1"</f>
        <v>.1</v>
      </c>
      <c r="J50" s="1684"/>
      <c r="K50" s="1684"/>
      <c r="L50" s="1687" t="s">
        <v>398</v>
      </c>
      <c r="M50" s="851"/>
      <c r="N50" s="851"/>
      <c r="O50" s="851"/>
      <c r="P50" s="2598">
        <v>1</v>
      </c>
      <c r="Q50" s="1822"/>
      <c r="R50" s="697"/>
      <c r="S50" s="1383"/>
      <c r="T50" s="1724"/>
      <c r="U50" s="1725"/>
      <c r="V50" s="2638"/>
      <c r="W50" s="2638"/>
      <c r="X50" s="2638"/>
      <c r="Y50" s="2638"/>
      <c r="Z50" s="2638"/>
      <c r="AA50" s="2638"/>
      <c r="AB50" s="2638"/>
      <c r="AC50" s="2639"/>
      <c r="AD50" s="2637"/>
      <c r="AE50" s="2638"/>
      <c r="AF50" s="2638"/>
      <c r="AG50" s="2638"/>
      <c r="AH50" s="2638"/>
      <c r="AI50" s="2638"/>
      <c r="AJ50" s="2638"/>
      <c r="AK50" s="2638"/>
      <c r="AL50" s="2638"/>
      <c r="AM50" s="2638"/>
      <c r="AN50" s="2638"/>
      <c r="AO50" s="2638"/>
      <c r="AP50" s="2638"/>
      <c r="AQ50" s="2638"/>
      <c r="AR50" s="2638"/>
      <c r="AS50" s="2638"/>
      <c r="AT50" s="2638"/>
      <c r="AU50" s="2638"/>
      <c r="AV50" s="2638"/>
      <c r="AW50" s="2638"/>
      <c r="AX50" s="2638"/>
      <c r="AY50" s="2638"/>
      <c r="AZ50" s="2638"/>
      <c r="BA50" s="2638"/>
      <c r="BB50" s="2639"/>
      <c r="BC50" s="1726"/>
      <c r="BE50" s="841"/>
      <c r="BF50" s="841" t="str">
        <f>IF(T50="","",T50)</f>
        <v/>
      </c>
      <c r="BG50" s="841"/>
      <c r="BH50" s="841"/>
      <c r="BI50" s="852">
        <v>0</v>
      </c>
    </row>
    <row s="17316" customFormat="1" customHeight="1" ht="0">
      <c r="A51" s="1684" t="s">
        <v>271</v>
      </c>
      <c r="B51" s="1684" t="s">
        <v>272</v>
      </c>
      <c r="C51" s="1684" t="s">
        <v>273</v>
      </c>
      <c r="D51" s="1684" t="s">
        <v>524</v>
      </c>
      <c r="E51" s="2600"/>
      <c r="F51" s="2600"/>
      <c r="G51" s="2600"/>
      <c r="H51" s="2600"/>
      <c r="I51" s="2627"/>
      <c r="J51" s="2597" t="str">
        <f>S49&amp;".1"</f>
        <v>.1</v>
      </c>
      <c r="K51" s="1684"/>
      <c r="L51" s="1687"/>
      <c r="M51" s="851"/>
      <c r="N51" s="851"/>
      <c r="O51" s="851"/>
      <c r="P51" s="2598"/>
      <c r="Q51" s="2598">
        <v>1</v>
      </c>
      <c r="R51" s="698"/>
      <c r="S51" s="1383"/>
      <c r="T51" s="1740"/>
      <c r="U51" s="1725"/>
      <c r="V51" s="2638"/>
      <c r="W51" s="2638"/>
      <c r="X51" s="2638"/>
      <c r="Y51" s="2638"/>
      <c r="Z51" s="2638"/>
      <c r="AA51" s="2638"/>
      <c r="AB51" s="2638"/>
      <c r="AC51" s="2639"/>
      <c r="AD51" s="2637"/>
      <c r="AE51" s="2638"/>
      <c r="AF51" s="2638"/>
      <c r="AG51" s="2638"/>
      <c r="AH51" s="2638"/>
      <c r="AI51" s="2638"/>
      <c r="AJ51" s="2638"/>
      <c r="AK51" s="2638"/>
      <c r="AL51" s="2638"/>
      <c r="AM51" s="2638"/>
      <c r="AN51" s="2705"/>
      <c r="AO51" s="2705"/>
      <c r="AP51" s="2638"/>
      <c r="AQ51" s="2638"/>
      <c r="AR51" s="2638"/>
      <c r="AS51" s="2638"/>
      <c r="AT51" s="2638"/>
      <c r="AU51" s="2638"/>
      <c r="AV51" s="2638"/>
      <c r="AW51" s="2638"/>
      <c r="AX51" s="2638"/>
      <c r="AY51" s="2638"/>
      <c r="AZ51" s="2638"/>
      <c r="BA51" s="2638"/>
      <c r="BB51" s="2639"/>
      <c r="BC51" s="1726"/>
      <c r="BE51" s="841"/>
      <c r="BF51" s="841" t="str">
        <f>IF(T51="","",T51)</f>
        <v/>
      </c>
      <c r="BG51" s="841"/>
      <c r="BH51" s="841"/>
      <c r="BI51" s="852">
        <v>0</v>
      </c>
    </row>
    <row customHeight="1" ht="11.549999999999999">
      <c r="A52" s="1704" t="s">
        <v>271</v>
      </c>
      <c r="B52" s="1704" t="s">
        <v>272</v>
      </c>
      <c r="C52" s="1704" t="s">
        <v>273</v>
      </c>
      <c r="D52" s="1704" t="s">
        <v>524</v>
      </c>
      <c r="E52" s="2600"/>
      <c r="F52" s="2600"/>
      <c r="G52" s="2600"/>
      <c r="H52" s="2600"/>
      <c r="I52" s="2627"/>
      <c r="J52" s="2627"/>
      <c r="K52" s="2597" t="str">
        <f>S48&amp;".1"</f>
        <v>...1</v>
      </c>
      <c r="L52" s="1705"/>
      <c r="P52" s="2598"/>
      <c r="Q52" s="2598"/>
      <c r="R52" s="698">
        <v>1</v>
      </c>
      <c r="S52" s="2682" t="str">
        <f>$K52</f>
        <v>...1</v>
      </c>
      <c r="T52" s="2701"/>
      <c r="U52" s="641"/>
      <c r="V52" s="1092"/>
      <c r="W52" s="1598"/>
      <c r="X52" s="1092"/>
      <c r="Y52" s="1598"/>
      <c r="Z52" s="2075"/>
      <c r="AA52" s="1810" t="s">
        <v>65</v>
      </c>
      <c r="AB52" s="2075"/>
      <c r="AC52" s="1810" t="s">
        <v>65</v>
      </c>
      <c r="AD52" s="2526" t="s">
        <v>65</v>
      </c>
      <c r="AE52" s="2667"/>
      <c r="AF52" s="2546">
        <v>1</v>
      </c>
      <c r="AG52" s="2704"/>
      <c r="AH52" s="2448" t="s">
        <v>65</v>
      </c>
      <c r="AI52" s="2667"/>
      <c r="AJ52" s="2546">
        <v>1</v>
      </c>
      <c r="AK52" s="2668" t="s">
        <v>22</v>
      </c>
      <c r="AL52" s="2448" t="s">
        <v>65</v>
      </c>
      <c r="AM52" s="2533"/>
      <c r="AN52" s="2546">
        <v>1</v>
      </c>
      <c r="AO52" s="2698"/>
      <c r="AP52" s="2699" t="s">
        <v>65</v>
      </c>
      <c r="AQ52" s="652"/>
      <c r="AR52" s="1827">
        <v>1</v>
      </c>
      <c r="AS52" s="1833" t="s">
        <v>22</v>
      </c>
      <c r="AT52" s="1092"/>
      <c r="AU52" s="1598"/>
      <c r="AV52" s="1092"/>
      <c r="AW52" s="1598"/>
      <c r="AX52" s="2075"/>
      <c r="AY52" s="1810" t="s">
        <v>65</v>
      </c>
      <c r="AZ52" s="2075"/>
      <c r="BA52" s="1810" t="s">
        <v>65</v>
      </c>
      <c r="BB52" s="1689"/>
      <c r="BC52" s="2594" t="s">
        <v>496</v>
      </c>
      <c r="BE52" s="841"/>
      <c r="BF52" s="841" t="str">
        <f>IF(T52="","",T52)</f>
        <v/>
      </c>
      <c r="BG52" s="841"/>
      <c r="BH52" s="841"/>
      <c r="BI52" s="1496">
        <v>11</v>
      </c>
    </row>
    <row customHeight="1" ht="11.549999999999999">
      <c r="A53" s="1704"/>
      <c r="B53" s="1704"/>
      <c r="C53" s="1704"/>
      <c r="D53" s="1704"/>
      <c r="E53" s="2600"/>
      <c r="F53" s="2600"/>
      <c r="G53" s="2600"/>
      <c r="H53" s="2600"/>
      <c r="I53" s="2627"/>
      <c r="J53" s="2627"/>
      <c r="K53" s="2597"/>
      <c r="L53" s="1705"/>
      <c r="P53" s="2598"/>
      <c r="Q53" s="2598"/>
      <c r="R53" s="698"/>
      <c r="S53" s="2683"/>
      <c r="T53" s="2702"/>
      <c r="U53" s="641"/>
      <c r="V53" s="1734"/>
      <c r="W53" s="1837"/>
      <c r="X53" s="1734"/>
      <c r="Y53" s="1837"/>
      <c r="Z53" s="1734"/>
      <c r="AA53" s="1734"/>
      <c r="AB53" s="1734"/>
      <c r="AC53" s="1734"/>
      <c r="AD53" s="2527"/>
      <c r="AE53" s="2667"/>
      <c r="AF53" s="2546"/>
      <c r="AG53" s="2704"/>
      <c r="AH53" s="2448"/>
      <c r="AI53" s="2667"/>
      <c r="AJ53" s="2546"/>
      <c r="AK53" s="2668"/>
      <c r="AL53" s="2448"/>
      <c r="AM53" s="2541"/>
      <c r="AN53" s="2546"/>
      <c r="AO53" s="2698"/>
      <c r="AP53" s="2700"/>
      <c r="AQ53" s="657"/>
      <c r="AR53" s="757"/>
      <c r="AS53" s="757" t="s">
        <v>497</v>
      </c>
      <c r="AT53" s="1734"/>
      <c r="AU53" s="1837"/>
      <c r="AV53" s="1734"/>
      <c r="AW53" s="1837"/>
      <c r="AX53" s="1734"/>
      <c r="AY53" s="1734"/>
      <c r="AZ53" s="1734"/>
      <c r="BA53" s="1734"/>
      <c r="BB53" s="1738"/>
      <c r="BC53" s="2595"/>
      <c r="BE53" s="841"/>
      <c r="BF53" s="841"/>
      <c r="BG53" s="841"/>
      <c r="BH53" s="841"/>
      <c r="BI53" s="1496">
        <v>11</v>
      </c>
    </row>
    <row customHeight="1" ht="11.549999999999999">
      <c r="A54" s="1704" t="s">
        <v>271</v>
      </c>
      <c r="B54" s="1704"/>
      <c r="C54" s="1704"/>
      <c r="D54" s="1704"/>
      <c r="E54" s="2600"/>
      <c r="F54" s="2600"/>
      <c r="G54" s="2600"/>
      <c r="H54" s="2600"/>
      <c r="I54" s="2627"/>
      <c r="J54" s="2627"/>
      <c r="K54" s="2597"/>
      <c r="L54" s="1705"/>
      <c r="P54" s="2598"/>
      <c r="Q54" s="2598"/>
      <c r="R54" s="698"/>
      <c r="S54" s="2683"/>
      <c r="T54" s="2702"/>
      <c r="U54" s="641"/>
      <c r="V54" s="1734"/>
      <c r="W54" s="1837"/>
      <c r="X54" s="1734"/>
      <c r="Y54" s="1837"/>
      <c r="Z54" s="1734"/>
      <c r="AA54" s="1734"/>
      <c r="AB54" s="1734"/>
      <c r="AC54" s="1734"/>
      <c r="AD54" s="2527"/>
      <c r="AE54" s="2667"/>
      <c r="AF54" s="2546"/>
      <c r="AG54" s="2704"/>
      <c r="AH54" s="2448"/>
      <c r="AI54" s="2667"/>
      <c r="AJ54" s="2546"/>
      <c r="AK54" s="2668"/>
      <c r="AL54" s="2448"/>
      <c r="AM54" s="657"/>
      <c r="AN54" s="1841"/>
      <c r="AO54" s="1841" t="s">
        <v>517</v>
      </c>
      <c r="AP54" s="757"/>
      <c r="AQ54" s="757"/>
      <c r="AR54" s="757"/>
      <c r="AS54" s="1734"/>
      <c r="AT54" s="1734"/>
      <c r="AU54" s="1837"/>
      <c r="AV54" s="1734"/>
      <c r="AW54" s="1837"/>
      <c r="AX54" s="1734"/>
      <c r="AY54" s="1734"/>
      <c r="AZ54" s="1734"/>
      <c r="BA54" s="1734"/>
      <c r="BB54" s="1738"/>
      <c r="BC54" s="2595"/>
      <c r="BE54" s="841"/>
      <c r="BF54" s="841"/>
      <c r="BG54" s="841"/>
      <c r="BH54" s="841"/>
      <c r="BI54" s="1496">
        <v>11</v>
      </c>
    </row>
    <row customHeight="1" ht="11.549999999999999">
      <c r="A55" s="1704" t="s">
        <v>271</v>
      </c>
      <c r="B55" s="1704"/>
      <c r="C55" s="1704"/>
      <c r="D55" s="1704"/>
      <c r="E55" s="2600"/>
      <c r="F55" s="2600"/>
      <c r="G55" s="2600"/>
      <c r="H55" s="2600"/>
      <c r="I55" s="2627"/>
      <c r="J55" s="2627"/>
      <c r="K55" s="2597"/>
      <c r="L55" s="1705"/>
      <c r="P55" s="2598"/>
      <c r="Q55" s="2598"/>
      <c r="R55" s="698"/>
      <c r="S55" s="2683"/>
      <c r="T55" s="2702"/>
      <c r="U55" s="641"/>
      <c r="V55" s="1734"/>
      <c r="W55" s="1837"/>
      <c r="X55" s="1734"/>
      <c r="Y55" s="1837"/>
      <c r="Z55" s="1734"/>
      <c r="AA55" s="1734"/>
      <c r="AB55" s="1734"/>
      <c r="AC55" s="1734"/>
      <c r="AD55" s="2527"/>
      <c r="AE55" s="2667"/>
      <c r="AF55" s="2546"/>
      <c r="AG55" s="2704"/>
      <c r="AH55" s="2448"/>
      <c r="AI55" s="635"/>
      <c r="AJ55" s="756"/>
      <c r="AK55" s="654" t="s">
        <v>518</v>
      </c>
      <c r="AL55" s="1734"/>
      <c r="AM55" s="1734"/>
      <c r="AN55" s="1734"/>
      <c r="AO55" s="1734"/>
      <c r="AP55" s="1734"/>
      <c r="AQ55" s="1734"/>
      <c r="AR55" s="1734"/>
      <c r="AS55" s="1734"/>
      <c r="AT55" s="1734"/>
      <c r="AU55" s="1837"/>
      <c r="AV55" s="1734"/>
      <c r="AW55" s="1837"/>
      <c r="AX55" s="1734"/>
      <c r="AY55" s="1734"/>
      <c r="AZ55" s="1734"/>
      <c r="BA55" s="1734"/>
      <c r="BB55" s="1738"/>
      <c r="BC55" s="2595"/>
      <c r="BE55" s="841"/>
      <c r="BF55" s="841"/>
      <c r="BG55" s="841"/>
      <c r="BH55" s="841"/>
      <c r="BI55" s="1496">
        <v>11</v>
      </c>
    </row>
    <row customHeight="1" ht="11.549999999999999">
      <c r="A56" s="1704" t="s">
        <v>271</v>
      </c>
      <c r="B56" s="1704" t="s">
        <v>272</v>
      </c>
      <c r="C56" s="1704" t="s">
        <v>273</v>
      </c>
      <c r="D56" s="1704" t="s">
        <v>524</v>
      </c>
      <c r="E56" s="2600"/>
      <c r="F56" s="2600"/>
      <c r="G56" s="2600"/>
      <c r="H56" s="2600"/>
      <c r="I56" s="2627"/>
      <c r="J56" s="2627"/>
      <c r="K56" s="2597"/>
      <c r="L56" s="1705"/>
      <c r="P56" s="2598"/>
      <c r="Q56" s="2598"/>
      <c r="R56" s="698"/>
      <c r="S56" s="2684"/>
      <c r="T56" s="2703"/>
      <c r="U56" s="641"/>
      <c r="V56" s="1734"/>
      <c r="W56" s="1735" t="str">
        <f>Z52&amp;"-"&amp;AB52</f>
        <v>-</v>
      </c>
      <c r="X56" s="1734"/>
      <c r="Y56" s="1735" t="str">
        <f>AB52&amp;"-"&amp;AD52</f>
        <v>-да</v>
      </c>
      <c r="Z56" s="1734"/>
      <c r="AA56" s="1734"/>
      <c r="AB56" s="1734"/>
      <c r="AC56" s="1734"/>
      <c r="AD56" s="2453"/>
      <c r="AE56" s="653"/>
      <c r="AF56" s="655"/>
      <c r="AG56" s="757" t="s">
        <v>500</v>
      </c>
      <c r="AH56" s="1734"/>
      <c r="AI56" s="1734"/>
      <c r="AJ56" s="1734"/>
      <c r="AK56" s="1734"/>
      <c r="AL56" s="1734"/>
      <c r="AM56" s="1734"/>
      <c r="AN56" s="1734"/>
      <c r="AO56" s="1734"/>
      <c r="AP56" s="1734"/>
      <c r="AQ56" s="1734"/>
      <c r="AR56" s="1734"/>
      <c r="AS56" s="1734"/>
      <c r="AT56" s="1734"/>
      <c r="AU56" s="1735" t="str">
        <f>AX52&amp;"-"&amp;AZ52</f>
        <v>-</v>
      </c>
      <c r="AV56" s="1734"/>
      <c r="AW56" s="1735" t="str">
        <f>AZ52&amp;"-"&amp;BB52</f>
        <v>-</v>
      </c>
      <c r="AX56" s="1734"/>
      <c r="AY56" s="1734"/>
      <c r="AZ56" s="1734"/>
      <c r="BA56" s="1734"/>
      <c r="BB56" s="1737" t="str">
        <f>BE52&amp;"-"&amp;BG52</f>
        <v>-</v>
      </c>
      <c r="BC56" s="2595"/>
      <c r="BE56" s="841"/>
      <c r="BF56" s="841" t="str">
        <f>IF(T56="","",T56)</f>
        <v/>
      </c>
      <c r="BG56" s="841"/>
      <c r="BH56" s="841"/>
      <c r="BI56" s="1496">
        <v>11</v>
      </c>
    </row>
    <row customHeight="1" ht="11.549999999999999">
      <c r="A57" s="1704" t="s">
        <v>271</v>
      </c>
      <c r="B57" s="1704" t="s">
        <v>272</v>
      </c>
      <c r="C57" s="1704" t="s">
        <v>273</v>
      </c>
      <c r="D57" s="1704" t="s">
        <v>524</v>
      </c>
      <c r="E57" s="2600"/>
      <c r="F57" s="2600"/>
      <c r="G57" s="2600"/>
      <c r="H57" s="2600"/>
      <c r="I57" s="2627"/>
      <c r="J57" s="2597"/>
      <c r="K57" s="1704"/>
      <c r="L57" s="1705"/>
      <c r="P57" s="2598"/>
      <c r="Q57" s="2598"/>
      <c r="R57" s="697"/>
      <c r="S57" s="1619"/>
      <c r="T57" s="628" t="s">
        <v>463</v>
      </c>
      <c r="U57" s="708"/>
      <c r="V57" s="708"/>
      <c r="W57" s="708"/>
      <c r="X57" s="708"/>
      <c r="Y57" s="708"/>
      <c r="Z57" s="708"/>
      <c r="AA57" s="708"/>
      <c r="AB57" s="708"/>
      <c r="AC57" s="665"/>
      <c r="AD57" s="1846"/>
      <c r="AE57" s="708"/>
      <c r="AF57" s="708"/>
      <c r="AG57" s="708"/>
      <c r="AH57" s="708"/>
      <c r="AI57" s="708"/>
      <c r="AJ57" s="708"/>
      <c r="AK57" s="708"/>
      <c r="AL57" s="708"/>
      <c r="AM57" s="708"/>
      <c r="AN57" s="708"/>
      <c r="AO57" s="708"/>
      <c r="AP57" s="708"/>
      <c r="AQ57" s="708"/>
      <c r="AR57" s="708"/>
      <c r="AS57" s="708"/>
      <c r="AT57" s="708"/>
      <c r="AU57" s="708"/>
      <c r="AV57" s="708"/>
      <c r="AW57" s="708"/>
      <c r="AX57" s="708"/>
      <c r="AY57" s="708"/>
      <c r="AZ57" s="708"/>
      <c r="BA57" s="708"/>
      <c r="BB57" s="665"/>
      <c r="BC57" s="2596"/>
      <c r="BE57" s="841"/>
      <c r="BF57" s="841" t="str">
        <f>IF(T57="","",T57)</f>
        <v>Добавить строку</v>
      </c>
      <c r="BG57" s="841"/>
      <c r="BH57" s="841"/>
      <c r="BI57" s="1496">
        <v>11</v>
      </c>
    </row>
    <row s="17316" customFormat="1" customHeight="1" ht="0">
      <c r="A58" s="1684" t="s">
        <v>271</v>
      </c>
      <c r="B58" s="1684" t="s">
        <v>272</v>
      </c>
      <c r="C58" s="1684" t="s">
        <v>273</v>
      </c>
      <c r="D58" s="1684" t="s">
        <v>524</v>
      </c>
      <c r="E58" s="2600"/>
      <c r="F58" s="2600"/>
      <c r="G58" s="2600"/>
      <c r="H58" s="2600"/>
      <c r="I58" s="2597"/>
      <c r="J58" s="1684"/>
      <c r="K58" s="1684"/>
      <c r="L58" s="1687"/>
      <c r="M58" s="851"/>
      <c r="N58" s="851"/>
      <c r="O58" s="851"/>
      <c r="P58" s="2598"/>
      <c r="Q58" s="1822"/>
      <c r="R58" s="697"/>
      <c r="S58" s="1727"/>
      <c r="T58" s="1728"/>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1729"/>
      <c r="BB58" s="1729"/>
      <c r="BC58" s="1730"/>
      <c r="BE58" s="841"/>
      <c r="BF58" s="841" t="str">
        <f>IF(T58="","",T58)</f>
        <v/>
      </c>
      <c r="BG58" s="841"/>
      <c r="BH58" s="841"/>
      <c r="BI58" s="852">
        <v>0</v>
      </c>
    </row>
    <row s="17316" customFormat="1" customHeight="1" ht="0">
      <c r="A59" s="1684" t="s">
        <v>271</v>
      </c>
      <c r="B59" s="1684" t="s">
        <v>272</v>
      </c>
      <c r="C59" s="1684" t="s">
        <v>273</v>
      </c>
      <c r="D59" s="1684" t="s">
        <v>524</v>
      </c>
      <c r="E59" s="2600"/>
      <c r="F59" s="2600"/>
      <c r="G59" s="2600"/>
      <c r="H59" s="2599"/>
      <c r="I59" s="1684"/>
      <c r="J59" s="1684"/>
      <c r="K59" s="1684"/>
      <c r="L59" s="1687"/>
      <c r="M59" s="1656"/>
      <c r="N59" s="1656"/>
      <c r="O59" s="859"/>
      <c r="P59" s="721"/>
      <c r="Q59" s="1685"/>
      <c r="R59" s="1742"/>
      <c r="S59" s="1727"/>
      <c r="T59" s="1728"/>
      <c r="U59" s="1729"/>
      <c r="V59" s="1729"/>
      <c r="W59" s="1729"/>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729"/>
      <c r="AS59" s="1729"/>
      <c r="AT59" s="1729"/>
      <c r="AU59" s="1729"/>
      <c r="AV59" s="1729"/>
      <c r="AW59" s="1729"/>
      <c r="AX59" s="1729"/>
      <c r="AY59" s="1729"/>
      <c r="AZ59" s="1729"/>
      <c r="BA59" s="1729"/>
      <c r="BB59" s="1729"/>
      <c r="BC59" s="1730"/>
      <c r="BE59" s="841"/>
      <c r="BF59" s="841" t="str">
        <f>IF(T59="","",T59)</f>
        <v/>
      </c>
      <c r="BG59" s="841"/>
      <c r="BH59" s="841"/>
      <c r="BI59" s="852">
        <v>0</v>
      </c>
    </row>
    <row s="17316" customFormat="1" customHeight="1" ht="0">
      <c r="A60" s="1684" t="s">
        <v>271</v>
      </c>
      <c r="B60" s="1684" t="s">
        <v>272</v>
      </c>
      <c r="C60" s="1684" t="s">
        <v>273</v>
      </c>
      <c r="D60" s="1655"/>
      <c r="E60" s="2600"/>
      <c r="F60" s="2600"/>
      <c r="G60" s="2599"/>
      <c r="H60" s="1655"/>
      <c r="I60" s="1655"/>
      <c r="J60" s="1655"/>
      <c r="K60" s="1655"/>
      <c r="L60" s="1835"/>
      <c r="M60" s="1656"/>
      <c r="N60" s="1656"/>
      <c r="P60" s="1657"/>
      <c r="Q60" s="1658"/>
      <c r="R60" s="1657"/>
      <c r="S60" s="1663"/>
      <c r="T60" s="1666"/>
      <c r="U60" s="1665"/>
      <c r="V60" s="1665"/>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V60" s="1665"/>
      <c r="AW60" s="1665"/>
      <c r="AX60" s="1665"/>
      <c r="AY60" s="1665"/>
      <c r="AZ60" s="1665"/>
      <c r="BA60" s="1665"/>
      <c r="BB60" s="1665"/>
      <c r="BC60" s="1665"/>
      <c r="BE60" s="1130"/>
      <c r="BF60" s="1130" t="str">
        <f>IF(T60="","",T60)</f>
        <v/>
      </c>
      <c r="BG60" s="1130"/>
      <c r="BH60" s="1130"/>
      <c r="BI60" s="859">
        <v>0</v>
      </c>
    </row>
    <row s="17316" customFormat="1" customHeight="1" ht="0">
      <c r="A61" s="1684" t="s">
        <v>271</v>
      </c>
      <c r="B61" s="1684" t="s">
        <v>272</v>
      </c>
      <c r="C61" s="1655"/>
      <c r="D61" s="1655"/>
      <c r="E61" s="2600"/>
      <c r="F61" s="2599"/>
      <c r="G61" s="1655"/>
      <c r="H61" s="1655"/>
      <c r="I61" s="1655"/>
      <c r="J61" s="1655"/>
      <c r="K61" s="1655"/>
      <c r="L61" s="1835"/>
      <c r="M61" s="1662"/>
      <c r="N61" s="1662"/>
      <c r="P61" s="1657"/>
      <c r="Q61" s="1658"/>
      <c r="R61" s="1657"/>
      <c r="S61" s="1663"/>
      <c r="T61" s="1666" t="s">
        <v>410</v>
      </c>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E61" s="1130"/>
      <c r="BF61" s="1130" t="str">
        <f>IF(T61="","",T61)</f>
        <v>Добавить централизованную систему для дифференциации</v>
      </c>
      <c r="BG61" s="1130"/>
      <c r="BH61" s="1130"/>
      <c r="BI61" s="859">
        <v>0</v>
      </c>
    </row>
    <row s="17316" customFormat="1" customHeight="1" ht="0">
      <c r="A62" s="1684" t="s">
        <v>271</v>
      </c>
      <c r="B62" s="1684"/>
      <c r="C62" s="1684"/>
      <c r="D62" s="1684"/>
      <c r="E62" s="2599"/>
      <c r="F62" s="1684"/>
      <c r="G62" s="1684"/>
      <c r="H62" s="1684"/>
      <c r="I62" s="1684"/>
      <c r="J62" s="1684"/>
      <c r="K62" s="1684"/>
      <c r="L62" s="1687"/>
      <c r="M62" s="1662"/>
      <c r="N62" s="1662"/>
      <c r="O62" s="859"/>
      <c r="P62" s="721"/>
      <c r="Q62" s="1685"/>
      <c r="R62" s="721"/>
      <c r="S62" s="1663"/>
      <c r="T62" s="1666" t="s">
        <v>411</v>
      </c>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V62" s="1665"/>
      <c r="AW62" s="1665"/>
      <c r="AX62" s="1665"/>
      <c r="AY62" s="1665"/>
      <c r="AZ62" s="1665"/>
      <c r="BA62" s="1665"/>
      <c r="BB62" s="1665"/>
      <c r="BC62" s="1665"/>
      <c r="BE62" s="841"/>
      <c r="BF62" s="841" t="str">
        <f>IF(T62="","",T62)</f>
        <v>Добавить территорию для дифференциации</v>
      </c>
      <c r="BG62" s="841"/>
      <c r="BH62" s="841"/>
      <c r="BI62" s="852">
        <v>0</v>
      </c>
    </row>
    <row s="17316" customFormat="1" customHeight="1" ht="0">
      <c r="A63" s="1655"/>
      <c r="B63" s="1655"/>
      <c r="C63" s="1655"/>
      <c r="D63" s="1655"/>
      <c r="E63" s="1684"/>
      <c r="F63" s="1655"/>
      <c r="G63" s="1655"/>
      <c r="H63" s="1655"/>
      <c r="I63" s="1655"/>
      <c r="J63" s="1655"/>
      <c r="K63" s="1655"/>
      <c r="L63" s="1835"/>
      <c r="M63" s="1662"/>
      <c r="N63" s="1662"/>
      <c r="P63" s="1657"/>
      <c r="Q63" s="1658"/>
      <c r="R63" s="1657"/>
      <c r="S63" s="1663"/>
      <c r="T63" s="1666" t="s">
        <v>443</v>
      </c>
      <c r="U63" s="1665"/>
      <c r="V63" s="1665"/>
      <c r="W63" s="1665"/>
      <c r="X63" s="1665"/>
      <c r="Y63" s="1665"/>
      <c r="Z63" s="1665"/>
      <c r="AA63" s="1665"/>
      <c r="AB63" s="1665"/>
      <c r="AC63" s="1665"/>
      <c r="AD63" s="1665"/>
      <c r="AE63" s="1665"/>
      <c r="AF63" s="1665"/>
      <c r="AG63" s="1665"/>
      <c r="AH63" s="1665"/>
      <c r="AI63" s="1665"/>
      <c r="AJ63" s="1665"/>
      <c r="AK63" s="1665"/>
      <c r="AL63" s="1665"/>
      <c r="AM63" s="1665"/>
      <c r="AN63" s="1665"/>
      <c r="AO63" s="1665"/>
      <c r="AP63" s="1665"/>
      <c r="AQ63" s="1665"/>
      <c r="AR63" s="1665"/>
      <c r="AS63" s="1665"/>
      <c r="AT63" s="1665"/>
      <c r="AU63" s="1665"/>
      <c r="AV63" s="1665"/>
      <c r="AW63" s="1665"/>
      <c r="AX63" s="1665"/>
      <c r="AY63" s="1665"/>
      <c r="AZ63" s="1665"/>
      <c r="BA63" s="1665"/>
      <c r="BB63" s="1665"/>
      <c r="BC63" s="1665"/>
      <c r="BE63" s="1130"/>
      <c r="BF63" s="1130" t="str">
        <f>IF(T63="","",T63)</f>
        <v>Добавить наименование тарифа</v>
      </c>
      <c r="BG63" s="1130"/>
      <c r="BH63" s="1130"/>
      <c r="BI63" s="859">
        <v>0</v>
      </c>
    </row>
    <row customHeight="1" ht="11.549999999999999">
      <c r="M64" s="1501"/>
      <c r="N64" s="1501"/>
      <c r="O64" s="878"/>
      <c r="P64" s="1501"/>
      <c r="Q64" s="1501"/>
      <c r="R64" s="1496"/>
      <c r="S64" s="1496"/>
      <c r="BD64" s="1496"/>
      <c r="BE64" s="1496"/>
      <c r="BF64" s="1496"/>
      <c r="BG64" s="1496"/>
      <c r="BH64" s="1496"/>
      <c r="BI64" s="1496">
        <v>11</v>
      </c>
    </row>
    <row customHeight="1" ht="14.699999999999998">
      <c r="O65" s="878"/>
      <c r="S65" s="1594"/>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c r="AS65" s="2626"/>
      <c r="AT65" s="2626"/>
      <c r="AU65" s="2626"/>
      <c r="AV65" s="2626"/>
      <c r="AW65" s="2626"/>
      <c r="AX65" s="2626"/>
      <c r="AY65" s="2626"/>
      <c r="AZ65" s="2626"/>
      <c r="BA65" s="2626"/>
      <c r="BB65" s="2626"/>
      <c r="BC65" s="2626"/>
      <c r="BI65" s="1496">
        <v>14</v>
      </c>
    </row>
    <row customHeight="1" ht="14.699999999999998">
      <c r="O66" s="878"/>
      <c r="T66" s="1821"/>
      <c r="U66" s="1821"/>
      <c r="V66" s="1821"/>
      <c r="W66" s="1821"/>
      <c r="X66" s="1821"/>
      <c r="Y66" s="1821"/>
      <c r="Z66" s="1821"/>
      <c r="AA66" s="1821"/>
      <c r="AB66" s="1821"/>
      <c r="AC66" s="1821"/>
      <c r="AD66" s="1821"/>
      <c r="AE66" s="1821"/>
      <c r="AF66" s="1821"/>
      <c r="AG66" s="1821"/>
      <c r="AH66" s="1821"/>
      <c r="AI66" s="1821"/>
      <c r="AJ66" s="1821"/>
      <c r="AK66" s="1821"/>
      <c r="AL66" s="1821"/>
      <c r="AM66" s="1821"/>
      <c r="AN66" s="1821"/>
      <c r="AO66" s="1821"/>
      <c r="AP66" s="1821"/>
      <c r="AQ66" s="1821"/>
      <c r="AR66" s="1821"/>
      <c r="AS66" s="1821"/>
      <c r="AT66" s="1821"/>
      <c r="AU66" s="1821"/>
      <c r="AV66" s="1821"/>
      <c r="AW66" s="1821"/>
      <c r="AX66" s="1821"/>
      <c r="AY66" s="1821"/>
      <c r="AZ66" s="1821"/>
      <c r="BA66" s="1821"/>
      <c r="BB66" s="1821"/>
      <c r="BC66" s="1821"/>
      <c r="BI66" s="1496">
        <v>14</v>
      </c>
    </row>
    <row customHeight="1" ht="14.699999999999998">
      <c r="O67" s="878"/>
      <c r="S67" s="1594"/>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AV67" s="2626"/>
      <c r="AW67" s="2626"/>
      <c r="AX67" s="2626"/>
      <c r="AY67" s="2626"/>
      <c r="AZ67" s="2626"/>
      <c r="BA67" s="2626"/>
      <c r="BB67" s="2626"/>
      <c r="BC67" s="2626"/>
      <c r="BI67" s="1496">
        <v>14</v>
      </c>
    </row>
    <row customHeight="1" ht="14.699999999999998">
      <c r="O68" s="878"/>
      <c r="BI68" s="1496">
        <v>14</v>
      </c>
    </row>
    <row customHeight="1" ht="14.25" hidden="1">
      <c r="A69" s="1501" t="s">
        <v>82</v>
      </c>
      <c r="B69" s="1501">
        <v>0</v>
      </c>
      <c r="C69" s="1501">
        <v>0</v>
      </c>
      <c r="D69" s="1501">
        <v>0</v>
      </c>
      <c r="E69" s="1501">
        <v>0</v>
      </c>
      <c r="F69" s="1501">
        <v>0</v>
      </c>
      <c r="G69" s="1501">
        <v>0</v>
      </c>
      <c r="H69" s="1501">
        <v>0</v>
      </c>
      <c r="I69" s="1501">
        <v>0</v>
      </c>
      <c r="J69" s="1501">
        <v>0</v>
      </c>
      <c r="K69" s="1501">
        <v>0</v>
      </c>
      <c r="L69" s="1819">
        <v>0</v>
      </c>
      <c r="M69" s="1703">
        <v>0</v>
      </c>
      <c r="N69" s="1703">
        <v>0</v>
      </c>
      <c r="O69" s="1703">
        <v>0</v>
      </c>
      <c r="P69" s="1703">
        <v>0</v>
      </c>
      <c r="Q69" s="1712">
        <v>0</v>
      </c>
      <c r="R69" s="685">
        <v>3</v>
      </c>
      <c r="S69" s="922">
        <v>12</v>
      </c>
      <c r="T69" s="1496">
        <v>31</v>
      </c>
      <c r="U69" s="1496">
        <v>0</v>
      </c>
      <c r="V69" s="1496">
        <v>0</v>
      </c>
      <c r="W69" s="1496">
        <v>0</v>
      </c>
      <c r="X69" s="1496">
        <v>0</v>
      </c>
      <c r="Y69" s="1496">
        <v>0</v>
      </c>
      <c r="Z69" s="1496">
        <v>0</v>
      </c>
      <c r="AA69" s="1496">
        <v>0</v>
      </c>
      <c r="AB69" s="1496">
        <v>0</v>
      </c>
      <c r="AC69" s="1496">
        <v>0</v>
      </c>
      <c r="AD69" s="1496">
        <v>3</v>
      </c>
      <c r="AE69" s="1496">
        <v>3</v>
      </c>
      <c r="AF69" s="1496">
        <v>3</v>
      </c>
      <c r="AG69" s="1496">
        <v>24</v>
      </c>
      <c r="AH69" s="1496">
        <v>3</v>
      </c>
      <c r="AI69" s="1496">
        <v>3</v>
      </c>
      <c r="AJ69" s="1496">
        <v>3</v>
      </c>
      <c r="AK69" s="1496">
        <v>24</v>
      </c>
      <c r="AL69" s="1496">
        <v>3</v>
      </c>
      <c r="AM69" s="1496">
        <v>3</v>
      </c>
      <c r="AN69" s="1496">
        <v>3</v>
      </c>
      <c r="AO69" s="1496">
        <v>18</v>
      </c>
      <c r="AP69" s="1496">
        <v>3</v>
      </c>
      <c r="AQ69" s="1496">
        <v>3</v>
      </c>
      <c r="AR69" s="1496">
        <v>3</v>
      </c>
      <c r="AS69" s="1496">
        <v>18</v>
      </c>
      <c r="AT69" s="1496">
        <v>21</v>
      </c>
      <c r="AU69" s="1496">
        <v>21</v>
      </c>
      <c r="AV69" s="1496">
        <v>21</v>
      </c>
      <c r="AW69" s="1496">
        <v>21</v>
      </c>
      <c r="AX69" s="1496">
        <v>11</v>
      </c>
      <c r="AY69" s="1496">
        <v>3</v>
      </c>
      <c r="AZ69" s="1496">
        <v>11</v>
      </c>
      <c r="BA69" s="1496">
        <v>0</v>
      </c>
      <c r="BB69" s="1496">
        <v>4</v>
      </c>
      <c r="BC69" s="1496">
        <v>115</v>
      </c>
      <c r="BD69" s="852">
        <v>10</v>
      </c>
      <c r="BE69" s="852">
        <v>10</v>
      </c>
      <c r="BF69" s="852">
        <v>10</v>
      </c>
      <c r="BG69" s="852">
        <v>10</v>
      </c>
      <c r="BH69" s="852">
        <v>10</v>
      </c>
      <c r="BI69" s="1496">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C568C5-7263-73FC-FB0B-331D1AE71186}"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17239" width="8.00390625" hidden="1" customWidth="1"/>
    <col min="2" max="2" style="17315" width="6.00390625" hidden="1" customWidth="1"/>
    <col min="3" max="3" style="17239" width="3.00390625" customWidth="1"/>
    <col min="4" max="4" style="17404" width="3.00390625" customWidth="1"/>
    <col min="5" max="5" style="17239" width="6.00390625" customWidth="1"/>
    <col min="6" max="6" style="17239" width="2.7109375" hidden="1" customWidth="1"/>
    <col min="7" max="7" style="17239" width="46.7109375" customWidth="1"/>
    <col min="8" max="8" style="17239" width="42.00390625" customWidth="1"/>
    <col min="9" max="9" style="17239" width="14.00390625" customWidth="1"/>
    <col min="10" max="10" style="17405" width="3.00390625" customWidth="1"/>
    <col min="11" max="13" style="17405" width="9.140625" hidden="1"/>
    <col min="14" max="14" style="17405" width="25.7109375" hidden="1" customWidth="1"/>
    <col min="15" max="15" style="17405" width="14.421875" hidden="1" customWidth="1"/>
    <col min="16" max="19" style="17406" width="9.140625" hidden="1"/>
    <col min="20" max="27" style="17239" width="9.140625" hidden="1"/>
    <col min="28" max="28" style="17239" width="8.00390625" customWidth="1"/>
    <col min="29" max="29" style="17239" width="9.140625" hidden="1"/>
  </cols>
  <sheetData>
    <row s="17316" customFormat="1" customHeight="1" ht="5.25" hidden="1">
      <c r="A1" s="837"/>
      <c r="B1" s="852"/>
      <c r="C1" s="852"/>
      <c r="D1" s="562"/>
      <c r="F1" s="852"/>
      <c r="G1" s="588" t="s">
        <v>83</v>
      </c>
      <c r="H1" s="835" t="s">
        <v>84</v>
      </c>
      <c r="I1" s="568" t="s">
        <v>85</v>
      </c>
      <c r="J1" s="588" t="s">
        <v>83</v>
      </c>
      <c r="K1" s="588"/>
      <c r="L1" s="588"/>
      <c r="M1" s="588"/>
      <c r="N1" s="589"/>
      <c r="O1" s="588"/>
      <c r="P1" s="588"/>
      <c r="Q1" s="588"/>
      <c r="R1" s="588"/>
      <c r="S1" s="588"/>
      <c r="T1" s="568"/>
      <c r="U1" s="568"/>
      <c r="V1" s="568"/>
      <c r="W1" s="568"/>
      <c r="X1" s="568"/>
      <c r="Y1" s="568"/>
      <c r="Z1" s="568"/>
      <c r="AA1" s="568"/>
      <c r="AB1" s="568"/>
      <c r="AC1" s="493" t="s">
        <v>14</v>
      </c>
    </row>
    <row s="17325" customFormat="1" customHeight="1" ht="11.25">
      <c r="A2" s="1172"/>
      <c r="B2" s="569"/>
      <c r="C2" s="569"/>
      <c r="D2" s="570"/>
      <c r="E2" s="569"/>
      <c r="F2" s="569"/>
      <c r="G2" s="569"/>
      <c r="H2" s="569"/>
      <c r="I2" s="569"/>
      <c r="J2" s="588"/>
      <c r="K2" s="588"/>
      <c r="L2" s="588"/>
      <c r="M2" s="588"/>
      <c r="N2" s="589"/>
      <c r="O2" s="588"/>
      <c r="P2" s="571"/>
      <c r="Q2" s="571"/>
      <c r="R2" s="571"/>
      <c r="S2" s="571"/>
      <c r="T2" s="570"/>
      <c r="U2" s="570"/>
      <c r="V2" s="570"/>
      <c r="W2" s="570"/>
      <c r="X2" s="570"/>
      <c r="Y2" s="570"/>
      <c r="Z2" s="570"/>
      <c r="AA2" s="570"/>
      <c r="AB2" s="570"/>
      <c r="AC2" s="572">
        <v>11</v>
      </c>
    </row>
    <row s="17331" customFormat="1" customHeight="1" ht="3">
      <c r="A3" s="1099"/>
      <c r="B3" s="758"/>
      <c r="C3" s="1099"/>
      <c r="D3" s="505"/>
      <c r="E3" s="444"/>
      <c r="F3" s="850"/>
      <c r="G3" s="444"/>
      <c r="H3" s="444"/>
      <c r="I3" s="507"/>
      <c r="J3" s="588"/>
      <c r="K3" s="496"/>
      <c r="L3" s="496"/>
      <c r="M3" s="496"/>
      <c r="N3" s="567"/>
      <c r="O3" s="496"/>
      <c r="P3" s="566"/>
      <c r="Q3" s="566"/>
      <c r="R3" s="566"/>
      <c r="S3" s="566"/>
      <c r="AC3" s="457">
        <v>3</v>
      </c>
    </row>
    <row s="17331" customFormat="1" customHeight="1" ht="27.299999999999997">
      <c r="A4" s="1099"/>
      <c r="B4" s="758"/>
      <c r="C4" s="1099"/>
      <c r="D4" s="505"/>
      <c r="E4" s="2441" t="str">
        <f>NameTemplatesInListMO</f>
        <v>Перечень муниципальных районов и муниципальных образований (территорий оказания услуг)</v>
      </c>
      <c r="F4" s="2441"/>
      <c r="G4" s="2441"/>
      <c r="H4" s="2441"/>
      <c r="I4" s="2441"/>
      <c r="J4" s="588"/>
      <c r="K4" s="496"/>
      <c r="L4" s="496"/>
      <c r="M4" s="496"/>
      <c r="N4" s="567"/>
      <c r="O4" s="496"/>
      <c r="P4" s="566"/>
      <c r="Q4" s="566"/>
      <c r="R4" s="566"/>
      <c r="S4" s="566"/>
      <c r="AC4" s="457">
        <v>26</v>
      </c>
    </row>
    <row s="17331" customFormat="1" customHeight="1" ht="3">
      <c r="A5" s="1099"/>
      <c r="B5" s="758"/>
      <c r="C5" s="1099"/>
      <c r="D5" s="505"/>
      <c r="E5" s="444"/>
      <c r="F5" s="850"/>
      <c r="G5" s="508"/>
      <c r="H5" s="508"/>
      <c r="I5" s="509"/>
      <c r="J5" s="496"/>
      <c r="K5" s="496"/>
      <c r="L5" s="496"/>
      <c r="M5" s="496"/>
      <c r="N5" s="567"/>
      <c r="O5" s="496"/>
      <c r="P5" s="566"/>
      <c r="Q5" s="566"/>
      <c r="R5" s="566"/>
      <c r="S5" s="566"/>
      <c r="AC5" s="457">
        <v>3</v>
      </c>
    </row>
    <row s="17331" customFormat="1" customHeight="1" ht="20.25" hidden="1">
      <c r="A6" s="1178"/>
      <c r="B6" s="1174"/>
      <c r="C6" s="510"/>
      <c r="D6" s="505"/>
      <c r="E6" s="1120"/>
      <c r="F6" s="1120"/>
      <c r="G6" s="508"/>
      <c r="H6" s="511"/>
      <c r="I6" s="511"/>
      <c r="J6" s="496"/>
      <c r="K6" s="496"/>
      <c r="L6" s="496"/>
      <c r="M6" s="496"/>
      <c r="N6" s="567"/>
      <c r="O6" s="496"/>
      <c r="P6" s="566"/>
      <c r="Q6" s="566"/>
      <c r="R6" s="566"/>
      <c r="S6" s="566"/>
      <c r="AC6" s="457">
        <v>0</v>
      </c>
    </row>
    <row customHeight="1" ht="25.5" hidden="1">
      <c r="AC7" s="424">
        <v>0</v>
      </c>
    </row>
    <row s="17331" customFormat="1" customHeight="1" ht="14.699999999999998">
      <c r="A8" s="1099"/>
      <c r="B8" s="758"/>
      <c r="C8" s="1099"/>
      <c r="D8" s="505"/>
      <c r="E8" s="2442" t="s">
        <v>86</v>
      </c>
      <c r="F8" s="2443"/>
      <c r="G8" s="2444"/>
      <c r="H8" s="2445" t="s">
        <v>87</v>
      </c>
      <c r="I8" s="2445"/>
      <c r="J8" s="496"/>
      <c r="K8" s="496"/>
      <c r="L8" s="496"/>
      <c r="M8" s="496"/>
      <c r="N8" s="567"/>
      <c r="O8" s="496"/>
      <c r="P8" s="566"/>
      <c r="Q8" s="566"/>
      <c r="R8" s="566"/>
      <c r="S8" s="566"/>
      <c r="AC8" s="457">
        <v>14</v>
      </c>
    </row>
    <row s="17331" customFormat="1" customHeight="1" ht="21">
      <c r="A9" s="1099"/>
      <c r="B9" s="758"/>
      <c r="C9" s="1099"/>
      <c r="D9" s="505"/>
      <c r="E9" s="1118" t="s">
        <v>88</v>
      </c>
      <c r="F9" s="1118"/>
      <c r="G9" s="513" t="s">
        <v>89</v>
      </c>
      <c r="H9" s="513" t="s">
        <v>89</v>
      </c>
      <c r="I9" s="513" t="s">
        <v>85</v>
      </c>
      <c r="J9" s="496"/>
      <c r="K9" s="496"/>
      <c r="L9" s="496"/>
      <c r="M9" s="496"/>
      <c r="N9" s="567"/>
      <c r="O9" s="496"/>
      <c r="P9" s="566"/>
      <c r="Q9" s="566"/>
      <c r="R9" s="566"/>
      <c r="S9" s="566"/>
      <c r="AC9" s="457">
        <v>20</v>
      </c>
    </row>
    <row customHeight="1" ht="11.549999999999999">
      <c r="D10" s="517"/>
      <c r="E10" s="1119" t="s">
        <v>90</v>
      </c>
      <c r="F10" s="1119"/>
      <c r="G10" s="564" t="s">
        <v>91</v>
      </c>
      <c r="H10" s="564" t="s">
        <v>92</v>
      </c>
      <c r="I10" s="564" t="s">
        <v>93</v>
      </c>
      <c r="J10" s="527"/>
      <c r="K10" s="527"/>
      <c r="L10" s="527"/>
      <c r="M10" s="527"/>
      <c r="N10" s="512"/>
      <c r="O10" s="527"/>
      <c r="P10" s="565"/>
      <c r="Q10" s="565"/>
      <c r="R10" s="565"/>
      <c r="S10" s="565"/>
      <c r="AC10" s="424">
        <v>11</v>
      </c>
    </row>
    <row s="17331" customFormat="1" customHeight="1" ht="1.05">
      <c r="A11" s="1099"/>
      <c r="B11" s="758"/>
      <c r="C11" s="1099"/>
      <c r="D11" s="505"/>
      <c r="E11" s="1131"/>
      <c r="F11" s="1131"/>
      <c r="G11" s="514"/>
      <c r="H11" s="514"/>
      <c r="I11" s="516"/>
      <c r="J11" s="590" t="s">
        <v>94</v>
      </c>
      <c r="K11" s="496"/>
      <c r="L11" s="496"/>
      <c r="M11" s="496" t="s">
        <v>95</v>
      </c>
      <c r="N11" s="567" t="s">
        <v>96</v>
      </c>
      <c r="O11" s="496" t="s">
        <v>97</v>
      </c>
      <c r="P11" s="566"/>
      <c r="Q11" s="566"/>
      <c r="R11" s="566"/>
      <c r="S11" s="566"/>
      <c r="AC11" s="457">
        <v>1</v>
      </c>
    </row>
    <row s="17331" customFormat="1" customHeight="1" ht="15">
      <c r="A12" s="2440">
        <v>1</v>
      </c>
      <c r="B12" s="758"/>
      <c r="C12" s="1099"/>
      <c r="D12" s="1123"/>
      <c r="E12" s="560">
        <f>A12</f>
        <v>1</v>
      </c>
      <c r="F12" s="1143" t="s">
        <v>98</v>
      </c>
      <c r="G12" s="881" t="str">
        <f>"Территория "&amp;E12</f>
        <v>Территория 1</v>
      </c>
      <c r="H12" s="1133"/>
      <c r="I12" s="1133"/>
      <c r="J12" s="1130"/>
      <c r="K12" s="841"/>
      <c r="L12" s="841"/>
      <c r="M12" s="841"/>
      <c r="N12" s="567"/>
      <c r="O12" s="841"/>
      <c r="P12" s="566"/>
      <c r="Q12" s="566"/>
      <c r="R12" s="566"/>
      <c r="S12" s="566"/>
      <c r="AC12" s="848">
        <v>14</v>
      </c>
    </row>
    <row s="17376" customFormat="1" customHeight="1" ht="15.75">
      <c r="A13" s="2440"/>
      <c r="B13" s="758">
        <v>1</v>
      </c>
      <c r="C13" s="758"/>
      <c r="D13" s="1141"/>
      <c r="E13" s="1121" t="str">
        <f>A12&amp;"."&amp;B13</f>
        <v>1.1</v>
      </c>
      <c r="F13" s="1136">
        <v>1</v>
      </c>
      <c r="G13" s="1134"/>
      <c r="H13" s="1134"/>
      <c r="I13" s="1132"/>
      <c r="J13" s="841">
        <f>MERGEVALUE(G13)</f>
      </c>
      <c r="K13" s="852"/>
      <c r="L13" s="852"/>
      <c r="M13" s="841" t="str">
        <f t="array" ref="M13:M13">IF(ISERROR(MATCH(MID(N13,1,250),MID(note_ter,1,250),0)),"n","y")</f>
        <v>n</v>
      </c>
      <c r="N13" s="852"/>
      <c r="O13" s="841" t="str">
        <f>H13&amp;"("&amp;I13&amp;")"</f>
        <v>()</v>
      </c>
      <c r="P13" s="758"/>
      <c r="Q13" s="758"/>
      <c r="R13" s="761"/>
      <c r="S13" s="758"/>
      <c r="T13" s="758"/>
      <c r="U13" s="758"/>
      <c r="V13" s="763"/>
      <c r="W13" s="763"/>
      <c r="X13" s="760"/>
      <c r="Y13" s="760"/>
      <c r="Z13" s="760"/>
      <c r="AA13" s="760"/>
      <c r="AB13" s="760"/>
      <c r="AC13" s="764">
        <v>15</v>
      </c>
    </row>
    <row s="17376" customFormat="1" customHeight="1" ht="15.75">
      <c r="A14" s="2440"/>
      <c r="B14" s="758"/>
      <c r="C14" s="753"/>
      <c r="D14" s="1142"/>
      <c r="E14" s="762"/>
      <c r="F14" s="518"/>
      <c r="G14" s="756" t="s">
        <v>99</v>
      </c>
      <c r="H14" s="528"/>
      <c r="I14" s="765"/>
      <c r="J14" s="852"/>
      <c r="K14" s="852"/>
      <c r="L14" s="852"/>
      <c r="M14" s="852"/>
      <c r="N14" s="841"/>
      <c r="O14" s="852"/>
      <c r="P14" s="758"/>
      <c r="Q14" s="758"/>
      <c r="R14" s="761"/>
      <c r="S14" s="758"/>
      <c r="T14" s="758"/>
      <c r="U14" s="758"/>
      <c r="V14" s="763"/>
      <c r="W14" s="763"/>
      <c r="X14" s="760"/>
      <c r="Y14" s="760"/>
      <c r="Z14" s="760"/>
      <c r="AA14" s="760"/>
      <c r="AB14" s="760"/>
      <c r="AC14" s="764">
        <v>15</v>
      </c>
    </row>
    <row s="17331" customFormat="1" customHeight="1" ht="14.699999999999998">
      <c r="A15" s="1099"/>
      <c r="B15" s="758"/>
      <c r="C15" s="1099"/>
      <c r="D15" s="1123"/>
      <c r="E15" s="1135"/>
      <c r="F15" s="519"/>
      <c r="G15" s="757" t="s">
        <v>100</v>
      </c>
      <c r="H15" s="519"/>
      <c r="I15" s="520"/>
      <c r="J15" s="590"/>
      <c r="K15" s="496"/>
      <c r="L15" s="496"/>
      <c r="M15" s="496"/>
      <c r="N15" s="567" t="s">
        <v>101</v>
      </c>
      <c r="O15" s="496"/>
      <c r="P15" s="566"/>
      <c r="Q15" s="566"/>
      <c r="R15" s="566"/>
      <c r="S15" s="566"/>
      <c r="AC15" s="457">
        <v>14</v>
      </c>
    </row>
    <row s="17331" customFormat="1" customHeight="1" ht="22.049999999999997">
      <c r="A16" s="1099"/>
      <c r="B16" s="758"/>
      <c r="C16" s="1099"/>
      <c r="D16" s="506"/>
      <c r="E16" s="521"/>
      <c r="F16" s="521"/>
      <c r="G16" s="521"/>
      <c r="H16" s="521"/>
      <c r="I16" s="521"/>
      <c r="J16" s="496"/>
      <c r="K16" s="496"/>
      <c r="L16" s="496"/>
      <c r="M16" s="496"/>
      <c r="N16" s="567"/>
      <c r="O16" s="496"/>
      <c r="P16" s="566"/>
      <c r="Q16" s="566"/>
      <c r="R16" s="566"/>
      <c r="S16" s="566"/>
      <c r="AC16" s="457">
        <v>21</v>
      </c>
    </row>
    <row s="17331" customFormat="1" customHeight="1" ht="14.699999999999998">
      <c r="A17" s="1099"/>
      <c r="B17" s="758"/>
      <c r="C17" s="1099"/>
      <c r="D17" s="506"/>
      <c r="E17" s="424"/>
      <c r="F17" s="1099"/>
      <c r="G17" s="424"/>
      <c r="H17" s="424"/>
      <c r="I17" s="424"/>
      <c r="J17" s="496"/>
      <c r="K17" s="496"/>
      <c r="L17" s="496"/>
      <c r="M17" s="496"/>
      <c r="N17" s="567"/>
      <c r="O17" s="496"/>
      <c r="P17" s="566"/>
      <c r="Q17" s="566"/>
      <c r="R17" s="566"/>
      <c r="S17" s="566"/>
      <c r="AC17" s="457">
        <v>14</v>
      </c>
    </row>
    <row s="17331" customFormat="1" customHeight="1" ht="1.05">
      <c r="A18" s="1099"/>
      <c r="B18" s="758"/>
      <c r="C18" s="1099"/>
      <c r="D18" s="506"/>
      <c r="E18" s="424"/>
      <c r="F18" s="1099"/>
      <c r="G18" s="424"/>
      <c r="H18" s="424"/>
      <c r="I18" s="424"/>
      <c r="J18" s="496"/>
      <c r="K18" s="496"/>
      <c r="L18" s="496"/>
      <c r="M18" s="496"/>
      <c r="N18" s="567"/>
      <c r="O18" s="496"/>
      <c r="P18" s="566"/>
      <c r="Q18" s="566"/>
      <c r="R18" s="566"/>
      <c r="S18" s="566"/>
      <c r="AC18" s="457">
        <v>1</v>
      </c>
    </row>
    <row s="17399" customFormat="1" customHeight="1" ht="10.5">
      <c r="B19" s="1175"/>
      <c r="D19" s="523"/>
      <c r="J19" s="496"/>
      <c r="K19" s="496"/>
      <c r="L19" s="496"/>
      <c r="M19" s="496"/>
      <c r="N19" s="567"/>
      <c r="O19" s="496"/>
      <c r="P19" s="566"/>
      <c r="Q19" s="566"/>
      <c r="R19" s="566"/>
      <c r="S19" s="566"/>
      <c r="AC19" s="522">
        <v>10</v>
      </c>
    </row>
    <row s="17399" customFormat="1" customHeight="1" ht="10.5">
      <c r="B20" s="1175"/>
      <c r="D20" s="523"/>
      <c r="J20" s="496"/>
      <c r="K20" s="496"/>
      <c r="L20" s="496"/>
      <c r="M20" s="496"/>
      <c r="N20" s="567"/>
      <c r="O20" s="496"/>
      <c r="P20" s="566"/>
      <c r="Q20" s="566"/>
      <c r="R20" s="566"/>
      <c r="S20" s="566"/>
      <c r="AC20" s="522">
        <v>10</v>
      </c>
    </row>
    <row customHeight="1" ht="14.699999999999998">
      <c r="AC21" s="424">
        <v>14</v>
      </c>
    </row>
    <row customHeight="1" ht="14.699999999999998">
      <c r="AC22" s="424">
        <v>14</v>
      </c>
    </row>
    <row customHeight="1" ht="14.699999999999998">
      <c r="AC23" s="424">
        <v>14</v>
      </c>
    </row>
    <row customHeight="1" ht="14.699999999999998">
      <c r="H24" s="403"/>
      <c r="AC24" s="424">
        <v>14</v>
      </c>
    </row>
    <row customHeight="1" ht="14.699999999999998">
      <c r="AC25" s="424">
        <v>14</v>
      </c>
    </row>
    <row customHeight="1" ht="14.699999999999998">
      <c r="AC26" s="424">
        <v>14</v>
      </c>
    </row>
    <row customHeight="1" ht="14.699999999999998">
      <c r="AC27" s="424">
        <v>14</v>
      </c>
    </row>
    <row customHeight="1" ht="14.699999999999998">
      <c r="J28" s="424"/>
      <c r="K28" s="424"/>
      <c r="L28" s="424"/>
      <c r="AC28" s="424">
        <v>14</v>
      </c>
    </row>
    <row customHeight="1" ht="22.5" hidden="1">
      <c r="A29" s="1099" t="s">
        <v>82</v>
      </c>
      <c r="B29" s="758">
        <v>0</v>
      </c>
      <c r="C29" s="1099">
        <v>3</v>
      </c>
      <c r="D29" s="506">
        <v>3</v>
      </c>
      <c r="E29" s="424">
        <v>6</v>
      </c>
      <c r="F29" s="1099">
        <v>0</v>
      </c>
      <c r="G29" s="424">
        <v>46</v>
      </c>
      <c r="H29" s="424">
        <v>42</v>
      </c>
      <c r="I29" s="424">
        <v>14</v>
      </c>
      <c r="J29" s="496">
        <v>3</v>
      </c>
      <c r="K29" s="496">
        <v>0</v>
      </c>
      <c r="L29" s="496">
        <v>0</v>
      </c>
      <c r="M29" s="496">
        <v>0</v>
      </c>
      <c r="N29" s="567">
        <v>0</v>
      </c>
      <c r="O29" s="496">
        <v>0</v>
      </c>
      <c r="P29" s="566">
        <v>0</v>
      </c>
      <c r="Q29" s="566">
        <v>0</v>
      </c>
      <c r="R29" s="566">
        <v>0</v>
      </c>
      <c r="S29" s="566">
        <v>0</v>
      </c>
      <c r="T29" s="424">
        <v>0</v>
      </c>
      <c r="U29" s="424">
        <v>0</v>
      </c>
      <c r="V29" s="424">
        <v>0</v>
      </c>
      <c r="W29" s="424">
        <v>0</v>
      </c>
      <c r="X29" s="424">
        <v>0</v>
      </c>
      <c r="Y29" s="424">
        <v>0</v>
      </c>
      <c r="Z29" s="424">
        <v>0</v>
      </c>
      <c r="AA29" s="424">
        <v>0</v>
      </c>
      <c r="AB29" s="424">
        <v>8</v>
      </c>
      <c r="AC29" s="424">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39B94B-6BE5-75D3-6EB3-99F6F8802FD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4.140625" hidden="1" customWidth="1"/>
    <col min="10" max="10" style="17315" width="9.8515625" hidden="1" customWidth="1"/>
    <col min="11" max="11" style="17315" width="14.71093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8" style="17239" width="19.7109375" hidden="1" customWidth="1"/>
    <col min="29" max="29" style="17239" width="11.7109375" hidden="1" customWidth="1"/>
    <col min="30" max="30" style="17239" width="3.7109375" hidden="1" customWidth="1"/>
    <col min="31" max="31" style="17239" width="11.7109375" hidden="1" customWidth="1"/>
    <col min="32" max="32" style="17239" width="8.57421875" hidden="1" customWidth="1"/>
    <col min="33" max="33" style="17239" width="19.7109375" customWidth="1"/>
    <col min="34" max="39" style="17239" width="19.00390625" customWidth="1"/>
    <col min="40" max="40" style="17239" width="11.00390625" customWidth="1"/>
    <col min="41" max="41" style="17239" width="3.7109375" customWidth="1"/>
    <col min="42" max="42" style="17239" width="11.00390625" customWidth="1"/>
    <col min="43" max="43" style="17239" width="8.57421875" hidden="1" customWidth="1"/>
    <col min="44" max="44" style="17239" width="4.00390625" customWidth="1"/>
    <col min="45" max="45" style="17239" width="115.00390625" customWidth="1"/>
    <col min="46" max="50" style="17316" width="10.00390625" customWidth="1"/>
    <col min="51" max="51" style="17239" width="10.57421875" hidden="1"/>
  </cols>
  <sheetData>
    <row customHeight="1" ht="22.5" hidden="1">
      <c r="AC1" s="668"/>
      <c r="AN1" s="668"/>
      <c r="AY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834">
        <f>INDEX(PT_DIFFERENTIATION_NUM_NTAR,MATCH(A2,PT_DIFFERENTIATION_NTAR_ID,0))</f>
      </c>
      <c r="T2" s="639" t="s">
        <v>120</v>
      </c>
      <c r="U2" s="641"/>
      <c r="V2" s="2583"/>
      <c r="W2" s="2584"/>
      <c r="X2" s="2584"/>
      <c r="Y2" s="2584"/>
      <c r="Z2" s="2584"/>
      <c r="AA2" s="2584"/>
      <c r="AB2" s="2584"/>
      <c r="AC2" s="2584"/>
      <c r="AD2" s="2584"/>
      <c r="AE2" s="2584"/>
      <c r="AF2" s="2585"/>
      <c r="AG2" s="2583">
        <f>INDEX(PT_DIFFERENTIATION_NTAR,MATCH(A2,PT_DIFFERENTIATION_NTAR_ID,0))</f>
      </c>
      <c r="AH2" s="2584"/>
      <c r="AI2" s="2584"/>
      <c r="AJ2" s="2584"/>
      <c r="AK2" s="2584"/>
      <c r="AL2" s="2584"/>
      <c r="AM2" s="2584"/>
      <c r="AN2" s="2584"/>
      <c r="AO2" s="2584"/>
      <c r="AP2" s="2584"/>
      <c r="AQ2" s="2584"/>
      <c r="AR2" s="2585"/>
      <c r="AS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41"/>
      <c r="AV2" s="841" t="str">
        <f>IF(T2="","",T2)</f>
        <v>Наименование тарифа</v>
      </c>
      <c r="AW2" s="841"/>
      <c r="AX2" s="841"/>
      <c r="AY2" s="1496">
        <v>0</v>
      </c>
    </row>
    <row customHeight="1" ht="23.25" hidden="1">
      <c r="A3" s="1704"/>
      <c r="B3" s="1704"/>
      <c r="C3" s="1704"/>
      <c r="D3" s="1704"/>
      <c r="E3" s="2600"/>
      <c r="F3" s="2599">
        <v>1</v>
      </c>
      <c r="G3" s="1704"/>
      <c r="H3" s="1704"/>
      <c r="I3" s="1704"/>
      <c r="J3" s="1704"/>
      <c r="K3" s="1704"/>
      <c r="L3" s="1705"/>
      <c r="M3" s="1706"/>
      <c r="N3" s="1706"/>
      <c r="O3" s="1706"/>
      <c r="P3" s="1828"/>
      <c r="Q3" s="693"/>
      <c r="R3" s="694"/>
      <c r="S3" s="1834">
        <f>INDEX(PT_DIFFERENTIATION_NUM_TER,MATCH(B3,PT_DIFFERENTIATION_TER_ID,0))</f>
      </c>
      <c r="T3" s="649" t="s">
        <v>392</v>
      </c>
      <c r="U3" s="641"/>
      <c r="V3" s="2583"/>
      <c r="W3" s="2584"/>
      <c r="X3" s="2584"/>
      <c r="Y3" s="2584"/>
      <c r="Z3" s="2584"/>
      <c r="AA3" s="2584"/>
      <c r="AB3" s="2584"/>
      <c r="AC3" s="2584"/>
      <c r="AD3" s="2584"/>
      <c r="AE3" s="2584"/>
      <c r="AF3" s="2585"/>
      <c r="AG3" s="2583">
        <f>INDEX(PT_DIFFERENTIATION_TER,MATCH(B3,PT_DIFFERENTIATION_TER_ID,0))</f>
      </c>
      <c r="AH3" s="2584"/>
      <c r="AI3" s="2584"/>
      <c r="AJ3" s="2584"/>
      <c r="AK3" s="2584"/>
      <c r="AL3" s="2584"/>
      <c r="AM3" s="2584"/>
      <c r="AN3" s="2584"/>
      <c r="AO3" s="2584"/>
      <c r="AP3" s="2584"/>
      <c r="AQ3" s="2584"/>
      <c r="AR3" s="2585"/>
      <c r="AS3" s="1599" t="s">
        <v>393</v>
      </c>
      <c r="AU3" s="841"/>
      <c r="AV3" s="841" t="str">
        <f>IF(T3="","",T3)</f>
        <v>Территория действия тарифа</v>
      </c>
      <c r="AW3" s="841"/>
      <c r="AX3" s="841"/>
      <c r="AY3" s="1496">
        <v>0</v>
      </c>
    </row>
    <row customHeight="1" ht="23.25" hidden="1">
      <c r="A4" s="1704"/>
      <c r="B4" s="1704"/>
      <c r="C4" s="1704"/>
      <c r="D4" s="1704"/>
      <c r="E4" s="2600"/>
      <c r="F4" s="2600"/>
      <c r="G4" s="2599">
        <v>1</v>
      </c>
      <c r="H4" s="1704"/>
      <c r="I4" s="1704"/>
      <c r="J4" s="1704"/>
      <c r="K4" s="1704"/>
      <c r="L4" s="1705"/>
      <c r="M4" s="1706"/>
      <c r="N4" s="1706"/>
      <c r="O4" s="1706"/>
      <c r="P4" s="695"/>
      <c r="Q4" s="693"/>
      <c r="R4" s="694"/>
      <c r="S4" s="1834">
        <f>INDEX(PT_DIFFERENTIATION_NUM_CS,MATCH(C4,PT_DIFFERENTIATION_CS_ID,0))</f>
      </c>
      <c r="T4" s="650" t="s">
        <v>525</v>
      </c>
      <c r="U4" s="641"/>
      <c r="V4" s="2583"/>
      <c r="W4" s="2584"/>
      <c r="X4" s="2584"/>
      <c r="Y4" s="2584"/>
      <c r="Z4" s="2584"/>
      <c r="AA4" s="2584"/>
      <c r="AB4" s="2584"/>
      <c r="AC4" s="2584"/>
      <c r="AD4" s="2584"/>
      <c r="AE4" s="2584"/>
      <c r="AF4" s="2585"/>
      <c r="AG4" s="2583">
        <f>INDEX(PT_DIFFERENTIATION_CS,MATCH(C4,PT_DIFFERENTIATION_CS_ID,0))</f>
      </c>
      <c r="AH4" s="2584"/>
      <c r="AI4" s="2584"/>
      <c r="AJ4" s="2584"/>
      <c r="AK4" s="2584"/>
      <c r="AL4" s="2584"/>
      <c r="AM4" s="2584"/>
      <c r="AN4" s="2584"/>
      <c r="AO4" s="2584"/>
      <c r="AP4" s="2584"/>
      <c r="AQ4" s="2584"/>
      <c r="AR4" s="2585"/>
      <c r="AS4" s="1599" t="s">
        <v>526</v>
      </c>
      <c r="AU4" s="841"/>
      <c r="AV4" s="841" t="str">
        <f>IF(T4="","",T4)</f>
        <v>Наименование централизованной системы горячего водоснабжения</v>
      </c>
      <c r="AW4" s="841"/>
      <c r="AX4" s="841"/>
      <c r="AY4" s="1496">
        <v>0</v>
      </c>
    </row>
    <row customHeight="1" ht="23.25" hidden="1">
      <c r="A5" s="1704"/>
      <c r="B5" s="1704"/>
      <c r="C5" s="1704"/>
      <c r="D5" s="1704"/>
      <c r="E5" s="2600"/>
      <c r="F5" s="2600"/>
      <c r="G5" s="2600"/>
      <c r="H5" s="2600"/>
      <c r="I5" s="2597">
        <f>S4&amp;".1"</f>
      </c>
      <c r="J5" s="1704"/>
      <c r="K5" s="1704"/>
      <c r="L5" s="1705"/>
      <c r="P5" s="2598">
        <v>1</v>
      </c>
      <c r="Q5" s="1822"/>
      <c r="R5" s="697"/>
      <c r="S5" s="1834">
        <f>$I5</f>
      </c>
      <c r="T5" s="626" t="s">
        <v>478</v>
      </c>
      <c r="U5" s="641"/>
      <c r="V5" s="2691"/>
      <c r="W5" s="2692"/>
      <c r="X5" s="2692"/>
      <c r="Y5" s="2692"/>
      <c r="Z5" s="2692"/>
      <c r="AA5" s="2692"/>
      <c r="AB5" s="2692"/>
      <c r="AC5" s="2692"/>
      <c r="AD5" s="2692"/>
      <c r="AE5" s="2692"/>
      <c r="AF5" s="2693"/>
      <c r="AG5" s="2694"/>
      <c r="AH5" s="2695"/>
      <c r="AI5" s="2695"/>
      <c r="AJ5" s="2695"/>
      <c r="AK5" s="2695"/>
      <c r="AL5" s="2695"/>
      <c r="AM5" s="2695"/>
      <c r="AN5" s="2695"/>
      <c r="AO5" s="2695"/>
      <c r="AP5" s="2695"/>
      <c r="AQ5" s="2695"/>
      <c r="AR5" s="2696"/>
      <c r="AS5" s="1599" t="s">
        <v>479</v>
      </c>
      <c r="AU5" s="841"/>
      <c r="AV5" s="841" t="str">
        <f>IF(T5="","",T5)</f>
        <v>Наименование признака дифференциации</v>
      </c>
      <c r="AW5" s="841"/>
      <c r="AX5" s="841"/>
      <c r="AY5" s="1496">
        <v>0</v>
      </c>
    </row>
    <row customHeight="1" ht="23.25" hidden="1">
      <c r="A6" s="1704"/>
      <c r="B6" s="1704"/>
      <c r="C6" s="1704"/>
      <c r="D6" s="1704"/>
      <c r="E6" s="2600"/>
      <c r="F6" s="2600"/>
      <c r="G6" s="2600"/>
      <c r="H6" s="2600"/>
      <c r="I6" s="2627"/>
      <c r="J6" s="2597">
        <f>I5&amp;".1"</f>
      </c>
      <c r="K6" s="1704"/>
      <c r="L6" s="1705" t="s">
        <v>401</v>
      </c>
      <c r="P6" s="2598"/>
      <c r="Q6" s="2598">
        <v>1</v>
      </c>
      <c r="R6" s="698"/>
      <c r="S6" s="1834">
        <f>$J6</f>
      </c>
      <c r="T6" s="627" t="s">
        <v>402</v>
      </c>
      <c r="U6" s="641"/>
      <c r="V6" s="2586"/>
      <c r="W6" s="2587"/>
      <c r="X6" s="2587"/>
      <c r="Y6" s="2587"/>
      <c r="Z6" s="2587"/>
      <c r="AA6" s="2587"/>
      <c r="AB6" s="2587"/>
      <c r="AC6" s="2587"/>
      <c r="AD6" s="2587"/>
      <c r="AE6" s="2587"/>
      <c r="AF6" s="2588"/>
      <c r="AG6" s="2586"/>
      <c r="AH6" s="2587"/>
      <c r="AI6" s="2587"/>
      <c r="AJ6" s="2587"/>
      <c r="AK6" s="2587"/>
      <c r="AL6" s="2587"/>
      <c r="AM6" s="2587"/>
      <c r="AN6" s="2587"/>
      <c r="AO6" s="2587"/>
      <c r="AP6" s="2587"/>
      <c r="AQ6" s="2587"/>
      <c r="AR6" s="2588"/>
      <c r="AS6" s="1648" t="s">
        <v>480</v>
      </c>
      <c r="AU6" s="841"/>
      <c r="AV6" s="841" t="str">
        <f>IF(T6="","",T6)</f>
        <v>Группа потребителей</v>
      </c>
      <c r="AW6" s="841"/>
      <c r="AX6" s="841"/>
      <c r="AY6" s="1496">
        <v>0</v>
      </c>
    </row>
    <row customHeight="1" ht="23.25" hidden="1">
      <c r="A7" s="1704"/>
      <c r="B7" s="1704"/>
      <c r="C7" s="1704"/>
      <c r="D7" s="1704"/>
      <c r="E7" s="2600"/>
      <c r="F7" s="2600"/>
      <c r="G7" s="2600"/>
      <c r="H7" s="2600"/>
      <c r="I7" s="2627"/>
      <c r="J7" s="2627"/>
      <c r="K7" s="2597">
        <f>J6&amp;".1"</f>
      </c>
      <c r="L7" s="1705"/>
      <c r="P7" s="2598"/>
      <c r="Q7" s="2598"/>
      <c r="R7" s="698">
        <v>1</v>
      </c>
      <c r="S7" s="1834">
        <f>$K7</f>
      </c>
      <c r="T7" s="1778"/>
      <c r="U7" s="641"/>
      <c r="V7" s="1092"/>
      <c r="W7" s="1092"/>
      <c r="X7" s="1092"/>
      <c r="Y7" s="1092"/>
      <c r="Z7" s="1092"/>
      <c r="AA7" s="1092"/>
      <c r="AB7" s="1092"/>
      <c r="AC7" s="2606"/>
      <c r="AD7" s="2448" t="s">
        <v>65</v>
      </c>
      <c r="AE7" s="2606"/>
      <c r="AF7" s="2448" t="s">
        <v>65</v>
      </c>
      <c r="AG7" s="1092"/>
      <c r="AH7" s="1092"/>
      <c r="AI7" s="1092"/>
      <c r="AJ7" s="1092"/>
      <c r="AK7" s="1092"/>
      <c r="AL7" s="1092"/>
      <c r="AM7" s="1092"/>
      <c r="AN7" s="2606"/>
      <c r="AO7" s="2448" t="s">
        <v>65</v>
      </c>
      <c r="AP7" s="2628"/>
      <c r="AQ7" s="2448" t="s">
        <v>65</v>
      </c>
      <c r="AR7" s="1779"/>
      <c r="AS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52">
        <f>STRCHECKDATE(V8:AR8)</f>
      </c>
      <c r="AU7" s="841"/>
      <c r="AV7" s="841" t="str">
        <f>IF(T7="","",T7)</f>
        <v/>
      </c>
      <c r="AW7" s="841"/>
      <c r="AX7" s="841"/>
      <c r="AY7" s="1496">
        <v>0</v>
      </c>
    </row>
    <row customHeight="1" ht="14.25" hidden="1">
      <c r="A8" s="1704"/>
      <c r="B8" s="1704"/>
      <c r="C8" s="1704"/>
      <c r="D8" s="1704"/>
      <c r="E8" s="2600"/>
      <c r="F8" s="2600"/>
      <c r="G8" s="2600"/>
      <c r="H8" s="2600"/>
      <c r="I8" s="2627"/>
      <c r="J8" s="2627"/>
      <c r="K8" s="2597"/>
      <c r="L8" s="1705"/>
      <c r="P8" s="2598"/>
      <c r="Q8" s="2598"/>
      <c r="R8" s="698"/>
      <c r="S8" s="1831"/>
      <c r="T8" s="641"/>
      <c r="U8" s="641"/>
      <c r="V8" s="666"/>
      <c r="W8" s="666"/>
      <c r="X8" s="666"/>
      <c r="Y8" s="666"/>
      <c r="Z8" s="666"/>
      <c r="AA8" s="666"/>
      <c r="AB8" s="666"/>
      <c r="AC8" s="2607"/>
      <c r="AD8" s="2448"/>
      <c r="AE8" s="2607"/>
      <c r="AF8" s="2448"/>
      <c r="AG8" s="666"/>
      <c r="AH8" s="666"/>
      <c r="AI8" s="666"/>
      <c r="AJ8" s="666"/>
      <c r="AK8" s="666"/>
      <c r="AL8" s="666"/>
      <c r="AM8" s="666"/>
      <c r="AN8" s="2607"/>
      <c r="AO8" s="2448"/>
      <c r="AP8" s="2629"/>
      <c r="AQ8" s="2448"/>
      <c r="AR8" s="1780"/>
      <c r="AS8" s="2690"/>
      <c r="AU8" s="841"/>
      <c r="AV8" s="841" t="str">
        <f>IF(T8="","",T8)</f>
        <v/>
      </c>
      <c r="AW8" s="841"/>
      <c r="AX8" s="841"/>
      <c r="AY8" s="1496">
        <v>0</v>
      </c>
    </row>
    <row customHeight="1" ht="21" hidden="1">
      <c r="A9" s="1704"/>
      <c r="B9" s="1704"/>
      <c r="C9" s="1704"/>
      <c r="D9" s="1704"/>
      <c r="E9" s="2600"/>
      <c r="F9" s="2600"/>
      <c r="G9" s="2600"/>
      <c r="H9" s="2600"/>
      <c r="I9" s="2627"/>
      <c r="J9" s="2597"/>
      <c r="K9" s="1704"/>
      <c r="L9" s="1705"/>
      <c r="P9" s="2598"/>
      <c r="Q9" s="2598"/>
      <c r="R9" s="697"/>
      <c r="S9" s="1619"/>
      <c r="T9" s="628" t="s">
        <v>481</v>
      </c>
      <c r="U9" s="708"/>
      <c r="V9" s="708"/>
      <c r="W9" s="941"/>
      <c r="X9" s="941"/>
      <c r="Y9" s="941"/>
      <c r="Z9" s="941"/>
      <c r="AA9" s="941"/>
      <c r="AB9" s="941"/>
      <c r="AC9" s="708"/>
      <c r="AD9" s="708"/>
      <c r="AE9" s="708"/>
      <c r="AF9" s="708"/>
      <c r="AG9" s="708"/>
      <c r="AH9" s="941"/>
      <c r="AI9" s="941"/>
      <c r="AJ9" s="941"/>
      <c r="AK9" s="941"/>
      <c r="AL9" s="941"/>
      <c r="AM9" s="708"/>
      <c r="AN9" s="708"/>
      <c r="AO9" s="708"/>
      <c r="AP9" s="708"/>
      <c r="AQ9" s="708"/>
      <c r="AR9" s="708"/>
      <c r="AS9" s="1599" t="s">
        <v>482</v>
      </c>
      <c r="AU9" s="841"/>
      <c r="AV9" s="841" t="str">
        <f>IF(T9="","",T9)</f>
        <v>Добавить значение признака дифференциации</v>
      </c>
      <c r="AW9" s="841"/>
      <c r="AX9" s="841"/>
      <c r="AY9" s="1496">
        <v>0</v>
      </c>
    </row>
    <row customHeight="1" ht="21" hidden="1">
      <c r="A10" s="1704"/>
      <c r="B10" s="1704"/>
      <c r="C10" s="1704"/>
      <c r="D10" s="1704"/>
      <c r="E10" s="2600"/>
      <c r="F10" s="2600"/>
      <c r="G10" s="2600"/>
      <c r="H10" s="2600"/>
      <c r="I10" s="2597"/>
      <c r="J10" s="1704"/>
      <c r="K10" s="1704"/>
      <c r="L10" s="1705"/>
      <c r="P10" s="2598"/>
      <c r="Q10" s="1822"/>
      <c r="R10" s="697"/>
      <c r="S10" s="1619"/>
      <c r="T10" s="706" t="s">
        <v>407</v>
      </c>
      <c r="U10" s="708"/>
      <c r="V10" s="708"/>
      <c r="W10" s="941"/>
      <c r="X10" s="941"/>
      <c r="Y10" s="941"/>
      <c r="Z10" s="941"/>
      <c r="AA10" s="941"/>
      <c r="AB10" s="941"/>
      <c r="AC10" s="708"/>
      <c r="AD10" s="708"/>
      <c r="AE10" s="708"/>
      <c r="AF10" s="707"/>
      <c r="AG10" s="708"/>
      <c r="AH10" s="941"/>
      <c r="AI10" s="941"/>
      <c r="AJ10" s="941"/>
      <c r="AK10" s="941"/>
      <c r="AL10" s="941"/>
      <c r="AM10" s="708"/>
      <c r="AN10" s="708"/>
      <c r="AO10" s="708"/>
      <c r="AP10" s="708"/>
      <c r="AQ10" s="707"/>
      <c r="AR10" s="708"/>
      <c r="AS10" s="1781"/>
      <c r="AU10" s="841"/>
      <c r="AV10" s="841" t="str">
        <f>IF(T10="","",T10)</f>
        <v>Добавить группу потребителей</v>
      </c>
      <c r="AW10" s="841"/>
      <c r="AX10" s="841"/>
      <c r="AY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483</v>
      </c>
      <c r="U11" s="708"/>
      <c r="V11" s="708"/>
      <c r="W11" s="941"/>
      <c r="X11" s="941"/>
      <c r="Y11" s="941"/>
      <c r="Z11" s="941"/>
      <c r="AA11" s="941"/>
      <c r="AB11" s="941"/>
      <c r="AC11" s="708"/>
      <c r="AD11" s="708"/>
      <c r="AE11" s="708"/>
      <c r="AF11" s="707"/>
      <c r="AG11" s="708"/>
      <c r="AH11" s="941"/>
      <c r="AI11" s="941"/>
      <c r="AJ11" s="941"/>
      <c r="AK11" s="941"/>
      <c r="AL11" s="941"/>
      <c r="AM11" s="708"/>
      <c r="AN11" s="708"/>
      <c r="AO11" s="708"/>
      <c r="AP11" s="708"/>
      <c r="AQ11" s="707"/>
      <c r="AR11" s="708"/>
      <c r="AS11" s="644"/>
      <c r="AU11" s="841"/>
      <c r="AV11" s="841" t="str">
        <f>IF(T11="","",T11)</f>
        <v>Добавить наименование признака дифференциации</v>
      </c>
      <c r="AW11" s="841"/>
      <c r="AX11" s="841"/>
      <c r="AY11" s="1496">
        <v>0</v>
      </c>
    </row>
    <row s="17316" customFormat="1" customHeight="1" ht="14.25" hidden="1">
      <c r="A12" s="1684"/>
      <c r="B12" s="1684"/>
      <c r="C12" s="1655"/>
      <c r="D12" s="1655"/>
      <c r="E12" s="2600"/>
      <c r="F12" s="2599"/>
      <c r="G12" s="1655"/>
      <c r="H12" s="1655"/>
      <c r="I12" s="1655"/>
      <c r="J12" s="1655"/>
      <c r="K12" s="1655"/>
      <c r="L12" s="1835"/>
      <c r="M12" s="1662"/>
      <c r="N12" s="1662"/>
      <c r="P12" s="1657"/>
      <c r="Q12" s="1658"/>
      <c r="R12" s="1657"/>
      <c r="S12" s="1663"/>
      <c r="T12" s="1666" t="s">
        <v>410</v>
      </c>
      <c r="U12" s="1665"/>
      <c r="V12" s="1665"/>
      <c r="W12" s="1665"/>
      <c r="X12" s="1665"/>
      <c r="Y12" s="1665"/>
      <c r="Z12" s="1665"/>
      <c r="AA12" s="1665"/>
      <c r="AB12" s="1665"/>
      <c r="AC12" s="1665"/>
      <c r="AD12" s="1665"/>
      <c r="AE12" s="1665"/>
      <c r="AF12" s="1665"/>
      <c r="AG12" s="1665"/>
      <c r="AH12" s="1665"/>
      <c r="AI12" s="1665"/>
      <c r="AJ12" s="1665"/>
      <c r="AK12" s="1665"/>
      <c r="AL12" s="1665"/>
      <c r="AM12" s="1665"/>
      <c r="AN12" s="1665"/>
      <c r="AO12" s="1665"/>
      <c r="AP12" s="1665"/>
      <c r="AQ12" s="1665"/>
      <c r="AR12" s="1665"/>
      <c r="AS12" s="1665"/>
      <c r="AU12" s="1130"/>
      <c r="AV12" s="1130" t="str">
        <f>IF(T12="","",T12)</f>
        <v>Добавить централизованную систему для дифференциации</v>
      </c>
      <c r="AW12" s="1130"/>
      <c r="AX12" s="1130"/>
      <c r="AY12" s="859">
        <v>0</v>
      </c>
    </row>
    <row s="1731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411</v>
      </c>
      <c r="U13" s="1665"/>
      <c r="V13" s="1665"/>
      <c r="W13" s="1665"/>
      <c r="X13" s="1665"/>
      <c r="Y13" s="1665"/>
      <c r="Z13" s="1665"/>
      <c r="AA13" s="1665"/>
      <c r="AB13" s="1665"/>
      <c r="AC13" s="1665"/>
      <c r="AD13" s="1665"/>
      <c r="AE13" s="1665"/>
      <c r="AF13" s="1665"/>
      <c r="AG13" s="1665"/>
      <c r="AH13" s="1665"/>
      <c r="AI13" s="1665"/>
      <c r="AJ13" s="1665"/>
      <c r="AK13" s="1665"/>
      <c r="AL13" s="1665"/>
      <c r="AM13" s="1665"/>
      <c r="AN13" s="1665"/>
      <c r="AO13" s="1665"/>
      <c r="AP13" s="1665"/>
      <c r="AQ13" s="1665"/>
      <c r="AR13" s="1665"/>
      <c r="AS13" s="1665"/>
      <c r="AU13" s="841"/>
      <c r="AV13" s="841" t="str">
        <f>IF(T13="","",T13)</f>
        <v>Добавить территорию для дифференциации</v>
      </c>
      <c r="AW13" s="841"/>
      <c r="AX13" s="841"/>
      <c r="AY13" s="852">
        <v>0</v>
      </c>
    </row>
    <row customHeight="1" ht="14.25" hidden="1">
      <c r="AF14" s="668"/>
      <c r="AQ14" s="668"/>
      <c r="AY14" s="1496">
        <v>0</v>
      </c>
    </row>
    <row customHeight="1" ht="14.25" hidden="1">
      <c r="AG15" s="1701"/>
      <c r="AH15" s="1701"/>
      <c r="AI15" s="1701"/>
      <c r="AJ15" s="1701"/>
      <c r="AK15" s="1701"/>
      <c r="AL15" s="1701"/>
      <c r="AM15" s="1701"/>
      <c r="AN15" s="2608"/>
      <c r="AO15" s="2609" t="s">
        <v>65</v>
      </c>
      <c r="AP15" s="2608"/>
      <c r="AQ15" s="2609" t="s">
        <v>65</v>
      </c>
      <c r="AY15" s="1496">
        <v>0</v>
      </c>
    </row>
    <row customHeight="1" ht="14.25" hidden="1">
      <c r="AG16" s="1701"/>
      <c r="AH16" s="1701"/>
      <c r="AI16" s="1701"/>
      <c r="AJ16" s="1701"/>
      <c r="AK16" s="1701"/>
      <c r="AL16" s="1701"/>
      <c r="AM16" s="1701"/>
      <c r="AN16" s="2609"/>
      <c r="AO16" s="2609"/>
      <c r="AP16" s="2609"/>
      <c r="AQ16" s="2609"/>
      <c r="AY16" s="1496">
        <v>0</v>
      </c>
    </row>
    <row customHeight="1" ht="14.25" hidden="1">
      <c r="AQ17" s="668"/>
      <c r="AY17" s="1496">
        <v>0</v>
      </c>
    </row>
    <row s="17315" customFormat="1" customHeight="1" ht="22.5" hidden="1">
      <c r="L18" s="1819"/>
      <c r="M18" s="1703"/>
      <c r="N18" s="1703"/>
      <c r="O18" s="1708" t="s">
        <v>412</v>
      </c>
      <c r="P18" s="1703"/>
      <c r="Q18" s="1712"/>
      <c r="R18" s="1712"/>
      <c r="S18" s="1070"/>
      <c r="W18" s="1707"/>
      <c r="X18" s="1707"/>
      <c r="Y18" s="1707"/>
      <c r="Z18" s="1707"/>
      <c r="AA18" s="1707"/>
      <c r="AB18" s="1707"/>
      <c r="AC18" s="1708"/>
      <c r="AE18" s="1708"/>
      <c r="AF18" s="1707"/>
      <c r="AH18" s="1707"/>
      <c r="AI18" s="1707"/>
      <c r="AJ18" s="1707"/>
      <c r="AK18" s="1707"/>
      <c r="AL18" s="1707"/>
      <c r="AN18" s="1708"/>
      <c r="AP18" s="1708"/>
      <c r="AQ18" s="1707"/>
      <c r="AT18" s="852"/>
      <c r="AU18" s="852"/>
      <c r="AV18" s="852"/>
      <c r="AW18" s="852"/>
      <c r="AX18" s="852"/>
      <c r="AY18" s="1501">
        <v>0</v>
      </c>
    </row>
    <row s="17315" customFormat="1" customHeight="1" ht="14.25" hidden="1">
      <c r="L19" s="1819"/>
      <c r="M19" s="1703"/>
      <c r="N19" s="1703"/>
      <c r="O19" s="1703"/>
      <c r="P19" s="1703"/>
      <c r="Q19" s="1712"/>
      <c r="R19" s="1712"/>
      <c r="S19" s="1070"/>
      <c r="W19" s="1707"/>
      <c r="X19" s="1707"/>
      <c r="Y19" s="1707"/>
      <c r="Z19" s="1707"/>
      <c r="AA19" s="1707"/>
      <c r="AB19" s="1707"/>
      <c r="AF19" s="1707"/>
      <c r="AH19" s="1707"/>
      <c r="AI19" s="1707"/>
      <c r="AJ19" s="1707"/>
      <c r="AK19" s="1707"/>
      <c r="AL19" s="1707"/>
      <c r="AQ19" s="1707"/>
      <c r="AT19" s="852"/>
      <c r="AU19" s="852"/>
      <c r="AV19" s="852"/>
      <c r="AW19" s="852"/>
      <c r="AX19" s="852"/>
      <c r="AY19" s="1501">
        <v>0</v>
      </c>
    </row>
    <row s="17315" customFormat="1" customHeight="1" ht="12" hidden="1">
      <c r="L20" s="1819"/>
      <c r="M20" s="1703"/>
      <c r="N20" s="1703"/>
      <c r="O20" s="1705" t="s">
        <v>413</v>
      </c>
      <c r="P20" s="1703"/>
      <c r="Q20" s="1783"/>
      <c r="R20" s="1783"/>
      <c r="S20" s="1070"/>
      <c r="T20" s="1501" t="s">
        <v>414</v>
      </c>
      <c r="W20" s="1707"/>
      <c r="X20" s="1707"/>
      <c r="Y20" s="1707"/>
      <c r="Z20" s="1707"/>
      <c r="AA20" s="1707"/>
      <c r="AB20" s="1707"/>
      <c r="AD20" s="527" t="s">
        <v>415</v>
      </c>
      <c r="AF20" s="527" t="s">
        <v>416</v>
      </c>
      <c r="AG20" s="1501" t="s">
        <v>414</v>
      </c>
      <c r="AH20" s="1707"/>
      <c r="AI20" s="1707"/>
      <c r="AJ20" s="1707"/>
      <c r="AK20" s="1707"/>
      <c r="AL20" s="1707"/>
      <c r="AO20" s="527" t="s">
        <v>417</v>
      </c>
      <c r="AQ20" s="527" t="s">
        <v>416</v>
      </c>
      <c r="AY20" s="1501">
        <v>0</v>
      </c>
    </row>
    <row customHeight="1" ht="14.25" hidden="1">
      <c r="O21" s="1705"/>
      <c r="AY21" s="1496">
        <v>0</v>
      </c>
    </row>
    <row customHeight="1" ht="14.25" hidden="1">
      <c r="O22" s="1705"/>
      <c r="AY22" s="1496">
        <v>0</v>
      </c>
    </row>
    <row customHeight="1" ht="14.699999999999998">
      <c r="Q23" s="717"/>
      <c r="R23" s="717"/>
      <c r="S23" s="1616"/>
      <c r="T23" s="704"/>
      <c r="U23" s="704"/>
      <c r="V23" s="850"/>
      <c r="W23" s="1976"/>
      <c r="X23" s="1976"/>
      <c r="Y23" s="1976"/>
      <c r="Z23" s="1976"/>
      <c r="AA23" s="1976"/>
      <c r="AB23" s="1976"/>
      <c r="AC23" s="850"/>
      <c r="AD23" s="850"/>
      <c r="AE23" s="850"/>
      <c r="AF23" s="850"/>
      <c r="AG23" s="850"/>
      <c r="AH23" s="1976"/>
      <c r="AI23" s="1976"/>
      <c r="AJ23" s="1976"/>
      <c r="AK23" s="1976"/>
      <c r="AL23" s="1976"/>
      <c r="AM23" s="850"/>
      <c r="AN23" s="850"/>
      <c r="AO23" s="850"/>
      <c r="AP23" s="850"/>
      <c r="AQ23" s="850"/>
      <c r="AY23" s="1496">
        <v>14</v>
      </c>
    </row>
    <row customHeight="1" ht="26.25">
      <c r="Q24" s="717"/>
      <c r="R24" s="717"/>
      <c r="S24" s="258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1584"/>
      <c r="AY24" s="1496">
        <v>25</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1584"/>
      <c r="AY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850"/>
      <c r="AY26" s="1496">
        <v>0</v>
      </c>
    </row>
    <row s="17442" customFormat="1" customHeight="1" ht="25.5" hidden="1">
      <c r="A27" s="1709"/>
      <c r="B27" s="1709"/>
      <c r="C27" s="1709"/>
      <c r="D27" s="1709"/>
      <c r="E27" s="1709"/>
      <c r="F27" s="1709"/>
      <c r="G27" s="1709"/>
      <c r="H27" s="1709"/>
      <c r="I27" s="1709"/>
      <c r="J27" s="1709"/>
      <c r="K27" s="1709"/>
      <c r="L27" s="1710"/>
      <c r="M27" s="1709"/>
      <c r="N27" s="1709"/>
      <c r="O27" s="1709"/>
      <c r="S27" s="2591" t="s">
        <v>41</v>
      </c>
      <c r="T27" s="2591"/>
      <c r="U27" s="1713"/>
      <c r="V27" s="2592" t="str">
        <f>IF(TITLE_NAME_OR_PR_CHANGE="",IF(TITLE_NAME_OR_PR="","",TITLE_NAME_OR_PR),TITLE_NAME_OR_PR_CHANGE)</f>
        <v/>
      </c>
      <c r="W27" s="2592"/>
      <c r="X27" s="2592"/>
      <c r="Y27" s="2592"/>
      <c r="Z27" s="2592"/>
      <c r="AA27" s="2592"/>
      <c r="AB27" s="2592"/>
      <c r="AC27" s="2592"/>
      <c r="AD27" s="2592"/>
      <c r="AE27" s="2592"/>
      <c r="AF27" s="667"/>
      <c r="AG27" s="2592" t="str">
        <f>IF(TITLE_NAME_OR_PR_CHANGE="",IF(TITLE_NAME_OR_PR="","",TITLE_NAME_OR_PR),TITLE_NAME_OR_PR_CHANGE)</f>
        <v/>
      </c>
      <c r="AH27" s="2592"/>
      <c r="AI27" s="2592"/>
      <c r="AJ27" s="2592"/>
      <c r="AK27" s="2592"/>
      <c r="AL27" s="2592"/>
      <c r="AM27" s="2592"/>
      <c r="AN27" s="2592"/>
      <c r="AO27" s="2592"/>
      <c r="AP27" s="2592"/>
      <c r="AQ27" s="667"/>
      <c r="AR27" s="667"/>
      <c r="AS27" s="621"/>
      <c r="AT27" s="709"/>
      <c r="AU27" s="709"/>
      <c r="AV27" s="709"/>
      <c r="AW27" s="709"/>
      <c r="AX27" s="709"/>
      <c r="AY27" s="759">
        <v>0</v>
      </c>
    </row>
    <row s="17442" customFormat="1" customHeight="1" ht="18.75" hidden="1">
      <c r="A28" s="1709"/>
      <c r="B28" s="1709"/>
      <c r="C28" s="1709"/>
      <c r="D28" s="1709"/>
      <c r="E28" s="1709"/>
      <c r="F28" s="1709"/>
      <c r="G28" s="1709"/>
      <c r="H28" s="1709"/>
      <c r="I28" s="1709"/>
      <c r="J28" s="1709"/>
      <c r="K28" s="1709"/>
      <c r="L28" s="1710"/>
      <c r="M28" s="1709"/>
      <c r="N28" s="1709"/>
      <c r="O28" s="1709"/>
      <c r="S28" s="2591" t="s">
        <v>418</v>
      </c>
      <c r="T28" s="2591"/>
      <c r="U28" s="1713"/>
      <c r="V28" s="2605" t="str">
        <f>IF(TITLE_DATE_PR_CHANGE="",IF(TITLE_DATE_PR="","",TITLE_DATE_PR),TITLE_DATE_PR_CHANGE)</f>
        <v/>
      </c>
      <c r="W28" s="2605"/>
      <c r="X28" s="2605"/>
      <c r="Y28" s="2605"/>
      <c r="Z28" s="2605"/>
      <c r="AA28" s="2605"/>
      <c r="AB28" s="2605"/>
      <c r="AC28" s="2605"/>
      <c r="AD28" s="2605"/>
      <c r="AE28" s="2605"/>
      <c r="AF28" s="667"/>
      <c r="AG28" s="2605" t="str">
        <f>IF(TITLE_DATE_PR_CHANGE="",IF(TITLE_DATE_PR="","",TITLE_DATE_PR),TITLE_DATE_PR_CHANGE)</f>
        <v/>
      </c>
      <c r="AH28" s="2605"/>
      <c r="AI28" s="2605"/>
      <c r="AJ28" s="2605"/>
      <c r="AK28" s="2605"/>
      <c r="AL28" s="2605"/>
      <c r="AM28" s="2605"/>
      <c r="AN28" s="2605"/>
      <c r="AO28" s="2605"/>
      <c r="AP28" s="2605"/>
      <c r="AQ28" s="667"/>
      <c r="AR28" s="667"/>
      <c r="AS28" s="621"/>
      <c r="AT28" s="709"/>
      <c r="AU28" s="709"/>
      <c r="AV28" s="709"/>
      <c r="AW28" s="709"/>
      <c r="AX28" s="709"/>
      <c r="AY28" s="759">
        <v>0</v>
      </c>
    </row>
    <row s="17442" customFormat="1" customHeight="1" ht="18.75" hidden="1">
      <c r="A29" s="1709"/>
      <c r="B29" s="1709"/>
      <c r="C29" s="1709"/>
      <c r="D29" s="1709"/>
      <c r="E29" s="1709"/>
      <c r="F29" s="1709"/>
      <c r="G29" s="1709"/>
      <c r="H29" s="1709"/>
      <c r="I29" s="1709"/>
      <c r="J29" s="1709"/>
      <c r="K29" s="1709"/>
      <c r="L29" s="1710"/>
      <c r="M29" s="1709"/>
      <c r="N29" s="1709"/>
      <c r="O29" s="1709"/>
      <c r="S29" s="2591" t="s">
        <v>419</v>
      </c>
      <c r="T29" s="2591"/>
      <c r="U29" s="1713"/>
      <c r="V29" s="2592" t="str">
        <f>IF(TITLE_NUMBER_PR_CHANGE="",IF(TITLE_NUMBER_PR="","",TITLE_NUMBER_PR),TITLE_NUMBER_PR_CHANGE)</f>
        <v/>
      </c>
      <c r="W29" s="2592"/>
      <c r="X29" s="2592"/>
      <c r="Y29" s="2592"/>
      <c r="Z29" s="2592"/>
      <c r="AA29" s="2592"/>
      <c r="AB29" s="2592"/>
      <c r="AC29" s="2592"/>
      <c r="AD29" s="2592"/>
      <c r="AE29" s="2592"/>
      <c r="AF29" s="667"/>
      <c r="AG29" s="2592" t="str">
        <f>IF(TITLE_NUMBER_PR_CHANGE="",IF(TITLE_NUMBER_PR="","",TITLE_NUMBER_PR),TITLE_NUMBER_PR_CHANGE)</f>
        <v/>
      </c>
      <c r="AH29" s="2592"/>
      <c r="AI29" s="2592"/>
      <c r="AJ29" s="2592"/>
      <c r="AK29" s="2592"/>
      <c r="AL29" s="2592"/>
      <c r="AM29" s="2592"/>
      <c r="AN29" s="2592"/>
      <c r="AO29" s="2592"/>
      <c r="AP29" s="2592"/>
      <c r="AQ29" s="667"/>
      <c r="AR29" s="667"/>
      <c r="AS29" s="621"/>
      <c r="AT29" s="709"/>
      <c r="AU29" s="709"/>
      <c r="AV29" s="709"/>
      <c r="AW29" s="709"/>
      <c r="AX29" s="709"/>
      <c r="AY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42</v>
      </c>
      <c r="T30" s="2591"/>
      <c r="U30" s="1713"/>
      <c r="V30" s="2592" t="str">
        <f>IF(TITLE_IST_PUB_CHANGE="",IF(TITLE_IST_PUB="","",TITLE_IST_PUB),TITLE_IST_PUB_CHANGE)</f>
        <v/>
      </c>
      <c r="W30" s="2592"/>
      <c r="X30" s="2592"/>
      <c r="Y30" s="2592"/>
      <c r="Z30" s="2592"/>
      <c r="AA30" s="2592"/>
      <c r="AB30" s="2592"/>
      <c r="AC30" s="2592"/>
      <c r="AD30" s="2592"/>
      <c r="AE30" s="2592"/>
      <c r="AF30" s="667"/>
      <c r="AG30" s="2592" t="str">
        <f>IF(TITLE_IST_PUB_CHANGE="",IF(TITLE_IST_PUB="","",TITLE_IST_PUB),TITLE_IST_PUB_CHANGE)</f>
        <v/>
      </c>
      <c r="AH30" s="2592"/>
      <c r="AI30" s="2592"/>
      <c r="AJ30" s="2592"/>
      <c r="AK30" s="2592"/>
      <c r="AL30" s="2592"/>
      <c r="AM30" s="2592"/>
      <c r="AN30" s="2592"/>
      <c r="AO30" s="2592"/>
      <c r="AP30" s="2592"/>
      <c r="AQ30" s="667"/>
      <c r="AR30" s="667"/>
      <c r="AS30" s="621"/>
      <c r="AT30" s="709"/>
      <c r="AU30" s="709"/>
      <c r="AV30" s="709"/>
      <c r="AW30" s="709"/>
      <c r="AX30" s="709"/>
      <c r="AY30" s="759">
        <v>0</v>
      </c>
    </row>
    <row customHeight="1" ht="14.25" hidden="1">
      <c r="Q31" s="717"/>
      <c r="R31" s="717"/>
      <c r="S31" s="1616"/>
      <c r="T31" s="704"/>
      <c r="U31" s="704"/>
      <c r="V31" s="663"/>
      <c r="W31" s="663"/>
      <c r="X31" s="663"/>
      <c r="Y31" s="663"/>
      <c r="Z31" s="663"/>
      <c r="AA31" s="663"/>
      <c r="AB31" s="663"/>
      <c r="AC31" s="663"/>
      <c r="AD31" s="663"/>
      <c r="AE31" s="663"/>
      <c r="AF31" s="663"/>
      <c r="AG31" s="663"/>
      <c r="AH31" s="663"/>
      <c r="AI31" s="663"/>
      <c r="AJ31" s="663"/>
      <c r="AK31" s="663"/>
      <c r="AL31" s="663"/>
      <c r="AM31" s="663"/>
      <c r="AN31" s="663"/>
      <c r="AO31" s="663"/>
      <c r="AP31" s="663"/>
      <c r="AQ31" s="663"/>
      <c r="AR31" s="850"/>
      <c r="AY31" s="1496">
        <v>0</v>
      </c>
    </row>
    <row s="17442" customFormat="1" customHeight="1" ht="18.75" hidden="1">
      <c r="A32" s="1709"/>
      <c r="B32" s="1709"/>
      <c r="C32" s="1709"/>
      <c r="D32" s="1709"/>
      <c r="E32" s="1709"/>
      <c r="F32" s="1709"/>
      <c r="G32" s="1709"/>
      <c r="H32" s="1709"/>
      <c r="I32" s="1709"/>
      <c r="J32" s="1709"/>
      <c r="K32" s="1709"/>
      <c r="L32" s="1710"/>
      <c r="M32" s="1709"/>
      <c r="N32" s="1709"/>
      <c r="O32" s="1709"/>
      <c r="S32" s="2591" t="s">
        <v>420</v>
      </c>
      <c r="T32" s="2591"/>
      <c r="U32" s="1713"/>
      <c r="V32" s="2605" t="str">
        <f>IF(TITLE_DATE_PR_CHANGE="",IF(TITLE_DATE_PR="","",TITLE_DATE_PR),TITLE_DATE_PR_CHANGE)</f>
        <v/>
      </c>
      <c r="W32" s="2605"/>
      <c r="X32" s="2605"/>
      <c r="Y32" s="2605"/>
      <c r="Z32" s="2605"/>
      <c r="AA32" s="2605"/>
      <c r="AB32" s="2605"/>
      <c r="AC32" s="2605"/>
      <c r="AD32" s="2605"/>
      <c r="AE32" s="2605"/>
      <c r="AF32" s="667"/>
      <c r="AG32" s="2605" t="str">
        <f>IF(TITLE_DATE_PR_CHANGE="",IF(TITLE_DATE_PR="","",TITLE_DATE_PR),TITLE_DATE_PR_CHANGE)</f>
        <v/>
      </c>
      <c r="AH32" s="2605"/>
      <c r="AI32" s="2605"/>
      <c r="AJ32" s="2605"/>
      <c r="AK32" s="2605"/>
      <c r="AL32" s="2605"/>
      <c r="AM32" s="2605"/>
      <c r="AN32" s="2605"/>
      <c r="AO32" s="2605"/>
      <c r="AP32" s="2605"/>
      <c r="AQ32" s="667"/>
      <c r="AR32" s="667"/>
      <c r="AS32" s="621"/>
      <c r="AT32" s="709"/>
      <c r="AU32" s="709"/>
      <c r="AV32" s="709"/>
      <c r="AW32" s="709"/>
      <c r="AX32" s="709"/>
      <c r="AY32" s="759">
        <v>0</v>
      </c>
    </row>
    <row s="17442" customFormat="1" customHeight="1" ht="18.75" hidden="1">
      <c r="A33" s="1709"/>
      <c r="B33" s="1709"/>
      <c r="C33" s="1709"/>
      <c r="D33" s="1709"/>
      <c r="E33" s="1709"/>
      <c r="F33" s="1709"/>
      <c r="G33" s="1709"/>
      <c r="H33" s="1709"/>
      <c r="I33" s="1709"/>
      <c r="J33" s="1709"/>
      <c r="K33" s="1709"/>
      <c r="L33" s="1710"/>
      <c r="M33" s="1709"/>
      <c r="N33" s="1709"/>
      <c r="O33" s="1709"/>
      <c r="S33" s="2591" t="s">
        <v>421</v>
      </c>
      <c r="T33" s="2591"/>
      <c r="U33" s="1713"/>
      <c r="V33" s="2592" t="str">
        <f>IF(TITLE_NUMBER_PR_CHANGE="",IF(TITLE_NUMBER_PR="","",TITLE_NUMBER_PR),TITLE_NUMBER_PR_CHANGE)</f>
        <v/>
      </c>
      <c r="W33" s="2592"/>
      <c r="X33" s="2592"/>
      <c r="Y33" s="2592"/>
      <c r="Z33" s="2592"/>
      <c r="AA33" s="2592"/>
      <c r="AB33" s="2592"/>
      <c r="AC33" s="2592"/>
      <c r="AD33" s="2592"/>
      <c r="AE33" s="2592"/>
      <c r="AF33" s="667"/>
      <c r="AG33" s="2592" t="str">
        <f>IF(TITLE_NUMBER_PR_CHANGE="",IF(TITLE_NUMBER_PR="","",TITLE_NUMBER_PR),TITLE_NUMBER_PR_CHANGE)</f>
        <v/>
      </c>
      <c r="AH33" s="2592"/>
      <c r="AI33" s="2592"/>
      <c r="AJ33" s="2592"/>
      <c r="AK33" s="2592"/>
      <c r="AL33" s="2592"/>
      <c r="AM33" s="2592"/>
      <c r="AN33" s="2592"/>
      <c r="AO33" s="2592"/>
      <c r="AP33" s="2592"/>
      <c r="AQ33" s="667"/>
      <c r="AR33" s="667"/>
      <c r="AS33" s="621"/>
      <c r="AT33" s="709"/>
      <c r="AU33" s="709"/>
      <c r="AV33" s="709"/>
      <c r="AW33" s="709"/>
      <c r="AX33" s="709"/>
      <c r="AY33" s="759">
        <v>0</v>
      </c>
    </row>
    <row s="17442" customFormat="1" customHeight="1" ht="1.05">
      <c r="A34" s="1709"/>
      <c r="B34" s="1709"/>
      <c r="C34" s="1709"/>
      <c r="D34" s="1709"/>
      <c r="E34" s="1709"/>
      <c r="F34" s="1709"/>
      <c r="G34" s="1709"/>
      <c r="H34" s="1709"/>
      <c r="I34" s="1709"/>
      <c r="J34" s="1709"/>
      <c r="K34" s="1709"/>
      <c r="L34" s="1710"/>
      <c r="M34" s="1709"/>
      <c r="N34" s="1709"/>
      <c r="O34" s="1709"/>
      <c r="S34" s="664"/>
      <c r="T34" s="664"/>
      <c r="U34" s="1829"/>
      <c r="V34" s="667"/>
      <c r="W34" s="1976"/>
      <c r="X34" s="1976"/>
      <c r="Y34" s="1976"/>
      <c r="Z34" s="1976"/>
      <c r="AA34" s="1976"/>
      <c r="AB34" s="1976"/>
      <c r="AC34" s="667"/>
      <c r="AD34" s="667"/>
      <c r="AE34" s="667"/>
      <c r="AF34" s="619" t="s">
        <v>422</v>
      </c>
      <c r="AG34" s="667"/>
      <c r="AH34" s="1976"/>
      <c r="AI34" s="1976"/>
      <c r="AJ34" s="1976"/>
      <c r="AK34" s="1976"/>
      <c r="AL34" s="1976"/>
      <c r="AM34" s="667"/>
      <c r="AN34" s="667"/>
      <c r="AO34" s="667"/>
      <c r="AP34" s="667"/>
      <c r="AQ34" s="619" t="s">
        <v>422</v>
      </c>
      <c r="AT34" s="709"/>
      <c r="AU34" s="709"/>
      <c r="AV34" s="709"/>
      <c r="AW34" s="709"/>
      <c r="AX34" s="709"/>
      <c r="AY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Y35" s="1496">
        <v>14</v>
      </c>
    </row>
    <row customHeight="1" ht="14.699999999999998">
      <c r="Q36" s="717"/>
      <c r="R36" s="717"/>
      <c r="S36" s="2468" t="s">
        <v>295</v>
      </c>
      <c r="T36" s="2468"/>
      <c r="U36" s="2468"/>
      <c r="V36" s="2468"/>
      <c r="W36" s="2468"/>
      <c r="X36" s="2468"/>
      <c r="Y36" s="2468"/>
      <c r="Z36" s="2468"/>
      <c r="AA36" s="2468"/>
      <c r="AB36" s="2468"/>
      <c r="AC36" s="2468"/>
      <c r="AD36" s="2468"/>
      <c r="AE36" s="2468"/>
      <c r="AF36" s="2468"/>
      <c r="AG36" s="2468"/>
      <c r="AH36" s="2468"/>
      <c r="AI36" s="2468"/>
      <c r="AJ36" s="2468"/>
      <c r="AK36" s="2468"/>
      <c r="AL36" s="2468"/>
      <c r="AM36" s="2468"/>
      <c r="AN36" s="2468"/>
      <c r="AO36" s="2468"/>
      <c r="AP36" s="2468"/>
      <c r="AQ36" s="2468"/>
      <c r="AR36" s="2468"/>
      <c r="AS36" s="2468" t="s">
        <v>296</v>
      </c>
      <c r="AY36" s="1496">
        <v>14</v>
      </c>
    </row>
    <row customHeight="1" ht="14.699999999999998">
      <c r="Q37" s="717"/>
      <c r="R37" s="717"/>
      <c r="S37" s="2614" t="s">
        <v>88</v>
      </c>
      <c r="T37" s="2550" t="s">
        <v>423</v>
      </c>
      <c r="U37" s="642"/>
      <c r="V37" s="2615" t="s">
        <v>424</v>
      </c>
      <c r="W37" s="2632"/>
      <c r="X37" s="2632"/>
      <c r="Y37" s="2632"/>
      <c r="Z37" s="2632"/>
      <c r="AA37" s="2632"/>
      <c r="AB37" s="2632"/>
      <c r="AC37" s="2616"/>
      <c r="AD37" s="2616"/>
      <c r="AE37" s="2617"/>
      <c r="AF37" s="2618" t="s">
        <v>425</v>
      </c>
      <c r="AG37" s="2615" t="s">
        <v>424</v>
      </c>
      <c r="AH37" s="2616"/>
      <c r="AI37" s="2616"/>
      <c r="AJ37" s="2616"/>
      <c r="AK37" s="2616"/>
      <c r="AL37" s="2616"/>
      <c r="AM37" s="2616"/>
      <c r="AN37" s="2616"/>
      <c r="AO37" s="2616"/>
      <c r="AP37" s="2617"/>
      <c r="AQ37" s="2618" t="s">
        <v>426</v>
      </c>
      <c r="AR37" s="2621" t="s">
        <v>427</v>
      </c>
      <c r="AS37" s="2468"/>
      <c r="AY37" s="1496">
        <v>14</v>
      </c>
    </row>
    <row customHeight="1" ht="19.95">
      <c r="Q38" s="717"/>
      <c r="R38" s="717"/>
      <c r="S38" s="2614"/>
      <c r="T38" s="2550"/>
      <c r="U38" s="1372"/>
      <c r="V38" s="2707" t="s">
        <v>527</v>
      </c>
      <c r="W38" s="2706" t="s">
        <v>528</v>
      </c>
      <c r="X38" s="2706"/>
      <c r="Y38" s="2706"/>
      <c r="Z38" s="2706" t="s">
        <v>529</v>
      </c>
      <c r="AA38" s="2706"/>
      <c r="AB38" s="2706"/>
      <c r="AC38" s="2635" t="s">
        <v>431</v>
      </c>
      <c r="AD38" s="2654"/>
      <c r="AE38" s="2655"/>
      <c r="AF38" s="2619"/>
      <c r="AG38" s="2707" t="s">
        <v>527</v>
      </c>
      <c r="AH38" s="2706" t="s">
        <v>528</v>
      </c>
      <c r="AI38" s="2706"/>
      <c r="AJ38" s="2706"/>
      <c r="AK38" s="2706" t="s">
        <v>529</v>
      </c>
      <c r="AL38" s="2706"/>
      <c r="AM38" s="2706"/>
      <c r="AN38" s="2635" t="s">
        <v>431</v>
      </c>
      <c r="AO38" s="2654"/>
      <c r="AP38" s="2655"/>
      <c r="AQ38" s="2619"/>
      <c r="AR38" s="2622"/>
      <c r="AS38" s="2468"/>
      <c r="AY38" s="1496">
        <v>19</v>
      </c>
    </row>
    <row s="17239" customFormat="1" customHeight="1" ht="19.95">
      <c r="A39" s="1707"/>
      <c r="B39" s="1707"/>
      <c r="C39" s="1707"/>
      <c r="D39" s="1707"/>
      <c r="E39" s="1707"/>
      <c r="F39" s="1707"/>
      <c r="G39" s="1707"/>
      <c r="H39" s="1707"/>
      <c r="I39" s="1707"/>
      <c r="J39" s="1707"/>
      <c r="K39" s="1707"/>
      <c r="L39" s="2292"/>
      <c r="M39" s="1703"/>
      <c r="N39" s="1703"/>
      <c r="O39" s="1703"/>
      <c r="P39" s="2306"/>
      <c r="Q39" s="717"/>
      <c r="R39" s="717"/>
      <c r="S39" s="2614"/>
      <c r="T39" s="2550"/>
      <c r="U39" s="1372"/>
      <c r="V39" s="2707"/>
      <c r="W39" s="2706" t="s">
        <v>530</v>
      </c>
      <c r="X39" s="2706" t="s">
        <v>531</v>
      </c>
      <c r="Y39" s="2706"/>
      <c r="Z39" s="2706" t="s">
        <v>532</v>
      </c>
      <c r="AA39" s="2706" t="s">
        <v>531</v>
      </c>
      <c r="AB39" s="2706"/>
      <c r="AC39" s="2636"/>
      <c r="AD39" s="2656"/>
      <c r="AE39" s="2657"/>
      <c r="AF39" s="2619"/>
      <c r="AG39" s="2707"/>
      <c r="AH39" s="2706" t="s">
        <v>530</v>
      </c>
      <c r="AI39" s="2706" t="s">
        <v>531</v>
      </c>
      <c r="AJ39" s="2706"/>
      <c r="AK39" s="2706" t="s">
        <v>532</v>
      </c>
      <c r="AL39" s="2706" t="s">
        <v>531</v>
      </c>
      <c r="AM39" s="2706"/>
      <c r="AN39" s="2636"/>
      <c r="AO39" s="2656"/>
      <c r="AP39" s="2657"/>
      <c r="AQ39" s="2619"/>
      <c r="AR39" s="2622"/>
      <c r="AS39" s="2468"/>
      <c r="AT39" s="1977"/>
      <c r="AU39" s="1977"/>
      <c r="AV39" s="1977"/>
      <c r="AW39" s="1977"/>
      <c r="AX39" s="1977"/>
      <c r="AY39" s="1972">
        <v>19</v>
      </c>
    </row>
    <row customHeight="1" ht="61.949999999999996">
      <c r="A40" s="1711"/>
      <c r="B40" s="1711" t="s">
        <v>132</v>
      </c>
      <c r="C40" s="1711" t="s">
        <v>133</v>
      </c>
      <c r="D40" s="1711" t="s">
        <v>134</v>
      </c>
      <c r="E40" s="1705" t="s">
        <v>432</v>
      </c>
      <c r="F40" s="1705" t="s">
        <v>433</v>
      </c>
      <c r="G40" s="1705" t="s">
        <v>434</v>
      </c>
      <c r="H40" s="1705"/>
      <c r="I40" s="1705" t="s">
        <v>485</v>
      </c>
      <c r="J40" s="1705" t="s">
        <v>437</v>
      </c>
      <c r="K40" s="1705" t="s">
        <v>486</v>
      </c>
      <c r="L40" s="1705" t="s">
        <v>413</v>
      </c>
      <c r="Q40" s="717"/>
      <c r="R40" s="717"/>
      <c r="S40" s="2614"/>
      <c r="T40" s="2550"/>
      <c r="U40" s="643"/>
      <c r="V40" s="2707"/>
      <c r="W40" s="2706"/>
      <c r="X40" s="2324" t="s">
        <v>533</v>
      </c>
      <c r="Y40" s="2324" t="s">
        <v>534</v>
      </c>
      <c r="Z40" s="2706"/>
      <c r="AA40" s="2324" t="s">
        <v>535</v>
      </c>
      <c r="AB40" s="2324" t="s">
        <v>536</v>
      </c>
      <c r="AC40" s="1830" t="s">
        <v>441</v>
      </c>
      <c r="AD40" s="2611" t="s">
        <v>442</v>
      </c>
      <c r="AE40" s="2612"/>
      <c r="AF40" s="2620"/>
      <c r="AG40" s="2707"/>
      <c r="AH40" s="2706"/>
      <c r="AI40" s="2324" t="s">
        <v>533</v>
      </c>
      <c r="AJ40" s="2324" t="s">
        <v>534</v>
      </c>
      <c r="AK40" s="2706"/>
      <c r="AL40" s="2324" t="s">
        <v>535</v>
      </c>
      <c r="AM40" s="2324" t="s">
        <v>536</v>
      </c>
      <c r="AN40" s="1830" t="s">
        <v>441</v>
      </c>
      <c r="AO40" s="2611" t="s">
        <v>442</v>
      </c>
      <c r="AP40" s="2612"/>
      <c r="AQ40" s="2620"/>
      <c r="AR40" s="2623"/>
      <c r="AS40" s="2468"/>
      <c r="AY40" s="1496">
        <v>59</v>
      </c>
    </row>
    <row s="17832" customFormat="1" customHeight="1" ht="11.25" hidden="1">
      <c r="A41" s="1711"/>
      <c r="B41" s="1711"/>
      <c r="C41" s="1711"/>
      <c r="D41" s="1711"/>
      <c r="E41" s="1711"/>
      <c r="F41" s="1711"/>
      <c r="G41" s="1711"/>
      <c r="H41" s="1711"/>
      <c r="I41" s="1711"/>
      <c r="J41" s="1711"/>
      <c r="K41" s="1711"/>
      <c r="L41" s="1705"/>
      <c r="M41" s="1703"/>
      <c r="N41" s="1703"/>
      <c r="O41" s="1703"/>
      <c r="P41" s="1587"/>
      <c r="Q41" s="1588"/>
      <c r="R41" s="1595">
        <v>1</v>
      </c>
      <c r="S41" s="1618" t="s">
        <v>106</v>
      </c>
      <c r="T41" s="1596" t="s">
        <v>107</v>
      </c>
      <c r="U41" s="1586" t="str">
        <f>OFFSET(U41,0,-1)</f>
        <v>2</v>
      </c>
      <c r="V41" s="1823">
        <f>OFFSET(V41,0,-1)+1</f>
        <v>3</v>
      </c>
      <c r="W41" s="1682"/>
      <c r="X41" s="1682"/>
      <c r="Y41" s="1682"/>
      <c r="Z41" s="1682"/>
      <c r="AA41" s="1682"/>
      <c r="AB41" s="1682"/>
      <c r="AC41" s="1823">
        <f>OFFSET(AC41,0,-1)+1</f>
        <v>1</v>
      </c>
      <c r="AD41" s="2613">
        <f>OFFSET(AD41,0,-1)+1</f>
        <v>2</v>
      </c>
      <c r="AE41" s="2613"/>
      <c r="AF41" s="1823">
        <f>OFFSET(AF41,0,-2)+1</f>
        <v>3</v>
      </c>
      <c r="AG41" s="1823">
        <f>OFFSET(AG41,0,-1)+1</f>
        <v>4</v>
      </c>
      <c r="AH41" s="2297"/>
      <c r="AI41" s="2297"/>
      <c r="AJ41" s="2297"/>
      <c r="AK41" s="2297"/>
      <c r="AL41" s="2297"/>
      <c r="AM41" s="1823">
        <f>OFFSET(AM41,0,-1)+1</f>
        <v>1</v>
      </c>
      <c r="AN41" s="1823">
        <f>OFFSET(AN41,0,-1)+1</f>
        <v>2</v>
      </c>
      <c r="AO41" s="2613">
        <f>OFFSET(AO41,0,-1)+1</f>
        <v>3</v>
      </c>
      <c r="AP41" s="2613"/>
      <c r="AQ41" s="1823">
        <f>OFFSET(AQ41,0,-2)+1</f>
        <v>4</v>
      </c>
      <c r="AR41" s="1586">
        <f>OFFSET(AR41,0,-1)</f>
        <v>4</v>
      </c>
      <c r="AS41" s="1823">
        <f>OFFSET(AS41,0,-1)+1</f>
        <v>5</v>
      </c>
      <c r="AT41" s="852"/>
      <c r="AU41" s="852"/>
      <c r="AV41" s="852"/>
      <c r="AW41" s="852"/>
      <c r="AX41" s="852"/>
      <c r="AY41" s="837">
        <v>0</v>
      </c>
    </row>
    <row customHeight="1" ht="24">
      <c r="A42" s="1704" t="s">
        <v>246</v>
      </c>
      <c r="B42" s="1704"/>
      <c r="C42" s="1704"/>
      <c r="D42" s="1704"/>
      <c r="E42" s="2599">
        <v>1</v>
      </c>
      <c r="F42" s="1704"/>
      <c r="G42" s="1704"/>
      <c r="H42" s="1704"/>
      <c r="I42" s="1704"/>
      <c r="J42" s="1704"/>
      <c r="K42" s="1704"/>
      <c r="L42" s="1705"/>
      <c r="M42" s="1706"/>
      <c r="N42" s="1706"/>
      <c r="O42" s="1706"/>
      <c r="P42" s="702"/>
      <c r="Q42" s="701"/>
      <c r="R42" s="696"/>
      <c r="S42" s="1834">
        <f>INDEX(PT_DIFFERENTIATION_NUM_NTAR,MATCH(A42,PT_DIFFERENTIATION_NTAR_ID,0))</f>
        <v>0</v>
      </c>
      <c r="T42" s="639" t="s">
        <v>120</v>
      </c>
      <c r="U42" s="641"/>
      <c r="V42" s="2583"/>
      <c r="W42" s="2584"/>
      <c r="X42" s="2584"/>
      <c r="Y42" s="2584"/>
      <c r="Z42" s="2584"/>
      <c r="AA42" s="2584"/>
      <c r="AB42" s="2584"/>
      <c r="AC42" s="2584"/>
      <c r="AD42" s="2584"/>
      <c r="AE42" s="2584"/>
      <c r="AF42" s="2585"/>
      <c r="AG42" s="2583" t="str">
        <f>INDEX(PT_DIFFERENTIATION_NTAR,MATCH(A42,PT_DIFFERENTIATION_NTAR_ID,0))</f>
        <v/>
      </c>
      <c r="AH42" s="2584"/>
      <c r="AI42" s="2584"/>
      <c r="AJ42" s="2584"/>
      <c r="AK42" s="2584"/>
      <c r="AL42" s="2584"/>
      <c r="AM42" s="2584"/>
      <c r="AN42" s="2584"/>
      <c r="AO42" s="2584"/>
      <c r="AP42" s="2584"/>
      <c r="AQ42" s="2584"/>
      <c r="AR42" s="2585"/>
      <c r="AS4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41"/>
      <c r="AV42" s="841" t="str">
        <f>IF(T42="","",T42)</f>
        <v>Наименование тарифа</v>
      </c>
      <c r="AW42" s="841"/>
      <c r="AX42" s="841"/>
      <c r="AY42" s="1496">
        <v>23</v>
      </c>
    </row>
    <row customHeight="1" ht="24">
      <c r="A43" s="1704" t="s">
        <v>246</v>
      </c>
      <c r="B43" s="1704" t="s">
        <v>247</v>
      </c>
      <c r="C43" s="1704"/>
      <c r="D43" s="1704"/>
      <c r="E43" s="2600"/>
      <c r="F43" s="2599">
        <v>1</v>
      </c>
      <c r="G43" s="1704"/>
      <c r="H43" s="1704"/>
      <c r="I43" s="1704"/>
      <c r="J43" s="1704"/>
      <c r="K43" s="1704"/>
      <c r="L43" s="1705"/>
      <c r="M43" s="1706"/>
      <c r="N43" s="1706"/>
      <c r="O43" s="1706"/>
      <c r="P43" s="1828"/>
      <c r="Q43" s="693"/>
      <c r="R43" s="694"/>
      <c r="S43" s="1834" t="str">
        <f>INDEX(PT_DIFFERENTIATION_NUM_TER,MATCH(B43,PT_DIFFERENTIATION_TER_ID,0))</f>
        <v>.</v>
      </c>
      <c r="T43" s="649" t="s">
        <v>392</v>
      </c>
      <c r="U43" s="641"/>
      <c r="V43" s="2583"/>
      <c r="W43" s="2584"/>
      <c r="X43" s="2584"/>
      <c r="Y43" s="2584"/>
      <c r="Z43" s="2584"/>
      <c r="AA43" s="2584"/>
      <c r="AB43" s="2584"/>
      <c r="AC43" s="2584"/>
      <c r="AD43" s="2584"/>
      <c r="AE43" s="2584"/>
      <c r="AF43" s="2585"/>
      <c r="AG43" s="2583" t="str">
        <f>INDEX(PT_DIFFERENTIATION_TER,MATCH(B43,PT_DIFFERENTIATION_TER_ID,0))</f>
        <v/>
      </c>
      <c r="AH43" s="2584"/>
      <c r="AI43" s="2584"/>
      <c r="AJ43" s="2584"/>
      <c r="AK43" s="2584"/>
      <c r="AL43" s="2584"/>
      <c r="AM43" s="2584"/>
      <c r="AN43" s="2584"/>
      <c r="AO43" s="2584"/>
      <c r="AP43" s="2584"/>
      <c r="AQ43" s="2584"/>
      <c r="AR43" s="2585"/>
      <c r="AS43" s="1599" t="s">
        <v>393</v>
      </c>
      <c r="AU43" s="841"/>
      <c r="AV43" s="841" t="str">
        <f>IF(T43="","",T43)</f>
        <v>Территория действия тарифа</v>
      </c>
      <c r="AW43" s="841"/>
      <c r="AX43" s="841"/>
      <c r="AY43" s="1496">
        <v>23</v>
      </c>
    </row>
    <row customHeight="1" ht="24">
      <c r="A44" s="1704" t="s">
        <v>246</v>
      </c>
      <c r="B44" s="1704" t="s">
        <v>247</v>
      </c>
      <c r="C44" s="1704" t="s">
        <v>248</v>
      </c>
      <c r="D44" s="1704"/>
      <c r="E44" s="2600"/>
      <c r="F44" s="2600"/>
      <c r="G44" s="2599">
        <v>1</v>
      </c>
      <c r="H44" s="1704"/>
      <c r="I44" s="1704"/>
      <c r="J44" s="1704"/>
      <c r="K44" s="1704"/>
      <c r="L44" s="1705"/>
      <c r="M44" s="1706"/>
      <c r="N44" s="1706"/>
      <c r="O44" s="1706"/>
      <c r="P44" s="695"/>
      <c r="Q44" s="693"/>
      <c r="R44" s="694"/>
      <c r="S44" s="1834" t="str">
        <f>INDEX(PT_DIFFERENTIATION_NUM_CS,MATCH(C44,PT_DIFFERENTIATION_CS_ID,0))</f>
        <v>..</v>
      </c>
      <c r="T44" s="650" t="s">
        <v>525</v>
      </c>
      <c r="U44" s="641"/>
      <c r="V44" s="2583"/>
      <c r="W44" s="2584"/>
      <c r="X44" s="2584"/>
      <c r="Y44" s="2584"/>
      <c r="Z44" s="2584"/>
      <c r="AA44" s="2584"/>
      <c r="AB44" s="2584"/>
      <c r="AC44" s="2584"/>
      <c r="AD44" s="2584"/>
      <c r="AE44" s="2584"/>
      <c r="AF44" s="2585"/>
      <c r="AG44" s="2583" t="str">
        <f>INDEX(PT_DIFFERENTIATION_CS,MATCH(C44,PT_DIFFERENTIATION_CS_ID,0))</f>
        <v/>
      </c>
      <c r="AH44" s="2584"/>
      <c r="AI44" s="2584"/>
      <c r="AJ44" s="2584"/>
      <c r="AK44" s="2584"/>
      <c r="AL44" s="2584"/>
      <c r="AM44" s="2584"/>
      <c r="AN44" s="2584"/>
      <c r="AO44" s="2584"/>
      <c r="AP44" s="2584"/>
      <c r="AQ44" s="2584"/>
      <c r="AR44" s="2585"/>
      <c r="AS44" s="1599" t="s">
        <v>526</v>
      </c>
      <c r="AU44" s="841"/>
      <c r="AV44" s="841" t="str">
        <f>IF(T44="","",T44)</f>
        <v>Наименование централизованной системы горячего водоснабжения</v>
      </c>
      <c r="AW44" s="841"/>
      <c r="AX44" s="841"/>
      <c r="AY44" s="1496">
        <v>23</v>
      </c>
    </row>
    <row customHeight="1" ht="24">
      <c r="A45" s="1704" t="s">
        <v>246</v>
      </c>
      <c r="B45" s="1704" t="s">
        <v>247</v>
      </c>
      <c r="C45" s="1704" t="s">
        <v>248</v>
      </c>
      <c r="D45" s="1704" t="s">
        <v>537</v>
      </c>
      <c r="E45" s="2600"/>
      <c r="F45" s="2600"/>
      <c r="G45" s="2600"/>
      <c r="H45" s="2600"/>
      <c r="I45" s="2597" t="str">
        <f>S44&amp;".1"</f>
        <v>...1</v>
      </c>
      <c r="J45" s="1704"/>
      <c r="K45" s="1704"/>
      <c r="L45" s="1705"/>
      <c r="P45" s="2598">
        <v>1</v>
      </c>
      <c r="Q45" s="1822"/>
      <c r="R45" s="697"/>
      <c r="S45" s="1834" t="str">
        <f>$I45</f>
        <v>...1</v>
      </c>
      <c r="T45" s="626" t="s">
        <v>478</v>
      </c>
      <c r="U45" s="641"/>
      <c r="V45" s="2691"/>
      <c r="W45" s="2692"/>
      <c r="X45" s="2692"/>
      <c r="Y45" s="2692"/>
      <c r="Z45" s="2692"/>
      <c r="AA45" s="2692"/>
      <c r="AB45" s="2692"/>
      <c r="AC45" s="2692"/>
      <c r="AD45" s="2692"/>
      <c r="AE45" s="2692"/>
      <c r="AF45" s="2693"/>
      <c r="AG45" s="2694"/>
      <c r="AH45" s="2695"/>
      <c r="AI45" s="2695"/>
      <c r="AJ45" s="2695"/>
      <c r="AK45" s="2695"/>
      <c r="AL45" s="2695"/>
      <c r="AM45" s="2695"/>
      <c r="AN45" s="2695"/>
      <c r="AO45" s="2695"/>
      <c r="AP45" s="2695"/>
      <c r="AQ45" s="2695"/>
      <c r="AR45" s="2696"/>
      <c r="AS45" s="1599" t="s">
        <v>479</v>
      </c>
      <c r="AU45" s="841"/>
      <c r="AV45" s="841" t="str">
        <f>IF(T45="","",T45)</f>
        <v>Наименование признака дифференциации</v>
      </c>
      <c r="AW45" s="841"/>
      <c r="AX45" s="841"/>
      <c r="AY45" s="1496">
        <v>23</v>
      </c>
    </row>
    <row customHeight="1" ht="24">
      <c r="A46" s="1704" t="s">
        <v>246</v>
      </c>
      <c r="B46" s="1704" t="s">
        <v>247</v>
      </c>
      <c r="C46" s="1704" t="s">
        <v>248</v>
      </c>
      <c r="D46" s="1704" t="s">
        <v>537</v>
      </c>
      <c r="E46" s="2600"/>
      <c r="F46" s="2600"/>
      <c r="G46" s="2600"/>
      <c r="H46" s="2600"/>
      <c r="I46" s="2627"/>
      <c r="J46" s="2597" t="str">
        <f>I45&amp;".1"</f>
        <v>...1.1</v>
      </c>
      <c r="K46" s="1704"/>
      <c r="L46" s="1705" t="s">
        <v>401</v>
      </c>
      <c r="P46" s="2598"/>
      <c r="Q46" s="2598">
        <v>1</v>
      </c>
      <c r="R46" s="698"/>
      <c r="S46" s="1834" t="str">
        <f>$J46</f>
        <v>...1.1</v>
      </c>
      <c r="T46" s="627" t="s">
        <v>402</v>
      </c>
      <c r="U46" s="641"/>
      <c r="V46" s="2586"/>
      <c r="W46" s="2587"/>
      <c r="X46" s="2587"/>
      <c r="Y46" s="2587"/>
      <c r="Z46" s="2587"/>
      <c r="AA46" s="2587"/>
      <c r="AB46" s="2587"/>
      <c r="AC46" s="2587"/>
      <c r="AD46" s="2587"/>
      <c r="AE46" s="2587"/>
      <c r="AF46" s="2588"/>
      <c r="AG46" s="2586"/>
      <c r="AH46" s="2587"/>
      <c r="AI46" s="2587"/>
      <c r="AJ46" s="2587"/>
      <c r="AK46" s="2587"/>
      <c r="AL46" s="2587"/>
      <c r="AM46" s="2587"/>
      <c r="AN46" s="2587"/>
      <c r="AO46" s="2587"/>
      <c r="AP46" s="2587"/>
      <c r="AQ46" s="2587"/>
      <c r="AR46" s="2588"/>
      <c r="AS46" s="1648" t="s">
        <v>480</v>
      </c>
      <c r="AU46" s="841"/>
      <c r="AV46" s="841" t="str">
        <f>IF(T46="","",T46)</f>
        <v>Группа потребителей</v>
      </c>
      <c r="AW46" s="841"/>
      <c r="AX46" s="841"/>
      <c r="AY46" s="1496">
        <v>23</v>
      </c>
    </row>
    <row customHeight="1" ht="24">
      <c r="A47" s="1704" t="s">
        <v>246</v>
      </c>
      <c r="B47" s="1704" t="s">
        <v>247</v>
      </c>
      <c r="C47" s="1704" t="s">
        <v>248</v>
      </c>
      <c r="D47" s="1704" t="s">
        <v>537</v>
      </c>
      <c r="E47" s="2600"/>
      <c r="F47" s="2600"/>
      <c r="G47" s="2600"/>
      <c r="H47" s="2600"/>
      <c r="I47" s="2627"/>
      <c r="J47" s="2627"/>
      <c r="K47" s="2597" t="str">
        <f>J46&amp;".1"</f>
        <v>...1.1.1</v>
      </c>
      <c r="L47" s="1705"/>
      <c r="P47" s="2598"/>
      <c r="Q47" s="2598"/>
      <c r="R47" s="698">
        <v>1</v>
      </c>
      <c r="S47" s="1834" t="str">
        <f>$K47</f>
        <v>...1.1.1</v>
      </c>
      <c r="T47" s="1778"/>
      <c r="U47" s="641"/>
      <c r="V47" s="1092"/>
      <c r="W47" s="1092"/>
      <c r="X47" s="1092"/>
      <c r="Y47" s="1092"/>
      <c r="Z47" s="1092"/>
      <c r="AA47" s="1092"/>
      <c r="AB47" s="1092"/>
      <c r="AC47" s="2608"/>
      <c r="AD47" s="2609" t="s">
        <v>65</v>
      </c>
      <c r="AE47" s="2608"/>
      <c r="AF47" s="2609" t="s">
        <v>65</v>
      </c>
      <c r="AG47" s="1092"/>
      <c r="AH47" s="1092"/>
      <c r="AI47" s="1092"/>
      <c r="AJ47" s="1092"/>
      <c r="AK47" s="1092"/>
      <c r="AL47" s="1092"/>
      <c r="AM47" s="1092"/>
      <c r="AN47" s="2606"/>
      <c r="AO47" s="2448" t="s">
        <v>65</v>
      </c>
      <c r="AP47" s="2628"/>
      <c r="AQ47" s="2448" t="s">
        <v>19</v>
      </c>
      <c r="AR47" s="1779"/>
      <c r="AS4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52">
        <f>STRCHECKDATE(V48:AR48)</f>
      </c>
      <c r="AU47" s="841"/>
      <c r="AV47" s="841" t="str">
        <f>IF(T47="","",T47)</f>
        <v/>
      </c>
      <c r="AW47" s="841"/>
      <c r="AX47" s="841"/>
      <c r="AY47" s="1496">
        <v>23</v>
      </c>
    </row>
    <row customHeight="1" ht="0">
      <c r="A48" s="1704" t="s">
        <v>246</v>
      </c>
      <c r="B48" s="1704" t="s">
        <v>247</v>
      </c>
      <c r="C48" s="1704" t="s">
        <v>248</v>
      </c>
      <c r="D48" s="1704" t="s">
        <v>537</v>
      </c>
      <c r="E48" s="2600"/>
      <c r="F48" s="2600"/>
      <c r="G48" s="2600"/>
      <c r="H48" s="2600"/>
      <c r="I48" s="2627"/>
      <c r="J48" s="2627"/>
      <c r="K48" s="2597"/>
      <c r="L48" s="1705"/>
      <c r="P48" s="2598"/>
      <c r="Q48" s="2598"/>
      <c r="R48" s="698"/>
      <c r="S48" s="1831"/>
      <c r="T48" s="641"/>
      <c r="U48" s="641"/>
      <c r="V48" s="1701"/>
      <c r="W48" s="1701"/>
      <c r="X48" s="1701"/>
      <c r="Y48" s="1701"/>
      <c r="Z48" s="1701"/>
      <c r="AA48" s="1701"/>
      <c r="AB48" s="1701"/>
      <c r="AC48" s="2609"/>
      <c r="AD48" s="2609"/>
      <c r="AE48" s="2609"/>
      <c r="AF48" s="2609"/>
      <c r="AG48" s="666"/>
      <c r="AH48" s="666"/>
      <c r="AI48" s="666"/>
      <c r="AJ48" s="666"/>
      <c r="AK48" s="666"/>
      <c r="AL48" s="666"/>
      <c r="AM48" s="666"/>
      <c r="AN48" s="2607"/>
      <c r="AO48" s="2448"/>
      <c r="AP48" s="2629"/>
      <c r="AQ48" s="2448"/>
      <c r="AR48" s="1780"/>
      <c r="AS48" s="2690"/>
      <c r="AU48" s="841"/>
      <c r="AV48" s="841" t="str">
        <f>IF(T48="","",T48)</f>
        <v/>
      </c>
      <c r="AW48" s="841"/>
      <c r="AX48" s="841"/>
      <c r="AY48" s="1496">
        <v>0</v>
      </c>
    </row>
    <row customHeight="1" ht="21">
      <c r="A49" s="1704" t="s">
        <v>246</v>
      </c>
      <c r="B49" s="1704" t="s">
        <v>247</v>
      </c>
      <c r="C49" s="1704" t="s">
        <v>248</v>
      </c>
      <c r="D49" s="1704" t="s">
        <v>537</v>
      </c>
      <c r="E49" s="2600"/>
      <c r="F49" s="2600"/>
      <c r="G49" s="2600"/>
      <c r="H49" s="2600"/>
      <c r="I49" s="2627"/>
      <c r="J49" s="2597"/>
      <c r="K49" s="1704"/>
      <c r="L49" s="1705"/>
      <c r="P49" s="2598"/>
      <c r="Q49" s="2598"/>
      <c r="R49" s="697"/>
      <c r="S49" s="1619"/>
      <c r="T49" s="628" t="s">
        <v>481</v>
      </c>
      <c r="U49" s="708"/>
      <c r="V49" s="708"/>
      <c r="W49" s="941"/>
      <c r="X49" s="941"/>
      <c r="Y49" s="941"/>
      <c r="Z49" s="941"/>
      <c r="AA49" s="941"/>
      <c r="AB49" s="941"/>
      <c r="AC49" s="708"/>
      <c r="AD49" s="708"/>
      <c r="AE49" s="708"/>
      <c r="AF49" s="708"/>
      <c r="AG49" s="708"/>
      <c r="AH49" s="941"/>
      <c r="AI49" s="941"/>
      <c r="AJ49" s="941"/>
      <c r="AK49" s="941"/>
      <c r="AL49" s="941"/>
      <c r="AM49" s="708"/>
      <c r="AN49" s="708"/>
      <c r="AO49" s="708"/>
      <c r="AP49" s="708"/>
      <c r="AQ49" s="708"/>
      <c r="AR49" s="708"/>
      <c r="AS49" s="1599" t="s">
        <v>482</v>
      </c>
      <c r="AU49" s="841"/>
      <c r="AV49" s="841" t="str">
        <f>IF(T49="","",T49)</f>
        <v>Добавить значение признака дифференциации</v>
      </c>
      <c r="AW49" s="841"/>
      <c r="AX49" s="841"/>
      <c r="AY49" s="1496">
        <v>20</v>
      </c>
    </row>
    <row customHeight="1" ht="22.049999999999997">
      <c r="A50" s="1704" t="s">
        <v>246</v>
      </c>
      <c r="B50" s="1704" t="s">
        <v>247</v>
      </c>
      <c r="C50" s="1704" t="s">
        <v>248</v>
      </c>
      <c r="D50" s="1704" t="s">
        <v>537</v>
      </c>
      <c r="E50" s="2600"/>
      <c r="F50" s="2600"/>
      <c r="G50" s="2600"/>
      <c r="H50" s="2600"/>
      <c r="I50" s="2597"/>
      <c r="J50" s="1704"/>
      <c r="K50" s="1704"/>
      <c r="L50" s="1705"/>
      <c r="P50" s="2598"/>
      <c r="Q50" s="1822"/>
      <c r="R50" s="697"/>
      <c r="S50" s="1619"/>
      <c r="T50" s="706" t="s">
        <v>407</v>
      </c>
      <c r="U50" s="708"/>
      <c r="V50" s="708"/>
      <c r="W50" s="941"/>
      <c r="X50" s="941"/>
      <c r="Y50" s="941"/>
      <c r="Z50" s="941"/>
      <c r="AA50" s="941"/>
      <c r="AB50" s="941"/>
      <c r="AC50" s="708"/>
      <c r="AD50" s="708"/>
      <c r="AE50" s="708"/>
      <c r="AF50" s="707"/>
      <c r="AG50" s="708"/>
      <c r="AH50" s="941"/>
      <c r="AI50" s="941"/>
      <c r="AJ50" s="941"/>
      <c r="AK50" s="941"/>
      <c r="AL50" s="941"/>
      <c r="AM50" s="708"/>
      <c r="AN50" s="708"/>
      <c r="AO50" s="708"/>
      <c r="AP50" s="708"/>
      <c r="AQ50" s="707"/>
      <c r="AR50" s="708"/>
      <c r="AS50" s="1781"/>
      <c r="AU50" s="841"/>
      <c r="AV50" s="841" t="str">
        <f>IF(T50="","",T50)</f>
        <v>Добавить группу потребителей</v>
      </c>
      <c r="AW50" s="841"/>
      <c r="AX50" s="841"/>
      <c r="AY50" s="1496">
        <v>21</v>
      </c>
    </row>
    <row customHeight="1" ht="22.049999999999997">
      <c r="A51" s="1704" t="s">
        <v>246</v>
      </c>
      <c r="B51" s="1704" t="s">
        <v>247</v>
      </c>
      <c r="C51" s="1704" t="s">
        <v>248</v>
      </c>
      <c r="D51" s="1704" t="s">
        <v>537</v>
      </c>
      <c r="E51" s="2600"/>
      <c r="F51" s="2600"/>
      <c r="G51" s="2600"/>
      <c r="H51" s="2599"/>
      <c r="I51" s="1704"/>
      <c r="J51" s="1704"/>
      <c r="K51" s="1704"/>
      <c r="L51" s="1705"/>
      <c r="M51" s="1706"/>
      <c r="N51" s="1706"/>
      <c r="O51" s="878"/>
      <c r="P51" s="701"/>
      <c r="Q51" s="716"/>
      <c r="R51" s="696"/>
      <c r="S51" s="1619"/>
      <c r="T51" s="713" t="s">
        <v>483</v>
      </c>
      <c r="U51" s="708"/>
      <c r="V51" s="708"/>
      <c r="W51" s="941"/>
      <c r="X51" s="941"/>
      <c r="Y51" s="941"/>
      <c r="Z51" s="941"/>
      <c r="AA51" s="941"/>
      <c r="AB51" s="941"/>
      <c r="AC51" s="708"/>
      <c r="AD51" s="708"/>
      <c r="AE51" s="708"/>
      <c r="AF51" s="707"/>
      <c r="AG51" s="708"/>
      <c r="AH51" s="941"/>
      <c r="AI51" s="941"/>
      <c r="AJ51" s="941"/>
      <c r="AK51" s="941"/>
      <c r="AL51" s="941"/>
      <c r="AM51" s="708"/>
      <c r="AN51" s="708"/>
      <c r="AO51" s="708"/>
      <c r="AP51" s="708"/>
      <c r="AQ51" s="707"/>
      <c r="AR51" s="708"/>
      <c r="AS51" s="644"/>
      <c r="AU51" s="841"/>
      <c r="AV51" s="841" t="str">
        <f>IF(T51="","",T51)</f>
        <v>Добавить наименование признака дифференциации</v>
      </c>
      <c r="AW51" s="841"/>
      <c r="AX51" s="841"/>
      <c r="AY51" s="1496">
        <v>21</v>
      </c>
    </row>
    <row s="17316" customFormat="1" customHeight="1" ht="0">
      <c r="A52" s="1684" t="s">
        <v>246</v>
      </c>
      <c r="B52" s="1684" t="s">
        <v>247</v>
      </c>
      <c r="C52" s="1655"/>
      <c r="D52" s="1655"/>
      <c r="E52" s="2600"/>
      <c r="F52" s="2599"/>
      <c r="G52" s="1655"/>
      <c r="H52" s="1655"/>
      <c r="I52" s="1655"/>
      <c r="J52" s="1655"/>
      <c r="K52" s="1655"/>
      <c r="L52" s="1835"/>
      <c r="M52" s="1662"/>
      <c r="N52" s="1662"/>
      <c r="P52" s="1657"/>
      <c r="Q52" s="1658"/>
      <c r="R52" s="1657"/>
      <c r="S52" s="1663"/>
      <c r="T52" s="1666" t="s">
        <v>410</v>
      </c>
      <c r="U52" s="1665"/>
      <c r="V52" s="1665"/>
      <c r="W52" s="1665"/>
      <c r="X52" s="1665"/>
      <c r="Y52" s="1665"/>
      <c r="Z52" s="1665"/>
      <c r="AA52" s="1665"/>
      <c r="AB52" s="1665"/>
      <c r="AC52" s="1665"/>
      <c r="AD52" s="1665"/>
      <c r="AE52" s="1665"/>
      <c r="AF52" s="1665"/>
      <c r="AG52" s="1665"/>
      <c r="AH52" s="1665"/>
      <c r="AI52" s="1665"/>
      <c r="AJ52" s="1665"/>
      <c r="AK52" s="1665"/>
      <c r="AL52" s="1665"/>
      <c r="AM52" s="1665"/>
      <c r="AN52" s="1665"/>
      <c r="AO52" s="1665"/>
      <c r="AP52" s="1665"/>
      <c r="AQ52" s="1665"/>
      <c r="AR52" s="1665"/>
      <c r="AS52" s="1665"/>
      <c r="AU52" s="1130"/>
      <c r="AV52" s="1130" t="str">
        <f>IF(T52="","",T52)</f>
        <v>Добавить централизованную систему для дифференциации</v>
      </c>
      <c r="AW52" s="1130"/>
      <c r="AX52" s="1130"/>
      <c r="AY52" s="859">
        <v>0</v>
      </c>
    </row>
    <row s="17316" customFormat="1" customHeight="1" ht="0">
      <c r="A53" s="1684" t="s">
        <v>246</v>
      </c>
      <c r="B53" s="1684"/>
      <c r="C53" s="1684"/>
      <c r="D53" s="1684"/>
      <c r="E53" s="2599"/>
      <c r="F53" s="1684"/>
      <c r="G53" s="1684"/>
      <c r="H53" s="1684"/>
      <c r="I53" s="1684"/>
      <c r="J53" s="1684"/>
      <c r="K53" s="1684"/>
      <c r="L53" s="1687"/>
      <c r="M53" s="1662"/>
      <c r="N53" s="1662"/>
      <c r="O53" s="859"/>
      <c r="P53" s="721"/>
      <c r="Q53" s="1685"/>
      <c r="R53" s="721"/>
      <c r="S53" s="1663"/>
      <c r="T53" s="1666" t="s">
        <v>411</v>
      </c>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U53" s="841"/>
      <c r="AV53" s="841" t="str">
        <f>IF(T53="","",T53)</f>
        <v>Добавить территорию для дифференциации</v>
      </c>
      <c r="AW53" s="841"/>
      <c r="AX53" s="841"/>
      <c r="AY53" s="852">
        <v>0</v>
      </c>
    </row>
    <row s="17316" customFormat="1" customHeight="1" ht="0">
      <c r="A54" s="1655"/>
      <c r="B54" s="1655"/>
      <c r="C54" s="1655"/>
      <c r="D54" s="1655"/>
      <c r="E54" s="1684"/>
      <c r="F54" s="1655"/>
      <c r="G54" s="1655"/>
      <c r="H54" s="1655"/>
      <c r="I54" s="1655"/>
      <c r="J54" s="1655"/>
      <c r="K54" s="1655"/>
      <c r="L54" s="1835"/>
      <c r="M54" s="1662"/>
      <c r="N54" s="1662"/>
      <c r="P54" s="1657"/>
      <c r="Q54" s="1658"/>
      <c r="R54" s="1657"/>
      <c r="S54" s="1663"/>
      <c r="T54" s="1666" t="s">
        <v>443</v>
      </c>
      <c r="U54" s="1665"/>
      <c r="V54" s="1665"/>
      <c r="W54" s="1665"/>
      <c r="X54" s="1665"/>
      <c r="Y54" s="1665"/>
      <c r="Z54" s="1665"/>
      <c r="AA54" s="1665"/>
      <c r="AB54" s="1665"/>
      <c r="AC54" s="1665"/>
      <c r="AD54" s="1665"/>
      <c r="AE54" s="1665"/>
      <c r="AF54" s="1665"/>
      <c r="AG54" s="1665"/>
      <c r="AH54" s="1665"/>
      <c r="AI54" s="1665"/>
      <c r="AJ54" s="1665"/>
      <c r="AK54" s="1665"/>
      <c r="AL54" s="1665"/>
      <c r="AM54" s="1665"/>
      <c r="AN54" s="1665"/>
      <c r="AO54" s="1665"/>
      <c r="AP54" s="1665"/>
      <c r="AQ54" s="1665"/>
      <c r="AR54" s="1665"/>
      <c r="AS54" s="1665"/>
      <c r="AU54" s="1130"/>
      <c r="AV54" s="1130" t="str">
        <f>IF(T54="","",T54)</f>
        <v>Добавить наименование тарифа</v>
      </c>
      <c r="AW54" s="1130"/>
      <c r="AX54" s="1130"/>
      <c r="AY54" s="859">
        <v>0</v>
      </c>
    </row>
    <row customHeight="1" ht="11.549999999999999">
      <c r="M55" s="1501"/>
      <c r="N55" s="1501"/>
      <c r="O55" s="878"/>
      <c r="P55" s="1496"/>
      <c r="Q55" s="1496"/>
      <c r="R55" s="1496"/>
      <c r="S55" s="1496"/>
      <c r="AT55" s="1496"/>
      <c r="AU55" s="1496"/>
      <c r="AV55" s="1496"/>
      <c r="AW55" s="1496"/>
      <c r="AX55" s="1496"/>
      <c r="AY55" s="1496">
        <v>11</v>
      </c>
    </row>
    <row customHeight="1" ht="14.699999999999998">
      <c r="O56" s="878"/>
      <c r="S56" s="1594"/>
      <c r="T56" s="2626"/>
      <c r="U56" s="2626"/>
      <c r="V56" s="2626"/>
      <c r="W56" s="2626"/>
      <c r="X56" s="2626"/>
      <c r="Y56" s="2626"/>
      <c r="Z56" s="2626"/>
      <c r="AA56" s="2626"/>
      <c r="AB56" s="2626"/>
      <c r="AC56" s="2626"/>
      <c r="AD56" s="2626"/>
      <c r="AE56" s="2626"/>
      <c r="AF56" s="2626"/>
      <c r="AG56" s="2626"/>
      <c r="AH56" s="2626"/>
      <c r="AI56" s="2626"/>
      <c r="AJ56" s="2626"/>
      <c r="AK56" s="2626"/>
      <c r="AL56" s="2626"/>
      <c r="AM56" s="2626"/>
      <c r="AN56" s="2626"/>
      <c r="AO56" s="2626"/>
      <c r="AP56" s="2626"/>
      <c r="AQ56" s="2626"/>
      <c r="AR56" s="2626"/>
      <c r="AS56" s="2626"/>
      <c r="AY56" s="1496">
        <v>14</v>
      </c>
    </row>
    <row customHeight="1" ht="14.699999999999998">
      <c r="O57" s="878"/>
      <c r="AY57" s="1496">
        <v>14</v>
      </c>
    </row>
    <row customHeight="1" ht="14.699999999999998">
      <c r="O58" s="878"/>
      <c r="S58" s="1594"/>
      <c r="T58" s="2626"/>
      <c r="U58" s="2626"/>
      <c r="V58" s="2626"/>
      <c r="W58" s="2626"/>
      <c r="X58" s="2626"/>
      <c r="Y58" s="2626"/>
      <c r="Z58" s="2626"/>
      <c r="AA58" s="2626"/>
      <c r="AB58" s="2626"/>
      <c r="AC58" s="2626"/>
      <c r="AD58" s="2626"/>
      <c r="AE58" s="2626"/>
      <c r="AF58" s="2626"/>
      <c r="AG58" s="2626"/>
      <c r="AH58" s="2626"/>
      <c r="AI58" s="2626"/>
      <c r="AJ58" s="2626"/>
      <c r="AK58" s="2626"/>
      <c r="AL58" s="2626"/>
      <c r="AM58" s="2626"/>
      <c r="AN58" s="2626"/>
      <c r="AO58" s="2626"/>
      <c r="AP58" s="2626"/>
      <c r="AQ58" s="2626"/>
      <c r="AR58" s="2626"/>
      <c r="AS58" s="2626"/>
      <c r="AY58" s="1496">
        <v>14</v>
      </c>
    </row>
    <row customHeight="1" ht="22.5" hidden="1">
      <c r="A59" s="1501" t="s">
        <v>82</v>
      </c>
      <c r="B59" s="1501">
        <v>0</v>
      </c>
      <c r="C59" s="1501">
        <v>0</v>
      </c>
      <c r="D59" s="1501">
        <v>0</v>
      </c>
      <c r="E59" s="1501">
        <v>0</v>
      </c>
      <c r="F59" s="1501">
        <v>0</v>
      </c>
      <c r="G59" s="1501">
        <v>0</v>
      </c>
      <c r="H59" s="1501">
        <v>0</v>
      </c>
      <c r="I59" s="1501">
        <v>0</v>
      </c>
      <c r="J59" s="1501">
        <v>0</v>
      </c>
      <c r="K59" s="1501">
        <v>0</v>
      </c>
      <c r="L59" s="1819">
        <v>0</v>
      </c>
      <c r="M59" s="1703">
        <v>0</v>
      </c>
      <c r="N59" s="1703">
        <v>0</v>
      </c>
      <c r="O59" s="1703">
        <v>0</v>
      </c>
      <c r="P59" s="1814">
        <v>3</v>
      </c>
      <c r="Q59" s="685">
        <v>3</v>
      </c>
      <c r="R59" s="685">
        <v>3</v>
      </c>
      <c r="S59" s="922">
        <v>12</v>
      </c>
      <c r="T59" s="1496">
        <v>35</v>
      </c>
      <c r="U59" s="1496">
        <v>0</v>
      </c>
      <c r="V59" s="1496">
        <v>0</v>
      </c>
      <c r="W59" s="1972">
        <v>0</v>
      </c>
      <c r="X59" s="1972">
        <v>0</v>
      </c>
      <c r="Y59" s="1972">
        <v>0</v>
      </c>
      <c r="Z59" s="1972">
        <v>0</v>
      </c>
      <c r="AA59" s="1972">
        <v>0</v>
      </c>
      <c r="AB59" s="1972">
        <v>0</v>
      </c>
      <c r="AC59" s="1496">
        <v>0</v>
      </c>
      <c r="AD59" s="1496">
        <v>0</v>
      </c>
      <c r="AE59" s="1496">
        <v>0</v>
      </c>
      <c r="AF59" s="1496">
        <v>0</v>
      </c>
      <c r="AG59" s="1496">
        <v>19</v>
      </c>
      <c r="AH59" s="1972">
        <v>19</v>
      </c>
      <c r="AI59" s="1972">
        <v>19</v>
      </c>
      <c r="AJ59" s="1972">
        <v>19</v>
      </c>
      <c r="AK59" s="1972">
        <v>19</v>
      </c>
      <c r="AL59" s="1972">
        <v>19</v>
      </c>
      <c r="AM59" s="1496">
        <v>19</v>
      </c>
      <c r="AN59" s="1496">
        <v>11</v>
      </c>
      <c r="AO59" s="1496">
        <v>3</v>
      </c>
      <c r="AP59" s="1496">
        <v>11</v>
      </c>
      <c r="AQ59" s="1496">
        <v>0</v>
      </c>
      <c r="AR59" s="1496">
        <v>4</v>
      </c>
      <c r="AS59" s="1496">
        <v>115</v>
      </c>
      <c r="AT59" s="852">
        <v>10</v>
      </c>
      <c r="AU59" s="852">
        <v>10</v>
      </c>
      <c r="AV59" s="852">
        <v>10</v>
      </c>
      <c r="AW59" s="852">
        <v>10</v>
      </c>
      <c r="AX59" s="852">
        <v>10</v>
      </c>
      <c r="AY59" s="1496">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F7FF57-550D-5559-6D9B-8464982A53A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4.140625" hidden="1" customWidth="1"/>
    <col min="10" max="10" style="17315" width="9.8515625" hidden="1" customWidth="1"/>
    <col min="11" max="11" style="17315" width="14.7109375" hidden="1" customWidth="1"/>
    <col min="12" max="12" style="18076" width="19.140625" hidden="1" customWidth="1"/>
    <col min="13" max="14" style="18077" width="12.28125" hidden="1" customWidth="1"/>
    <col min="15" max="15" style="18077" width="23.421875" hidden="1" customWidth="1"/>
    <col min="16" max="16" style="18078" width="3.00390625" customWidth="1"/>
    <col min="17" max="18" style="18079" width="3.00390625" customWidth="1"/>
    <col min="19" max="19" style="18080" width="12.00390625" customWidth="1"/>
    <col min="20" max="20" style="17239" width="35.00390625" customWidth="1"/>
    <col min="21" max="21" style="17239" width="0.140625" customWidth="1"/>
    <col min="22" max="28" style="17239" width="19.7109375" hidden="1" customWidth="1"/>
    <col min="29" max="29" style="17239" width="11.7109375" hidden="1" customWidth="1"/>
    <col min="30" max="30" style="17239" width="3.7109375" hidden="1" customWidth="1"/>
    <col min="31" max="31" style="17239" width="11.7109375" hidden="1" customWidth="1"/>
    <col min="32" max="32" style="17239" width="8.57421875" hidden="1" customWidth="1"/>
    <col min="33" max="33" style="17239" width="19.7109375" customWidth="1"/>
    <col min="34" max="39" style="17239" width="19.00390625" customWidth="1"/>
    <col min="40" max="40" style="17239" width="11.00390625" customWidth="1"/>
    <col min="41" max="41" style="17239" width="3.7109375" customWidth="1"/>
    <col min="42" max="42" style="17239" width="11.00390625" customWidth="1"/>
    <col min="43" max="43" style="17239" width="8.57421875" hidden="1" customWidth="1"/>
    <col min="44" max="44" style="17239" width="4.00390625" customWidth="1"/>
    <col min="45" max="45" style="17239" width="115.00390625" customWidth="1"/>
    <col min="46" max="50" style="17316" width="10.00390625" customWidth="1"/>
    <col min="51" max="51" style="17239" width="10.57421875" hidden="1"/>
  </cols>
  <sheetData>
    <row customHeight="1" ht="22.5" hidden="1">
      <c r="AB1" s="668"/>
      <c r="AC1" s="668"/>
      <c r="AM1" s="668"/>
      <c r="AN1" s="668"/>
      <c r="AY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834">
        <f>INDEX(PT_DIFFERENTIATION_NUM_NTAR,MATCH(A2,PT_DIFFERENTIATION_NTAR_ID,0))</f>
      </c>
      <c r="T2" s="639" t="s">
        <v>120</v>
      </c>
      <c r="U2" s="641"/>
      <c r="V2" s="2583"/>
      <c r="W2" s="2584"/>
      <c r="X2" s="2584"/>
      <c r="Y2" s="2584"/>
      <c r="Z2" s="2584"/>
      <c r="AA2" s="2584"/>
      <c r="AB2" s="2584"/>
      <c r="AC2" s="2584"/>
      <c r="AD2" s="2584"/>
      <c r="AE2" s="2584"/>
      <c r="AF2" s="2585"/>
      <c r="AG2" s="2583">
        <f>INDEX(PT_DIFFERENTIATION_NTAR,MATCH(A2,PT_DIFFERENTIATION_NTAR_ID,0))</f>
      </c>
      <c r="AH2" s="2584"/>
      <c r="AI2" s="2584"/>
      <c r="AJ2" s="2584"/>
      <c r="AK2" s="2584"/>
      <c r="AL2" s="2584"/>
      <c r="AM2" s="2584"/>
      <c r="AN2" s="2584"/>
      <c r="AO2" s="2584"/>
      <c r="AP2" s="2584"/>
      <c r="AQ2" s="2584"/>
      <c r="AR2" s="2585"/>
      <c r="AS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41"/>
      <c r="AV2" s="841" t="str">
        <f>IF(T2="","",T2)</f>
        <v>Наименование тарифа</v>
      </c>
      <c r="AW2" s="841"/>
      <c r="AX2" s="841"/>
      <c r="AY2" s="1496">
        <v>0</v>
      </c>
    </row>
    <row customHeight="1" ht="23.25" hidden="1">
      <c r="A3" s="1704"/>
      <c r="B3" s="1704"/>
      <c r="C3" s="1704"/>
      <c r="D3" s="1704"/>
      <c r="E3" s="2600"/>
      <c r="F3" s="2599">
        <v>1</v>
      </c>
      <c r="G3" s="1704"/>
      <c r="H3" s="1704"/>
      <c r="I3" s="1704"/>
      <c r="J3" s="1704"/>
      <c r="K3" s="1704"/>
      <c r="L3" s="1705"/>
      <c r="M3" s="1706"/>
      <c r="N3" s="1706"/>
      <c r="O3" s="1706"/>
      <c r="P3" s="1828"/>
      <c r="Q3" s="693"/>
      <c r="R3" s="694"/>
      <c r="S3" s="1834">
        <f>INDEX(PT_DIFFERENTIATION_NUM_TER,MATCH(B3,PT_DIFFERENTIATION_TER_ID,0))</f>
      </c>
      <c r="T3" s="649" t="s">
        <v>392</v>
      </c>
      <c r="U3" s="641"/>
      <c r="V3" s="2583"/>
      <c r="W3" s="2584"/>
      <c r="X3" s="2584"/>
      <c r="Y3" s="2584"/>
      <c r="Z3" s="2584"/>
      <c r="AA3" s="2584"/>
      <c r="AB3" s="2584"/>
      <c r="AC3" s="2584"/>
      <c r="AD3" s="2584"/>
      <c r="AE3" s="2584"/>
      <c r="AF3" s="2585"/>
      <c r="AG3" s="2583">
        <f>INDEX(PT_DIFFERENTIATION_TER,MATCH(B3,PT_DIFFERENTIATION_TER_ID,0))</f>
      </c>
      <c r="AH3" s="2584"/>
      <c r="AI3" s="2584"/>
      <c r="AJ3" s="2584"/>
      <c r="AK3" s="2584"/>
      <c r="AL3" s="2584"/>
      <c r="AM3" s="2584"/>
      <c r="AN3" s="2584"/>
      <c r="AO3" s="2584"/>
      <c r="AP3" s="2584"/>
      <c r="AQ3" s="2584"/>
      <c r="AR3" s="2585"/>
      <c r="AS3" s="1599" t="s">
        <v>393</v>
      </c>
      <c r="AU3" s="841"/>
      <c r="AV3" s="841" t="str">
        <f>IF(T3="","",T3)</f>
        <v>Территория действия тарифа</v>
      </c>
      <c r="AW3" s="841"/>
      <c r="AX3" s="841"/>
      <c r="AY3" s="1496">
        <v>0</v>
      </c>
    </row>
    <row customHeight="1" ht="23.25" hidden="1">
      <c r="A4" s="1704"/>
      <c r="B4" s="1704"/>
      <c r="C4" s="1704"/>
      <c r="D4" s="1704"/>
      <c r="E4" s="2600"/>
      <c r="F4" s="2600"/>
      <c r="G4" s="2599">
        <v>1</v>
      </c>
      <c r="H4" s="1704"/>
      <c r="I4" s="1704"/>
      <c r="J4" s="1704"/>
      <c r="K4" s="1704"/>
      <c r="L4" s="1705"/>
      <c r="M4" s="1706"/>
      <c r="N4" s="1706"/>
      <c r="O4" s="1706"/>
      <c r="P4" s="695"/>
      <c r="Q4" s="693"/>
      <c r="R4" s="694"/>
      <c r="S4" s="1834">
        <f>INDEX(PT_DIFFERENTIATION_NUM_CS,MATCH(C4,PT_DIFFERENTIATION_CS_ID,0))</f>
      </c>
      <c r="T4" s="650" t="s">
        <v>525</v>
      </c>
      <c r="U4" s="641"/>
      <c r="V4" s="2583"/>
      <c r="W4" s="2584"/>
      <c r="X4" s="2584"/>
      <c r="Y4" s="2584"/>
      <c r="Z4" s="2584"/>
      <c r="AA4" s="2584"/>
      <c r="AB4" s="2584"/>
      <c r="AC4" s="2584"/>
      <c r="AD4" s="2584"/>
      <c r="AE4" s="2584"/>
      <c r="AF4" s="2585"/>
      <c r="AG4" s="2583">
        <f>INDEX(PT_DIFFERENTIATION_CS,MATCH(C4,PT_DIFFERENTIATION_CS_ID,0))</f>
      </c>
      <c r="AH4" s="2584"/>
      <c r="AI4" s="2584"/>
      <c r="AJ4" s="2584"/>
      <c r="AK4" s="2584"/>
      <c r="AL4" s="2584"/>
      <c r="AM4" s="2584"/>
      <c r="AN4" s="2584"/>
      <c r="AO4" s="2584"/>
      <c r="AP4" s="2584"/>
      <c r="AQ4" s="2584"/>
      <c r="AR4" s="2585"/>
      <c r="AS4" s="1599" t="s">
        <v>526</v>
      </c>
      <c r="AU4" s="841"/>
      <c r="AV4" s="841" t="str">
        <f>IF(T4="","",T4)</f>
        <v>Наименование централизованной системы горячего водоснабжения</v>
      </c>
      <c r="AW4" s="841"/>
      <c r="AX4" s="841"/>
      <c r="AY4" s="1496">
        <v>0</v>
      </c>
    </row>
    <row customHeight="1" ht="23.25" hidden="1">
      <c r="A5" s="1704"/>
      <c r="B5" s="1704"/>
      <c r="C5" s="1704"/>
      <c r="D5" s="1704"/>
      <c r="E5" s="2600"/>
      <c r="F5" s="2600"/>
      <c r="G5" s="2600"/>
      <c r="H5" s="2600"/>
      <c r="I5" s="2597">
        <f>S4&amp;".1"</f>
      </c>
      <c r="J5" s="1704"/>
      <c r="K5" s="1704"/>
      <c r="L5" s="1705"/>
      <c r="P5" s="2598">
        <v>1</v>
      </c>
      <c r="Q5" s="1822"/>
      <c r="R5" s="697"/>
      <c r="S5" s="1834">
        <f>$I5</f>
      </c>
      <c r="T5" s="626" t="s">
        <v>478</v>
      </c>
      <c r="U5" s="641"/>
      <c r="V5" s="2691"/>
      <c r="W5" s="2692"/>
      <c r="X5" s="2692"/>
      <c r="Y5" s="2692"/>
      <c r="Z5" s="2692"/>
      <c r="AA5" s="2692"/>
      <c r="AB5" s="2692"/>
      <c r="AC5" s="2692"/>
      <c r="AD5" s="2692"/>
      <c r="AE5" s="2692"/>
      <c r="AF5" s="2693"/>
      <c r="AG5" s="2694"/>
      <c r="AH5" s="2695"/>
      <c r="AI5" s="2695"/>
      <c r="AJ5" s="2695"/>
      <c r="AK5" s="2695"/>
      <c r="AL5" s="2695"/>
      <c r="AM5" s="2695"/>
      <c r="AN5" s="2695"/>
      <c r="AO5" s="2695"/>
      <c r="AP5" s="2695"/>
      <c r="AQ5" s="2695"/>
      <c r="AR5" s="2696"/>
      <c r="AS5" s="1599" t="s">
        <v>479</v>
      </c>
      <c r="AU5" s="841"/>
      <c r="AV5" s="841" t="str">
        <f>IF(T5="","",T5)</f>
        <v>Наименование признака дифференциации</v>
      </c>
      <c r="AW5" s="841"/>
      <c r="AX5" s="841"/>
      <c r="AY5" s="1496">
        <v>0</v>
      </c>
    </row>
    <row customHeight="1" ht="23.25" hidden="1">
      <c r="A6" s="1704"/>
      <c r="B6" s="1704"/>
      <c r="C6" s="1704"/>
      <c r="D6" s="1704"/>
      <c r="E6" s="2600"/>
      <c r="F6" s="2600"/>
      <c r="G6" s="2600"/>
      <c r="H6" s="2600"/>
      <c r="I6" s="2627"/>
      <c r="J6" s="2597">
        <f>I5&amp;".1"</f>
      </c>
      <c r="K6" s="1704"/>
      <c r="L6" s="1705" t="s">
        <v>401</v>
      </c>
      <c r="P6" s="2598"/>
      <c r="Q6" s="2598">
        <v>1</v>
      </c>
      <c r="R6" s="698"/>
      <c r="S6" s="1834">
        <f>$J6</f>
      </c>
      <c r="T6" s="627" t="s">
        <v>402</v>
      </c>
      <c r="U6" s="641"/>
      <c r="V6" s="2586"/>
      <c r="W6" s="2587"/>
      <c r="X6" s="2587"/>
      <c r="Y6" s="2587"/>
      <c r="Z6" s="2587"/>
      <c r="AA6" s="2587"/>
      <c r="AB6" s="2587"/>
      <c r="AC6" s="2587"/>
      <c r="AD6" s="2587"/>
      <c r="AE6" s="2587"/>
      <c r="AF6" s="2588"/>
      <c r="AG6" s="2586"/>
      <c r="AH6" s="2587"/>
      <c r="AI6" s="2587"/>
      <c r="AJ6" s="2587"/>
      <c r="AK6" s="2587"/>
      <c r="AL6" s="2587"/>
      <c r="AM6" s="2587"/>
      <c r="AN6" s="2587"/>
      <c r="AO6" s="2587"/>
      <c r="AP6" s="2587"/>
      <c r="AQ6" s="2587"/>
      <c r="AR6" s="2588"/>
      <c r="AS6" s="1648" t="s">
        <v>480</v>
      </c>
      <c r="AU6" s="841"/>
      <c r="AV6" s="841" t="str">
        <f>IF(T6="","",T6)</f>
        <v>Группа потребителей</v>
      </c>
      <c r="AW6" s="841"/>
      <c r="AX6" s="841"/>
      <c r="AY6" s="1496">
        <v>0</v>
      </c>
    </row>
    <row customHeight="1" ht="23.25" hidden="1">
      <c r="A7" s="1704"/>
      <c r="B7" s="1704"/>
      <c r="C7" s="1704"/>
      <c r="D7" s="1704"/>
      <c r="E7" s="2600"/>
      <c r="F7" s="2600"/>
      <c r="G7" s="2600"/>
      <c r="H7" s="2600"/>
      <c r="I7" s="2627"/>
      <c r="J7" s="2627"/>
      <c r="K7" s="2597">
        <f>J6&amp;".1"</f>
      </c>
      <c r="L7" s="1705"/>
      <c r="P7" s="2598"/>
      <c r="Q7" s="2598"/>
      <c r="R7" s="698">
        <v>1</v>
      </c>
      <c r="S7" s="1834">
        <f>$K7</f>
      </c>
      <c r="T7" s="1778"/>
      <c r="U7" s="641"/>
      <c r="V7" s="1092"/>
      <c r="W7" s="1092"/>
      <c r="X7" s="1092"/>
      <c r="Y7" s="1092"/>
      <c r="Z7" s="1092"/>
      <c r="AA7" s="1092"/>
      <c r="AB7" s="1598"/>
      <c r="AC7" s="2606"/>
      <c r="AD7" s="2448" t="s">
        <v>65</v>
      </c>
      <c r="AE7" s="2606"/>
      <c r="AF7" s="2448" t="s">
        <v>65</v>
      </c>
      <c r="AG7" s="1092"/>
      <c r="AH7" s="1092"/>
      <c r="AI7" s="1092"/>
      <c r="AJ7" s="1092"/>
      <c r="AK7" s="1092"/>
      <c r="AL7" s="1092"/>
      <c r="AM7" s="1598"/>
      <c r="AN7" s="2606"/>
      <c r="AO7" s="2448" t="s">
        <v>65</v>
      </c>
      <c r="AP7" s="2628"/>
      <c r="AQ7" s="2448" t="s">
        <v>65</v>
      </c>
      <c r="AR7" s="1779"/>
      <c r="AS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52">
        <f>STRCHECKDATE(V8:AR8)</f>
      </c>
      <c r="AU7" s="841"/>
      <c r="AV7" s="841" t="str">
        <f>IF(T7="","",T7)</f>
        <v/>
      </c>
      <c r="AW7" s="841"/>
      <c r="AX7" s="841"/>
      <c r="AY7" s="1496">
        <v>0</v>
      </c>
    </row>
    <row customHeight="1" ht="14.25" hidden="1">
      <c r="A8" s="1704"/>
      <c r="B8" s="1704"/>
      <c r="C8" s="1704"/>
      <c r="D8" s="1704"/>
      <c r="E8" s="2600"/>
      <c r="F8" s="2600"/>
      <c r="G8" s="2600"/>
      <c r="H8" s="2600"/>
      <c r="I8" s="2627"/>
      <c r="J8" s="2627"/>
      <c r="K8" s="2597"/>
      <c r="L8" s="1705"/>
      <c r="P8" s="2598"/>
      <c r="Q8" s="2598"/>
      <c r="R8" s="698"/>
      <c r="S8" s="1831"/>
      <c r="T8" s="641"/>
      <c r="U8" s="641"/>
      <c r="V8" s="666"/>
      <c r="W8" s="666"/>
      <c r="X8" s="666"/>
      <c r="Y8" s="666"/>
      <c r="Z8" s="666"/>
      <c r="AA8" s="666"/>
      <c r="AB8" s="669" t="str">
        <f>AC7&amp;"-"&amp;AE7</f>
        <v>-</v>
      </c>
      <c r="AC8" s="2607"/>
      <c r="AD8" s="2448"/>
      <c r="AE8" s="2607"/>
      <c r="AF8" s="2448"/>
      <c r="AG8" s="666"/>
      <c r="AH8" s="666"/>
      <c r="AI8" s="666"/>
      <c r="AJ8" s="666"/>
      <c r="AK8" s="666"/>
      <c r="AL8" s="666"/>
      <c r="AM8" s="669" t="str">
        <f>AN7&amp;"-"&amp;AP7</f>
        <v>-</v>
      </c>
      <c r="AN8" s="2607"/>
      <c r="AO8" s="2448"/>
      <c r="AP8" s="2629"/>
      <c r="AQ8" s="2448"/>
      <c r="AR8" s="1780"/>
      <c r="AS8" s="2690"/>
      <c r="AU8" s="841"/>
      <c r="AV8" s="841" t="str">
        <f>IF(T8="","",T8)</f>
        <v/>
      </c>
      <c r="AW8" s="841"/>
      <c r="AX8" s="841"/>
      <c r="AY8" s="1496">
        <v>0</v>
      </c>
    </row>
    <row customHeight="1" ht="21" hidden="1">
      <c r="A9" s="1704"/>
      <c r="B9" s="1704"/>
      <c r="C9" s="1704"/>
      <c r="D9" s="1704"/>
      <c r="E9" s="2600"/>
      <c r="F9" s="2600"/>
      <c r="G9" s="2600"/>
      <c r="H9" s="2600"/>
      <c r="I9" s="2627"/>
      <c r="J9" s="2597"/>
      <c r="K9" s="1704"/>
      <c r="L9" s="1705"/>
      <c r="P9" s="2598"/>
      <c r="Q9" s="2598"/>
      <c r="R9" s="697"/>
      <c r="S9" s="1619"/>
      <c r="T9" s="628" t="s">
        <v>481</v>
      </c>
      <c r="U9" s="708"/>
      <c r="V9" s="708"/>
      <c r="W9" s="941"/>
      <c r="X9" s="941"/>
      <c r="Y9" s="941"/>
      <c r="Z9" s="941"/>
      <c r="AA9" s="941"/>
      <c r="AB9" s="708"/>
      <c r="AC9" s="708"/>
      <c r="AD9" s="708"/>
      <c r="AE9" s="708"/>
      <c r="AF9" s="708"/>
      <c r="AG9" s="708"/>
      <c r="AH9" s="941"/>
      <c r="AI9" s="941"/>
      <c r="AJ9" s="941"/>
      <c r="AK9" s="941"/>
      <c r="AL9" s="941"/>
      <c r="AM9" s="708"/>
      <c r="AN9" s="708"/>
      <c r="AO9" s="708"/>
      <c r="AP9" s="708"/>
      <c r="AQ9" s="708"/>
      <c r="AR9" s="708"/>
      <c r="AS9" s="1599" t="s">
        <v>482</v>
      </c>
      <c r="AU9" s="841"/>
      <c r="AV9" s="841" t="str">
        <f>IF(T9="","",T9)</f>
        <v>Добавить значение признака дифференциации</v>
      </c>
      <c r="AW9" s="841"/>
      <c r="AX9" s="841"/>
      <c r="AY9" s="1496">
        <v>0</v>
      </c>
    </row>
    <row customHeight="1" ht="21" hidden="1">
      <c r="A10" s="1704"/>
      <c r="B10" s="1704"/>
      <c r="C10" s="1704"/>
      <c r="D10" s="1704"/>
      <c r="E10" s="2600"/>
      <c r="F10" s="2600"/>
      <c r="G10" s="2600"/>
      <c r="H10" s="2600"/>
      <c r="I10" s="2597"/>
      <c r="J10" s="1704"/>
      <c r="K10" s="1704"/>
      <c r="L10" s="1705"/>
      <c r="P10" s="2598"/>
      <c r="Q10" s="1822"/>
      <c r="R10" s="697"/>
      <c r="S10" s="1619"/>
      <c r="T10" s="706" t="s">
        <v>407</v>
      </c>
      <c r="U10" s="708"/>
      <c r="V10" s="708"/>
      <c r="W10" s="941"/>
      <c r="X10" s="941"/>
      <c r="Y10" s="941"/>
      <c r="Z10" s="941"/>
      <c r="AA10" s="941"/>
      <c r="AB10" s="708"/>
      <c r="AC10" s="708"/>
      <c r="AD10" s="708"/>
      <c r="AE10" s="708"/>
      <c r="AF10" s="707"/>
      <c r="AG10" s="708"/>
      <c r="AH10" s="941"/>
      <c r="AI10" s="941"/>
      <c r="AJ10" s="941"/>
      <c r="AK10" s="941"/>
      <c r="AL10" s="941"/>
      <c r="AM10" s="708"/>
      <c r="AN10" s="708"/>
      <c r="AO10" s="708"/>
      <c r="AP10" s="708"/>
      <c r="AQ10" s="707"/>
      <c r="AR10" s="708"/>
      <c r="AS10" s="1781"/>
      <c r="AU10" s="841"/>
      <c r="AV10" s="841" t="str">
        <f>IF(T10="","",T10)</f>
        <v>Добавить группу потребителей</v>
      </c>
      <c r="AW10" s="841"/>
      <c r="AX10" s="841"/>
      <c r="AY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483</v>
      </c>
      <c r="U11" s="708"/>
      <c r="V11" s="708"/>
      <c r="W11" s="941"/>
      <c r="X11" s="941"/>
      <c r="Y11" s="941"/>
      <c r="Z11" s="941"/>
      <c r="AA11" s="941"/>
      <c r="AB11" s="708"/>
      <c r="AC11" s="708"/>
      <c r="AD11" s="708"/>
      <c r="AE11" s="708"/>
      <c r="AF11" s="707"/>
      <c r="AG11" s="708"/>
      <c r="AH11" s="941"/>
      <c r="AI11" s="941"/>
      <c r="AJ11" s="941"/>
      <c r="AK11" s="941"/>
      <c r="AL11" s="941"/>
      <c r="AM11" s="708"/>
      <c r="AN11" s="708"/>
      <c r="AO11" s="708"/>
      <c r="AP11" s="708"/>
      <c r="AQ11" s="707"/>
      <c r="AR11" s="708"/>
      <c r="AS11" s="644"/>
      <c r="AU11" s="841"/>
      <c r="AV11" s="841" t="str">
        <f>IF(T11="","",T11)</f>
        <v>Добавить наименование признака дифференциации</v>
      </c>
      <c r="AW11" s="841"/>
      <c r="AX11" s="841"/>
      <c r="AY11" s="1496">
        <v>0</v>
      </c>
    </row>
    <row s="17316" customFormat="1" customHeight="1" ht="14.25" hidden="1">
      <c r="A12" s="1684"/>
      <c r="B12" s="1684"/>
      <c r="C12" s="1655"/>
      <c r="D12" s="1655"/>
      <c r="E12" s="2600"/>
      <c r="F12" s="2599"/>
      <c r="G12" s="1655"/>
      <c r="H12" s="1655"/>
      <c r="I12" s="1655"/>
      <c r="J12" s="1655"/>
      <c r="K12" s="1655"/>
      <c r="L12" s="1835"/>
      <c r="M12" s="1662"/>
      <c r="N12" s="1662"/>
      <c r="P12" s="1657"/>
      <c r="Q12" s="1658"/>
      <c r="R12" s="1657"/>
      <c r="S12" s="1663"/>
      <c r="T12" s="1666" t="s">
        <v>410</v>
      </c>
      <c r="U12" s="1665"/>
      <c r="V12" s="1665"/>
      <c r="W12" s="1665"/>
      <c r="X12" s="1665"/>
      <c r="Y12" s="1665"/>
      <c r="Z12" s="1665"/>
      <c r="AA12" s="1665"/>
      <c r="AB12" s="1665"/>
      <c r="AC12" s="1665"/>
      <c r="AD12" s="1665"/>
      <c r="AE12" s="1665"/>
      <c r="AF12" s="1665"/>
      <c r="AG12" s="1665"/>
      <c r="AH12" s="1665"/>
      <c r="AI12" s="1665"/>
      <c r="AJ12" s="1665"/>
      <c r="AK12" s="1665"/>
      <c r="AL12" s="1665"/>
      <c r="AM12" s="1665"/>
      <c r="AN12" s="1665"/>
      <c r="AO12" s="1665"/>
      <c r="AP12" s="1665"/>
      <c r="AQ12" s="1665"/>
      <c r="AR12" s="1665"/>
      <c r="AS12" s="1665"/>
      <c r="AU12" s="1130"/>
      <c r="AV12" s="1130" t="str">
        <f>IF(T12="","",T12)</f>
        <v>Добавить централизованную систему для дифференциации</v>
      </c>
      <c r="AW12" s="1130"/>
      <c r="AX12" s="1130"/>
      <c r="AY12" s="859">
        <v>0</v>
      </c>
    </row>
    <row s="1731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411</v>
      </c>
      <c r="U13" s="1665"/>
      <c r="V13" s="1665"/>
      <c r="W13" s="1665"/>
      <c r="X13" s="1665"/>
      <c r="Y13" s="1665"/>
      <c r="Z13" s="1665"/>
      <c r="AA13" s="1665"/>
      <c r="AB13" s="1665"/>
      <c r="AC13" s="1665"/>
      <c r="AD13" s="1665"/>
      <c r="AE13" s="1665"/>
      <c r="AF13" s="1665"/>
      <c r="AG13" s="1665"/>
      <c r="AH13" s="1665"/>
      <c r="AI13" s="1665"/>
      <c r="AJ13" s="1665"/>
      <c r="AK13" s="1665"/>
      <c r="AL13" s="1665"/>
      <c r="AM13" s="1665"/>
      <c r="AN13" s="1665"/>
      <c r="AO13" s="1665"/>
      <c r="AP13" s="1665"/>
      <c r="AQ13" s="1665"/>
      <c r="AR13" s="1665"/>
      <c r="AS13" s="1665"/>
      <c r="AU13" s="841"/>
      <c r="AV13" s="841" t="str">
        <f>IF(T13="","",T13)</f>
        <v>Добавить территорию для дифференциации</v>
      </c>
      <c r="AW13" s="841"/>
      <c r="AX13" s="841"/>
      <c r="AY13" s="852">
        <v>0</v>
      </c>
    </row>
    <row customHeight="1" ht="14.25" hidden="1">
      <c r="AF14" s="668"/>
      <c r="AQ14" s="668"/>
      <c r="AY14" s="1496">
        <v>0</v>
      </c>
    </row>
    <row customHeight="1" ht="14.25" hidden="1">
      <c r="AG15" s="1701"/>
      <c r="AH15" s="1701"/>
      <c r="AI15" s="1701"/>
      <c r="AJ15" s="1701"/>
      <c r="AK15" s="1701"/>
      <c r="AL15" s="1701"/>
      <c r="AM15" s="1702"/>
      <c r="AN15" s="2608"/>
      <c r="AO15" s="2609" t="s">
        <v>65</v>
      </c>
      <c r="AP15" s="2608"/>
      <c r="AQ15" s="2609" t="s">
        <v>65</v>
      </c>
      <c r="AY15" s="1496">
        <v>0</v>
      </c>
    </row>
    <row customHeight="1" ht="14.25" hidden="1">
      <c r="AG16" s="1701"/>
      <c r="AH16" s="1701"/>
      <c r="AI16" s="1701"/>
      <c r="AJ16" s="1701"/>
      <c r="AK16" s="1701"/>
      <c r="AL16" s="1701"/>
      <c r="AM16" s="669" t="str">
        <f>AN15&amp;"-"&amp;AP15</f>
        <v>-</v>
      </c>
      <c r="AN16" s="2609"/>
      <c r="AO16" s="2609"/>
      <c r="AP16" s="2609"/>
      <c r="AQ16" s="2609"/>
      <c r="AY16" s="1496">
        <v>0</v>
      </c>
    </row>
    <row customHeight="1" ht="14.25" hidden="1">
      <c r="AQ17" s="668"/>
      <c r="AY17" s="1496">
        <v>0</v>
      </c>
    </row>
    <row s="17315" customFormat="1" customHeight="1" ht="22.5" hidden="1">
      <c r="L18" s="1819"/>
      <c r="M18" s="1703"/>
      <c r="N18" s="1703"/>
      <c r="O18" s="1708" t="s">
        <v>412</v>
      </c>
      <c r="P18" s="1703"/>
      <c r="Q18" s="1712"/>
      <c r="R18" s="1712"/>
      <c r="S18" s="1070"/>
      <c r="W18" s="1707"/>
      <c r="X18" s="1707"/>
      <c r="Y18" s="1707"/>
      <c r="Z18" s="1707"/>
      <c r="AA18" s="1707"/>
      <c r="AC18" s="1708"/>
      <c r="AE18" s="1708"/>
      <c r="AF18" s="1707"/>
      <c r="AH18" s="1707"/>
      <c r="AI18" s="1707"/>
      <c r="AJ18" s="1707"/>
      <c r="AK18" s="1707"/>
      <c r="AL18" s="1707"/>
      <c r="AN18" s="1708"/>
      <c r="AP18" s="1708"/>
      <c r="AQ18" s="1707"/>
      <c r="AT18" s="852"/>
      <c r="AU18" s="852"/>
      <c r="AV18" s="852"/>
      <c r="AW18" s="852"/>
      <c r="AX18" s="852"/>
      <c r="AY18" s="1501">
        <v>0</v>
      </c>
    </row>
    <row s="17315" customFormat="1" customHeight="1" ht="14.25" hidden="1">
      <c r="L19" s="1819"/>
      <c r="M19" s="1703"/>
      <c r="N19" s="1703"/>
      <c r="O19" s="1703"/>
      <c r="P19" s="1703"/>
      <c r="Q19" s="1712"/>
      <c r="R19" s="1712"/>
      <c r="S19" s="1070"/>
      <c r="W19" s="1707"/>
      <c r="X19" s="1707"/>
      <c r="Y19" s="1707"/>
      <c r="Z19" s="1707"/>
      <c r="AA19" s="1707"/>
      <c r="AF19" s="1707"/>
      <c r="AH19" s="1707"/>
      <c r="AI19" s="1707"/>
      <c r="AJ19" s="1707"/>
      <c r="AK19" s="1707"/>
      <c r="AL19" s="1707"/>
      <c r="AQ19" s="1707"/>
      <c r="AT19" s="852"/>
      <c r="AU19" s="852"/>
      <c r="AV19" s="852"/>
      <c r="AW19" s="852"/>
      <c r="AX19" s="852"/>
      <c r="AY19" s="1501">
        <v>0</v>
      </c>
    </row>
    <row s="17315" customFormat="1" customHeight="1" ht="12" hidden="1">
      <c r="L20" s="1819"/>
      <c r="M20" s="1703"/>
      <c r="N20" s="1703"/>
      <c r="O20" s="1705" t="s">
        <v>413</v>
      </c>
      <c r="P20" s="1703"/>
      <c r="Q20" s="1783"/>
      <c r="R20" s="1783"/>
      <c r="S20" s="1070"/>
      <c r="T20" s="1501" t="s">
        <v>414</v>
      </c>
      <c r="W20" s="1707"/>
      <c r="X20" s="1707"/>
      <c r="Y20" s="1707"/>
      <c r="Z20" s="1707"/>
      <c r="AA20" s="1707"/>
      <c r="AD20" s="527" t="s">
        <v>415</v>
      </c>
      <c r="AF20" s="527" t="s">
        <v>416</v>
      </c>
      <c r="AG20" s="1501" t="s">
        <v>414</v>
      </c>
      <c r="AH20" s="1707"/>
      <c r="AI20" s="1707"/>
      <c r="AJ20" s="1707"/>
      <c r="AK20" s="1707"/>
      <c r="AL20" s="1707"/>
      <c r="AO20" s="527" t="s">
        <v>417</v>
      </c>
      <c r="AQ20" s="527" t="s">
        <v>416</v>
      </c>
      <c r="AY20" s="1501">
        <v>0</v>
      </c>
    </row>
    <row customHeight="1" ht="14.25" hidden="1">
      <c r="O21" s="1705"/>
      <c r="AY21" s="1496">
        <v>0</v>
      </c>
    </row>
    <row customHeight="1" ht="14.25" hidden="1">
      <c r="O22" s="1705"/>
      <c r="AY22" s="1496">
        <v>0</v>
      </c>
    </row>
    <row customHeight="1" ht="14.699999999999998">
      <c r="Q23" s="717"/>
      <c r="R23" s="717"/>
      <c r="S23" s="1616"/>
      <c r="T23" s="704"/>
      <c r="U23" s="704"/>
      <c r="V23" s="850"/>
      <c r="W23" s="1976"/>
      <c r="X23" s="1976"/>
      <c r="Y23" s="1976"/>
      <c r="Z23" s="1976"/>
      <c r="AA23" s="1976"/>
      <c r="AB23" s="850"/>
      <c r="AC23" s="850"/>
      <c r="AD23" s="850"/>
      <c r="AE23" s="850"/>
      <c r="AF23" s="850"/>
      <c r="AG23" s="850"/>
      <c r="AH23" s="1976"/>
      <c r="AI23" s="1976"/>
      <c r="AJ23" s="1976"/>
      <c r="AK23" s="1976"/>
      <c r="AL23" s="1976"/>
      <c r="AM23" s="850"/>
      <c r="AN23" s="850"/>
      <c r="AO23" s="850"/>
      <c r="AP23" s="850"/>
      <c r="AQ23" s="850"/>
      <c r="AY23" s="1496">
        <v>14</v>
      </c>
    </row>
    <row customHeight="1" ht="26.25">
      <c r="Q24" s="717"/>
      <c r="R24" s="717"/>
      <c r="S24" s="258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1584"/>
      <c r="AY24" s="1496">
        <v>25</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1584"/>
      <c r="AY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850"/>
      <c r="AY26" s="1496">
        <v>0</v>
      </c>
    </row>
    <row s="17442" customFormat="1" customHeight="1" ht="25.5" hidden="1">
      <c r="A27" s="1709"/>
      <c r="B27" s="1709"/>
      <c r="C27" s="1709"/>
      <c r="D27" s="1709"/>
      <c r="E27" s="1709"/>
      <c r="F27" s="1709"/>
      <c r="G27" s="1709"/>
      <c r="H27" s="1709"/>
      <c r="I27" s="1709"/>
      <c r="J27" s="1709"/>
      <c r="K27" s="1709"/>
      <c r="L27" s="1710"/>
      <c r="M27" s="1709"/>
      <c r="N27" s="1709"/>
      <c r="O27" s="1709"/>
      <c r="S27" s="2591" t="s">
        <v>41</v>
      </c>
      <c r="T27" s="2591"/>
      <c r="U27" s="1713"/>
      <c r="V27" s="2592" t="str">
        <f>IF(TITLE_NAME_OR_PR_CHANGE="",IF(TITLE_NAME_OR_PR="","",TITLE_NAME_OR_PR),TITLE_NAME_OR_PR_CHANGE)</f>
        <v/>
      </c>
      <c r="W27" s="2592"/>
      <c r="X27" s="2592"/>
      <c r="Y27" s="2592"/>
      <c r="Z27" s="2592"/>
      <c r="AA27" s="2592"/>
      <c r="AB27" s="2592"/>
      <c r="AC27" s="2592"/>
      <c r="AD27" s="2592"/>
      <c r="AE27" s="2592"/>
      <c r="AF27" s="667"/>
      <c r="AG27" s="2592" t="str">
        <f>IF(TITLE_NAME_OR_PR_CHANGE="",IF(TITLE_NAME_OR_PR="","",TITLE_NAME_OR_PR),TITLE_NAME_OR_PR_CHANGE)</f>
        <v/>
      </c>
      <c r="AH27" s="2592"/>
      <c r="AI27" s="2592"/>
      <c r="AJ27" s="2592"/>
      <c r="AK27" s="2592"/>
      <c r="AL27" s="2592"/>
      <c r="AM27" s="2592"/>
      <c r="AN27" s="2592"/>
      <c r="AO27" s="2592"/>
      <c r="AP27" s="2592"/>
      <c r="AQ27" s="667"/>
      <c r="AR27" s="667"/>
      <c r="AS27" s="621"/>
      <c r="AT27" s="709"/>
      <c r="AU27" s="709"/>
      <c r="AV27" s="709"/>
      <c r="AW27" s="709"/>
      <c r="AX27" s="709"/>
      <c r="AY27" s="759">
        <v>0</v>
      </c>
    </row>
    <row s="17442" customFormat="1" customHeight="1" ht="18.75" hidden="1">
      <c r="A28" s="1709"/>
      <c r="B28" s="1709"/>
      <c r="C28" s="1709"/>
      <c r="D28" s="1709"/>
      <c r="E28" s="1709"/>
      <c r="F28" s="1709"/>
      <c r="G28" s="1709"/>
      <c r="H28" s="1709"/>
      <c r="I28" s="1709"/>
      <c r="J28" s="1709"/>
      <c r="K28" s="1709"/>
      <c r="L28" s="1710"/>
      <c r="M28" s="1709"/>
      <c r="N28" s="1709"/>
      <c r="O28" s="1709"/>
      <c r="S28" s="2591" t="s">
        <v>418</v>
      </c>
      <c r="T28" s="2591"/>
      <c r="U28" s="1713"/>
      <c r="V28" s="2605" t="str">
        <f>IF(TITLE_DATE_PR_CHANGE="",IF(TITLE_DATE_PR="","",TITLE_DATE_PR),TITLE_DATE_PR_CHANGE)</f>
        <v/>
      </c>
      <c r="W28" s="2605"/>
      <c r="X28" s="2605"/>
      <c r="Y28" s="2605"/>
      <c r="Z28" s="2605"/>
      <c r="AA28" s="2605"/>
      <c r="AB28" s="2605"/>
      <c r="AC28" s="2605"/>
      <c r="AD28" s="2605"/>
      <c r="AE28" s="2605"/>
      <c r="AF28" s="667"/>
      <c r="AG28" s="2605" t="str">
        <f>IF(TITLE_DATE_PR_CHANGE="",IF(TITLE_DATE_PR="","",TITLE_DATE_PR),TITLE_DATE_PR_CHANGE)</f>
        <v/>
      </c>
      <c r="AH28" s="2605"/>
      <c r="AI28" s="2605"/>
      <c r="AJ28" s="2605"/>
      <c r="AK28" s="2605"/>
      <c r="AL28" s="2605"/>
      <c r="AM28" s="2605"/>
      <c r="AN28" s="2605"/>
      <c r="AO28" s="2605"/>
      <c r="AP28" s="2605"/>
      <c r="AQ28" s="667"/>
      <c r="AR28" s="667"/>
      <c r="AS28" s="621"/>
      <c r="AT28" s="709"/>
      <c r="AU28" s="709"/>
      <c r="AV28" s="709"/>
      <c r="AW28" s="709"/>
      <c r="AX28" s="709"/>
      <c r="AY28" s="759">
        <v>0</v>
      </c>
    </row>
    <row s="17442" customFormat="1" customHeight="1" ht="18.75" hidden="1">
      <c r="A29" s="1709"/>
      <c r="B29" s="1709"/>
      <c r="C29" s="1709"/>
      <c r="D29" s="1709"/>
      <c r="E29" s="1709"/>
      <c r="F29" s="1709"/>
      <c r="G29" s="1709"/>
      <c r="H29" s="1709"/>
      <c r="I29" s="1709"/>
      <c r="J29" s="1709"/>
      <c r="K29" s="1709"/>
      <c r="L29" s="1710"/>
      <c r="M29" s="1709"/>
      <c r="N29" s="1709"/>
      <c r="O29" s="1709"/>
      <c r="S29" s="2591" t="s">
        <v>419</v>
      </c>
      <c r="T29" s="2591"/>
      <c r="U29" s="1713"/>
      <c r="V29" s="2592" t="str">
        <f>IF(TITLE_NUMBER_PR_CHANGE="",IF(TITLE_NUMBER_PR="","",TITLE_NUMBER_PR),TITLE_NUMBER_PR_CHANGE)</f>
        <v/>
      </c>
      <c r="W29" s="2592"/>
      <c r="X29" s="2592"/>
      <c r="Y29" s="2592"/>
      <c r="Z29" s="2592"/>
      <c r="AA29" s="2592"/>
      <c r="AB29" s="2592"/>
      <c r="AC29" s="2592"/>
      <c r="AD29" s="2592"/>
      <c r="AE29" s="2592"/>
      <c r="AF29" s="667"/>
      <c r="AG29" s="2592" t="str">
        <f>IF(TITLE_NUMBER_PR_CHANGE="",IF(TITLE_NUMBER_PR="","",TITLE_NUMBER_PR),TITLE_NUMBER_PR_CHANGE)</f>
        <v/>
      </c>
      <c r="AH29" s="2592"/>
      <c r="AI29" s="2592"/>
      <c r="AJ29" s="2592"/>
      <c r="AK29" s="2592"/>
      <c r="AL29" s="2592"/>
      <c r="AM29" s="2592"/>
      <c r="AN29" s="2592"/>
      <c r="AO29" s="2592"/>
      <c r="AP29" s="2592"/>
      <c r="AQ29" s="667"/>
      <c r="AR29" s="667"/>
      <c r="AS29" s="621"/>
      <c r="AT29" s="709"/>
      <c r="AU29" s="709"/>
      <c r="AV29" s="709"/>
      <c r="AW29" s="709"/>
      <c r="AX29" s="709"/>
      <c r="AY29" s="759">
        <v>0</v>
      </c>
    </row>
    <row s="17442" customFormat="1" customHeight="1" ht="18.75" hidden="1">
      <c r="A30" s="1709"/>
      <c r="B30" s="1709"/>
      <c r="C30" s="1709"/>
      <c r="D30" s="1709"/>
      <c r="E30" s="1709"/>
      <c r="F30" s="1709"/>
      <c r="G30" s="1709"/>
      <c r="H30" s="1709"/>
      <c r="I30" s="1709"/>
      <c r="J30" s="1709"/>
      <c r="K30" s="1709"/>
      <c r="L30" s="1710"/>
      <c r="M30" s="1709"/>
      <c r="N30" s="1709"/>
      <c r="O30" s="1709"/>
      <c r="S30" s="2591" t="s">
        <v>42</v>
      </c>
      <c r="T30" s="2591"/>
      <c r="U30" s="1713"/>
      <c r="V30" s="2592" t="str">
        <f>IF(TITLE_IST_PUB_CHANGE="",IF(TITLE_IST_PUB="","",TITLE_IST_PUB),TITLE_IST_PUB_CHANGE)</f>
        <v/>
      </c>
      <c r="W30" s="2592"/>
      <c r="X30" s="2592"/>
      <c r="Y30" s="2592"/>
      <c r="Z30" s="2592"/>
      <c r="AA30" s="2592"/>
      <c r="AB30" s="2592"/>
      <c r="AC30" s="2592"/>
      <c r="AD30" s="2592"/>
      <c r="AE30" s="2592"/>
      <c r="AF30" s="667"/>
      <c r="AG30" s="2592" t="str">
        <f>IF(TITLE_IST_PUB_CHANGE="",IF(TITLE_IST_PUB="","",TITLE_IST_PUB),TITLE_IST_PUB_CHANGE)</f>
        <v/>
      </c>
      <c r="AH30" s="2592"/>
      <c r="AI30" s="2592"/>
      <c r="AJ30" s="2592"/>
      <c r="AK30" s="2592"/>
      <c r="AL30" s="2592"/>
      <c r="AM30" s="2592"/>
      <c r="AN30" s="2592"/>
      <c r="AO30" s="2592"/>
      <c r="AP30" s="2592"/>
      <c r="AQ30" s="667"/>
      <c r="AR30" s="667"/>
      <c r="AS30" s="621"/>
      <c r="AT30" s="709"/>
      <c r="AU30" s="709"/>
      <c r="AV30" s="709"/>
      <c r="AW30" s="709"/>
      <c r="AX30" s="709"/>
      <c r="AY30" s="759">
        <v>0</v>
      </c>
    </row>
    <row customHeight="1" ht="14.25" hidden="1">
      <c r="Q31" s="717"/>
      <c r="R31" s="717"/>
      <c r="S31" s="1616"/>
      <c r="T31" s="704"/>
      <c r="U31" s="704"/>
      <c r="V31" s="663"/>
      <c r="W31" s="663"/>
      <c r="X31" s="663"/>
      <c r="Y31" s="663"/>
      <c r="Z31" s="663"/>
      <c r="AA31" s="663"/>
      <c r="AB31" s="663"/>
      <c r="AC31" s="663"/>
      <c r="AD31" s="663"/>
      <c r="AE31" s="663"/>
      <c r="AF31" s="663"/>
      <c r="AG31" s="663"/>
      <c r="AH31" s="663"/>
      <c r="AI31" s="663"/>
      <c r="AJ31" s="663"/>
      <c r="AK31" s="663"/>
      <c r="AL31" s="663"/>
      <c r="AM31" s="663"/>
      <c r="AN31" s="663"/>
      <c r="AO31" s="663"/>
      <c r="AP31" s="663"/>
      <c r="AQ31" s="663"/>
      <c r="AR31" s="850"/>
      <c r="AY31" s="1496">
        <v>0</v>
      </c>
    </row>
    <row s="17442" customFormat="1" customHeight="1" ht="18.75" hidden="1">
      <c r="A32" s="1709"/>
      <c r="B32" s="1709"/>
      <c r="C32" s="1709"/>
      <c r="D32" s="1709"/>
      <c r="E32" s="1709"/>
      <c r="F32" s="1709"/>
      <c r="G32" s="1709"/>
      <c r="H32" s="1709"/>
      <c r="I32" s="1709"/>
      <c r="J32" s="1709"/>
      <c r="K32" s="1709"/>
      <c r="L32" s="1710"/>
      <c r="M32" s="1709"/>
      <c r="N32" s="1709"/>
      <c r="O32" s="1709"/>
      <c r="S32" s="2591" t="s">
        <v>420</v>
      </c>
      <c r="T32" s="2591"/>
      <c r="U32" s="1713"/>
      <c r="V32" s="2605" t="str">
        <f>IF(TITLE_DATE_PR_CHANGE="",IF(TITLE_DATE_PR="","",TITLE_DATE_PR),TITLE_DATE_PR_CHANGE)</f>
        <v/>
      </c>
      <c r="W32" s="2605"/>
      <c r="X32" s="2605"/>
      <c r="Y32" s="2605"/>
      <c r="Z32" s="2605"/>
      <c r="AA32" s="2605"/>
      <c r="AB32" s="2605"/>
      <c r="AC32" s="2605"/>
      <c r="AD32" s="2605"/>
      <c r="AE32" s="2605"/>
      <c r="AF32" s="667"/>
      <c r="AG32" s="2605" t="str">
        <f>IF(TITLE_DATE_PR_CHANGE="",IF(TITLE_DATE_PR="","",TITLE_DATE_PR),TITLE_DATE_PR_CHANGE)</f>
        <v/>
      </c>
      <c r="AH32" s="2605"/>
      <c r="AI32" s="2605"/>
      <c r="AJ32" s="2605"/>
      <c r="AK32" s="2605"/>
      <c r="AL32" s="2605"/>
      <c r="AM32" s="2605"/>
      <c r="AN32" s="2605"/>
      <c r="AO32" s="2605"/>
      <c r="AP32" s="2605"/>
      <c r="AQ32" s="667"/>
      <c r="AR32" s="667"/>
      <c r="AS32" s="621"/>
      <c r="AT32" s="709"/>
      <c r="AU32" s="709"/>
      <c r="AV32" s="709"/>
      <c r="AW32" s="709"/>
      <c r="AX32" s="709"/>
      <c r="AY32" s="759">
        <v>0</v>
      </c>
    </row>
    <row s="17442" customFormat="1" customHeight="1" ht="18.75" hidden="1">
      <c r="A33" s="1709"/>
      <c r="B33" s="1709"/>
      <c r="C33" s="1709"/>
      <c r="D33" s="1709"/>
      <c r="E33" s="1709"/>
      <c r="F33" s="1709"/>
      <c r="G33" s="1709"/>
      <c r="H33" s="1709"/>
      <c r="I33" s="1709"/>
      <c r="J33" s="1709"/>
      <c r="K33" s="1709"/>
      <c r="L33" s="1710"/>
      <c r="M33" s="1709"/>
      <c r="N33" s="1709"/>
      <c r="O33" s="1709"/>
      <c r="S33" s="2591" t="s">
        <v>421</v>
      </c>
      <c r="T33" s="2591"/>
      <c r="U33" s="1713"/>
      <c r="V33" s="2592" t="str">
        <f>IF(TITLE_NUMBER_PR_CHANGE="",IF(TITLE_NUMBER_PR="","",TITLE_NUMBER_PR),TITLE_NUMBER_PR_CHANGE)</f>
        <v/>
      </c>
      <c r="W33" s="2592"/>
      <c r="X33" s="2592"/>
      <c r="Y33" s="2592"/>
      <c r="Z33" s="2592"/>
      <c r="AA33" s="2592"/>
      <c r="AB33" s="2592"/>
      <c r="AC33" s="2592"/>
      <c r="AD33" s="2592"/>
      <c r="AE33" s="2592"/>
      <c r="AF33" s="667"/>
      <c r="AG33" s="2592" t="str">
        <f>IF(TITLE_NUMBER_PR_CHANGE="",IF(TITLE_NUMBER_PR="","",TITLE_NUMBER_PR),TITLE_NUMBER_PR_CHANGE)</f>
        <v/>
      </c>
      <c r="AH33" s="2592"/>
      <c r="AI33" s="2592"/>
      <c r="AJ33" s="2592"/>
      <c r="AK33" s="2592"/>
      <c r="AL33" s="2592"/>
      <c r="AM33" s="2592"/>
      <c r="AN33" s="2592"/>
      <c r="AO33" s="2592"/>
      <c r="AP33" s="2592"/>
      <c r="AQ33" s="667"/>
      <c r="AR33" s="667"/>
      <c r="AS33" s="621"/>
      <c r="AT33" s="709"/>
      <c r="AU33" s="709"/>
      <c r="AV33" s="709"/>
      <c r="AW33" s="709"/>
      <c r="AX33" s="709"/>
      <c r="AY33" s="759">
        <v>0</v>
      </c>
    </row>
    <row s="17442" customFormat="1" customHeight="1" ht="1.05">
      <c r="A34" s="1709"/>
      <c r="B34" s="1709"/>
      <c r="C34" s="1709"/>
      <c r="D34" s="1709"/>
      <c r="E34" s="1709"/>
      <c r="F34" s="1709"/>
      <c r="G34" s="1709"/>
      <c r="H34" s="1709"/>
      <c r="I34" s="1709"/>
      <c r="J34" s="1709"/>
      <c r="K34" s="1709"/>
      <c r="L34" s="1710"/>
      <c r="M34" s="1709"/>
      <c r="N34" s="1709"/>
      <c r="O34" s="1709"/>
      <c r="S34" s="664"/>
      <c r="T34" s="664"/>
      <c r="U34" s="1829"/>
      <c r="V34" s="667"/>
      <c r="W34" s="1976"/>
      <c r="X34" s="1976"/>
      <c r="Y34" s="1976"/>
      <c r="Z34" s="1976"/>
      <c r="AA34" s="1976"/>
      <c r="AB34" s="667"/>
      <c r="AC34" s="667"/>
      <c r="AD34" s="667"/>
      <c r="AE34" s="667"/>
      <c r="AF34" s="619" t="s">
        <v>422</v>
      </c>
      <c r="AG34" s="667"/>
      <c r="AH34" s="1976"/>
      <c r="AI34" s="1976"/>
      <c r="AJ34" s="1976"/>
      <c r="AK34" s="1976"/>
      <c r="AL34" s="1976"/>
      <c r="AM34" s="667"/>
      <c r="AN34" s="667"/>
      <c r="AO34" s="667"/>
      <c r="AP34" s="667"/>
      <c r="AQ34" s="619" t="s">
        <v>422</v>
      </c>
      <c r="AT34" s="709"/>
      <c r="AU34" s="709"/>
      <c r="AV34" s="709"/>
      <c r="AW34" s="709"/>
      <c r="AX34" s="709"/>
      <c r="AY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Y35" s="1496">
        <v>14</v>
      </c>
    </row>
    <row customHeight="1" ht="14.699999999999998">
      <c r="Q36" s="717"/>
      <c r="R36" s="717"/>
      <c r="S36" s="2468" t="s">
        <v>295</v>
      </c>
      <c r="T36" s="2468"/>
      <c r="U36" s="2468"/>
      <c r="V36" s="2468"/>
      <c r="W36" s="2468"/>
      <c r="X36" s="2468"/>
      <c r="Y36" s="2468"/>
      <c r="Z36" s="2468"/>
      <c r="AA36" s="2468"/>
      <c r="AB36" s="2468"/>
      <c r="AC36" s="2468"/>
      <c r="AD36" s="2468"/>
      <c r="AE36" s="2468"/>
      <c r="AF36" s="2468"/>
      <c r="AG36" s="2468"/>
      <c r="AH36" s="2468"/>
      <c r="AI36" s="2468"/>
      <c r="AJ36" s="2468"/>
      <c r="AK36" s="2468"/>
      <c r="AL36" s="2468"/>
      <c r="AM36" s="2468"/>
      <c r="AN36" s="2468"/>
      <c r="AO36" s="2468"/>
      <c r="AP36" s="2468"/>
      <c r="AQ36" s="2468"/>
      <c r="AR36" s="2468"/>
      <c r="AS36" s="2468" t="s">
        <v>296</v>
      </c>
      <c r="AY36" s="1496">
        <v>14</v>
      </c>
    </row>
    <row customHeight="1" ht="14.699999999999998">
      <c r="Q37" s="717"/>
      <c r="R37" s="717"/>
      <c r="S37" s="2614" t="s">
        <v>88</v>
      </c>
      <c r="T37" s="2550" t="s">
        <v>423</v>
      </c>
      <c r="U37" s="642"/>
      <c r="V37" s="2615" t="s">
        <v>424</v>
      </c>
      <c r="W37" s="2616"/>
      <c r="X37" s="2616"/>
      <c r="Y37" s="2616"/>
      <c r="Z37" s="2616"/>
      <c r="AA37" s="2616"/>
      <c r="AB37" s="2616"/>
      <c r="AC37" s="2616"/>
      <c r="AD37" s="2616"/>
      <c r="AE37" s="2617"/>
      <c r="AF37" s="2618" t="s">
        <v>425</v>
      </c>
      <c r="AG37" s="2615" t="s">
        <v>424</v>
      </c>
      <c r="AH37" s="2616"/>
      <c r="AI37" s="2616"/>
      <c r="AJ37" s="2616"/>
      <c r="AK37" s="2616"/>
      <c r="AL37" s="2616"/>
      <c r="AM37" s="2616"/>
      <c r="AN37" s="2616"/>
      <c r="AO37" s="2616"/>
      <c r="AP37" s="2617"/>
      <c r="AQ37" s="2618" t="s">
        <v>426</v>
      </c>
      <c r="AR37" s="2621" t="s">
        <v>427</v>
      </c>
      <c r="AS37" s="2468"/>
      <c r="AY37" s="1496">
        <v>14</v>
      </c>
    </row>
    <row s="17239" customFormat="1" customHeight="1" ht="19.95">
      <c r="A38" s="1707"/>
      <c r="B38" s="1707"/>
      <c r="C38" s="1707"/>
      <c r="D38" s="1707"/>
      <c r="E38" s="1707"/>
      <c r="F38" s="1707"/>
      <c r="G38" s="1707"/>
      <c r="H38" s="1707"/>
      <c r="I38" s="1707"/>
      <c r="J38" s="1707"/>
      <c r="K38" s="1707"/>
      <c r="L38" s="2321"/>
      <c r="M38" s="1703"/>
      <c r="N38" s="1703"/>
      <c r="O38" s="1703"/>
      <c r="P38" s="2322"/>
      <c r="Q38" s="717"/>
      <c r="R38" s="717"/>
      <c r="S38" s="2614"/>
      <c r="T38" s="2550"/>
      <c r="U38" s="1372"/>
      <c r="V38" s="2707" t="s">
        <v>527</v>
      </c>
      <c r="W38" s="2706" t="s">
        <v>528</v>
      </c>
      <c r="X38" s="2706"/>
      <c r="Y38" s="2706"/>
      <c r="Z38" s="2706" t="s">
        <v>529</v>
      </c>
      <c r="AA38" s="2706"/>
      <c r="AB38" s="2706"/>
      <c r="AC38" s="2635" t="s">
        <v>431</v>
      </c>
      <c r="AD38" s="2654"/>
      <c r="AE38" s="2655"/>
      <c r="AF38" s="2619"/>
      <c r="AG38" s="2707" t="s">
        <v>527</v>
      </c>
      <c r="AH38" s="2706" t="s">
        <v>528</v>
      </c>
      <c r="AI38" s="2706"/>
      <c r="AJ38" s="2706"/>
      <c r="AK38" s="2706" t="s">
        <v>529</v>
      </c>
      <c r="AL38" s="2706"/>
      <c r="AM38" s="2706"/>
      <c r="AN38" s="2635" t="s">
        <v>431</v>
      </c>
      <c r="AO38" s="2654"/>
      <c r="AP38" s="2655"/>
      <c r="AQ38" s="2619"/>
      <c r="AR38" s="2622"/>
      <c r="AS38" s="2468"/>
      <c r="AT38" s="1977"/>
      <c r="AU38" s="1977"/>
      <c r="AV38" s="1977"/>
      <c r="AW38" s="1977"/>
      <c r="AX38" s="1977"/>
      <c r="AY38" s="1972">
        <v>19</v>
      </c>
    </row>
    <row customHeight="1" ht="19.95">
      <c r="Q39" s="717"/>
      <c r="R39" s="717"/>
      <c r="S39" s="2614"/>
      <c r="T39" s="2550"/>
      <c r="U39" s="1372"/>
      <c r="V39" s="2707"/>
      <c r="W39" s="2706" t="s">
        <v>530</v>
      </c>
      <c r="X39" s="2706" t="s">
        <v>531</v>
      </c>
      <c r="Y39" s="2706"/>
      <c r="Z39" s="2706" t="s">
        <v>532</v>
      </c>
      <c r="AA39" s="2706" t="s">
        <v>531</v>
      </c>
      <c r="AB39" s="2706"/>
      <c r="AC39" s="2636"/>
      <c r="AD39" s="2656"/>
      <c r="AE39" s="2657"/>
      <c r="AF39" s="2619"/>
      <c r="AG39" s="2707"/>
      <c r="AH39" s="2706" t="s">
        <v>530</v>
      </c>
      <c r="AI39" s="2706" t="s">
        <v>531</v>
      </c>
      <c r="AJ39" s="2706"/>
      <c r="AK39" s="2706" t="s">
        <v>532</v>
      </c>
      <c r="AL39" s="2706" t="s">
        <v>531</v>
      </c>
      <c r="AM39" s="2706"/>
      <c r="AN39" s="2636"/>
      <c r="AO39" s="2656"/>
      <c r="AP39" s="2657"/>
      <c r="AQ39" s="2619"/>
      <c r="AR39" s="2622"/>
      <c r="AS39" s="2468"/>
      <c r="AY39" s="1496">
        <v>19</v>
      </c>
    </row>
    <row customHeight="1" ht="61.949999999999996">
      <c r="A40" s="1711"/>
      <c r="B40" s="1711" t="s">
        <v>132</v>
      </c>
      <c r="C40" s="1711" t="s">
        <v>133</v>
      </c>
      <c r="D40" s="1711" t="s">
        <v>134</v>
      </c>
      <c r="E40" s="1705" t="s">
        <v>432</v>
      </c>
      <c r="F40" s="1705" t="s">
        <v>433</v>
      </c>
      <c r="G40" s="1705" t="s">
        <v>434</v>
      </c>
      <c r="H40" s="1705"/>
      <c r="I40" s="1705" t="s">
        <v>485</v>
      </c>
      <c r="J40" s="1705" t="s">
        <v>437</v>
      </c>
      <c r="K40" s="1705" t="s">
        <v>486</v>
      </c>
      <c r="L40" s="1705" t="s">
        <v>413</v>
      </c>
      <c r="Q40" s="717"/>
      <c r="R40" s="717"/>
      <c r="S40" s="2614"/>
      <c r="T40" s="2550"/>
      <c r="U40" s="643"/>
      <c r="V40" s="2707"/>
      <c r="W40" s="2706"/>
      <c r="X40" s="2324" t="s">
        <v>533</v>
      </c>
      <c r="Y40" s="2324" t="s">
        <v>534</v>
      </c>
      <c r="Z40" s="2706"/>
      <c r="AA40" s="2324" t="s">
        <v>535</v>
      </c>
      <c r="AB40" s="2324" t="s">
        <v>536</v>
      </c>
      <c r="AC40" s="1830" t="s">
        <v>441</v>
      </c>
      <c r="AD40" s="2611" t="s">
        <v>442</v>
      </c>
      <c r="AE40" s="2612"/>
      <c r="AF40" s="2620"/>
      <c r="AG40" s="2707"/>
      <c r="AH40" s="2706"/>
      <c r="AI40" s="2324" t="s">
        <v>533</v>
      </c>
      <c r="AJ40" s="2324" t="s">
        <v>534</v>
      </c>
      <c r="AK40" s="2706"/>
      <c r="AL40" s="2324" t="s">
        <v>535</v>
      </c>
      <c r="AM40" s="2324" t="s">
        <v>536</v>
      </c>
      <c r="AN40" s="1830" t="s">
        <v>441</v>
      </c>
      <c r="AO40" s="2611" t="s">
        <v>442</v>
      </c>
      <c r="AP40" s="2612"/>
      <c r="AQ40" s="2620"/>
      <c r="AR40" s="2623"/>
      <c r="AS40" s="2468"/>
      <c r="AY40" s="1496">
        <v>59</v>
      </c>
    </row>
    <row s="17832" customFormat="1" customHeight="1" ht="11.25" hidden="1">
      <c r="A41" s="1711"/>
      <c r="B41" s="1711"/>
      <c r="C41" s="1711"/>
      <c r="D41" s="1711"/>
      <c r="E41" s="1711"/>
      <c r="F41" s="1711"/>
      <c r="G41" s="1711"/>
      <c r="H41" s="1711"/>
      <c r="I41" s="1711"/>
      <c r="J41" s="1711"/>
      <c r="K41" s="1711"/>
      <c r="L41" s="1705"/>
      <c r="M41" s="1703"/>
      <c r="N41" s="1703"/>
      <c r="O41" s="1703"/>
      <c r="P41" s="1587"/>
      <c r="Q41" s="1588"/>
      <c r="R41" s="1595">
        <v>1</v>
      </c>
      <c r="S41" s="1618" t="s">
        <v>106</v>
      </c>
      <c r="T41" s="1596" t="s">
        <v>107</v>
      </c>
      <c r="U41" s="1586" t="str">
        <f>OFFSET(U41,0,-1)</f>
        <v>2</v>
      </c>
      <c r="V41" s="1823">
        <f>OFFSET(V41,0,-1)+1</f>
        <v>3</v>
      </c>
      <c r="W41" s="2320"/>
      <c r="X41" s="2320"/>
      <c r="Y41" s="2320"/>
      <c r="Z41" s="2320"/>
      <c r="AA41" s="2320"/>
      <c r="AB41" s="1823">
        <f>OFFSET(AB41,0,-1)+1</f>
        <v>1</v>
      </c>
      <c r="AC41" s="1823">
        <f>OFFSET(AC41,0,-1)+1</f>
        <v>2</v>
      </c>
      <c r="AD41" s="2613">
        <f>OFFSET(AD41,0,-1)+1</f>
        <v>3</v>
      </c>
      <c r="AE41" s="2613"/>
      <c r="AF41" s="1823">
        <f>OFFSET(AF41,0,-2)+1</f>
        <v>4</v>
      </c>
      <c r="AG41" s="1823">
        <f>OFFSET(AG41,0,-1)+1</f>
        <v>5</v>
      </c>
      <c r="AH41" s="2320"/>
      <c r="AI41" s="2320"/>
      <c r="AJ41" s="2320"/>
      <c r="AK41" s="2320"/>
      <c r="AL41" s="2320"/>
      <c r="AM41" s="1823">
        <f>OFFSET(AM41,0,-1)+1</f>
        <v>1</v>
      </c>
      <c r="AN41" s="1823">
        <f>OFFSET(AN41,0,-1)+1</f>
        <v>2</v>
      </c>
      <c r="AO41" s="2613">
        <f>OFFSET(AO41,0,-1)+1</f>
        <v>3</v>
      </c>
      <c r="AP41" s="2613"/>
      <c r="AQ41" s="1823">
        <f>OFFSET(AQ41,0,-2)+1</f>
        <v>4</v>
      </c>
      <c r="AR41" s="1586">
        <f>OFFSET(AR41,0,-1)</f>
        <v>4</v>
      </c>
      <c r="AS41" s="1823">
        <f>OFFSET(AS41,0,-1)+1</f>
        <v>5</v>
      </c>
      <c r="AT41" s="852"/>
      <c r="AU41" s="852"/>
      <c r="AV41" s="852"/>
      <c r="AW41" s="852"/>
      <c r="AX41" s="852"/>
      <c r="AY41" s="837">
        <v>0</v>
      </c>
    </row>
    <row customHeight="1" ht="24">
      <c r="A42" s="1704" t="s">
        <v>251</v>
      </c>
      <c r="B42" s="1704"/>
      <c r="C42" s="1704"/>
      <c r="D42" s="1704"/>
      <c r="E42" s="2599">
        <v>1</v>
      </c>
      <c r="F42" s="1704"/>
      <c r="G42" s="1704"/>
      <c r="H42" s="1704"/>
      <c r="I42" s="1704"/>
      <c r="J42" s="1704"/>
      <c r="K42" s="1704"/>
      <c r="L42" s="1705"/>
      <c r="M42" s="1706"/>
      <c r="N42" s="1706"/>
      <c r="O42" s="1706"/>
      <c r="P42" s="702"/>
      <c r="Q42" s="701"/>
      <c r="R42" s="696"/>
      <c r="S42" s="1834">
        <f>INDEX(PT_DIFFERENTIATION_NUM_NTAR,MATCH(A42,PT_DIFFERENTIATION_NTAR_ID,0))</f>
        <v>0</v>
      </c>
      <c r="T42" s="639" t="s">
        <v>120</v>
      </c>
      <c r="U42" s="641"/>
      <c r="V42" s="2583"/>
      <c r="W42" s="2584"/>
      <c r="X42" s="2584"/>
      <c r="Y42" s="2584"/>
      <c r="Z42" s="2584"/>
      <c r="AA42" s="2584"/>
      <c r="AB42" s="2584"/>
      <c r="AC42" s="2584"/>
      <c r="AD42" s="2584"/>
      <c r="AE42" s="2584"/>
      <c r="AF42" s="2585"/>
      <c r="AG42" s="2583" t="str">
        <f>INDEX(PT_DIFFERENTIATION_NTAR,MATCH(A42,PT_DIFFERENTIATION_NTAR_ID,0))</f>
        <v/>
      </c>
      <c r="AH42" s="2584"/>
      <c r="AI42" s="2584"/>
      <c r="AJ42" s="2584"/>
      <c r="AK42" s="2584"/>
      <c r="AL42" s="2584"/>
      <c r="AM42" s="2584"/>
      <c r="AN42" s="2584"/>
      <c r="AO42" s="2584"/>
      <c r="AP42" s="2584"/>
      <c r="AQ42" s="2584"/>
      <c r="AR42" s="2585"/>
      <c r="AS4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41"/>
      <c r="AV42" s="841" t="str">
        <f>IF(T42="","",T42)</f>
        <v>Наименование тарифа</v>
      </c>
      <c r="AW42" s="841"/>
      <c r="AX42" s="841"/>
      <c r="AY42" s="1496">
        <v>23</v>
      </c>
    </row>
    <row customHeight="1" ht="24">
      <c r="A43" s="1704" t="s">
        <v>251</v>
      </c>
      <c r="B43" s="1704" t="s">
        <v>252</v>
      </c>
      <c r="C43" s="1704"/>
      <c r="D43" s="1704"/>
      <c r="E43" s="2600"/>
      <c r="F43" s="2599">
        <v>1</v>
      </c>
      <c r="G43" s="1704"/>
      <c r="H43" s="1704"/>
      <c r="I43" s="1704"/>
      <c r="J43" s="1704"/>
      <c r="K43" s="1704"/>
      <c r="L43" s="1705"/>
      <c r="M43" s="1706"/>
      <c r="N43" s="1706"/>
      <c r="O43" s="1706"/>
      <c r="P43" s="1828"/>
      <c r="Q43" s="693"/>
      <c r="R43" s="694"/>
      <c r="S43" s="1834" t="str">
        <f>INDEX(PT_DIFFERENTIATION_NUM_TER,MATCH(B43,PT_DIFFERENTIATION_TER_ID,0))</f>
        <v>.</v>
      </c>
      <c r="T43" s="649" t="s">
        <v>392</v>
      </c>
      <c r="U43" s="641"/>
      <c r="V43" s="2583"/>
      <c r="W43" s="2584"/>
      <c r="X43" s="2584"/>
      <c r="Y43" s="2584"/>
      <c r="Z43" s="2584"/>
      <c r="AA43" s="2584"/>
      <c r="AB43" s="2584"/>
      <c r="AC43" s="2584"/>
      <c r="AD43" s="2584"/>
      <c r="AE43" s="2584"/>
      <c r="AF43" s="2585"/>
      <c r="AG43" s="2583" t="str">
        <f>INDEX(PT_DIFFERENTIATION_TER,MATCH(B43,PT_DIFFERENTIATION_TER_ID,0))</f>
        <v/>
      </c>
      <c r="AH43" s="2584"/>
      <c r="AI43" s="2584"/>
      <c r="AJ43" s="2584"/>
      <c r="AK43" s="2584"/>
      <c r="AL43" s="2584"/>
      <c r="AM43" s="2584"/>
      <c r="AN43" s="2584"/>
      <c r="AO43" s="2584"/>
      <c r="AP43" s="2584"/>
      <c r="AQ43" s="2584"/>
      <c r="AR43" s="2585"/>
      <c r="AS43" s="1599" t="s">
        <v>393</v>
      </c>
      <c r="AU43" s="841"/>
      <c r="AV43" s="841" t="str">
        <f>IF(T43="","",T43)</f>
        <v>Территория действия тарифа</v>
      </c>
      <c r="AW43" s="841"/>
      <c r="AX43" s="841"/>
      <c r="AY43" s="1496">
        <v>23</v>
      </c>
    </row>
    <row customHeight="1" ht="24">
      <c r="A44" s="1704" t="s">
        <v>251</v>
      </c>
      <c r="B44" s="1704" t="s">
        <v>252</v>
      </c>
      <c r="C44" s="1704" t="s">
        <v>253</v>
      </c>
      <c r="D44" s="1704"/>
      <c r="E44" s="2600"/>
      <c r="F44" s="2600"/>
      <c r="G44" s="2599">
        <v>1</v>
      </c>
      <c r="H44" s="1704"/>
      <c r="I44" s="1704"/>
      <c r="J44" s="1704"/>
      <c r="K44" s="1704"/>
      <c r="L44" s="1705"/>
      <c r="M44" s="1706"/>
      <c r="N44" s="1706"/>
      <c r="O44" s="1706"/>
      <c r="P44" s="695"/>
      <c r="Q44" s="693"/>
      <c r="R44" s="694"/>
      <c r="S44" s="1834" t="str">
        <f>INDEX(PT_DIFFERENTIATION_NUM_CS,MATCH(C44,PT_DIFFERENTIATION_CS_ID,0))</f>
        <v>..</v>
      </c>
      <c r="T44" s="650" t="s">
        <v>525</v>
      </c>
      <c r="U44" s="641"/>
      <c r="V44" s="2583"/>
      <c r="W44" s="2584"/>
      <c r="X44" s="2584"/>
      <c r="Y44" s="2584"/>
      <c r="Z44" s="2584"/>
      <c r="AA44" s="2584"/>
      <c r="AB44" s="2584"/>
      <c r="AC44" s="2584"/>
      <c r="AD44" s="2584"/>
      <c r="AE44" s="2584"/>
      <c r="AF44" s="2585"/>
      <c r="AG44" s="2583" t="str">
        <f>INDEX(PT_DIFFERENTIATION_CS,MATCH(C44,PT_DIFFERENTIATION_CS_ID,0))</f>
        <v/>
      </c>
      <c r="AH44" s="2584"/>
      <c r="AI44" s="2584"/>
      <c r="AJ44" s="2584"/>
      <c r="AK44" s="2584"/>
      <c r="AL44" s="2584"/>
      <c r="AM44" s="2584"/>
      <c r="AN44" s="2584"/>
      <c r="AO44" s="2584"/>
      <c r="AP44" s="2584"/>
      <c r="AQ44" s="2584"/>
      <c r="AR44" s="2585"/>
      <c r="AS44" s="1599" t="s">
        <v>526</v>
      </c>
      <c r="AU44" s="841"/>
      <c r="AV44" s="841" t="str">
        <f>IF(T44="","",T44)</f>
        <v>Наименование централизованной системы горячего водоснабжения</v>
      </c>
      <c r="AW44" s="841"/>
      <c r="AX44" s="841"/>
      <c r="AY44" s="1496">
        <v>23</v>
      </c>
    </row>
    <row customHeight="1" ht="24">
      <c r="A45" s="1704" t="s">
        <v>251</v>
      </c>
      <c r="B45" s="1704" t="s">
        <v>252</v>
      </c>
      <c r="C45" s="1704" t="s">
        <v>253</v>
      </c>
      <c r="D45" s="1704" t="s">
        <v>538</v>
      </c>
      <c r="E45" s="2600"/>
      <c r="F45" s="2600"/>
      <c r="G45" s="2600"/>
      <c r="H45" s="2600"/>
      <c r="I45" s="2597" t="str">
        <f>S44&amp;".1"</f>
        <v>...1</v>
      </c>
      <c r="J45" s="1704"/>
      <c r="K45" s="1704"/>
      <c r="L45" s="1705"/>
      <c r="P45" s="2598">
        <v>1</v>
      </c>
      <c r="Q45" s="1822"/>
      <c r="R45" s="697"/>
      <c r="S45" s="1834" t="str">
        <f>$I45</f>
        <v>...1</v>
      </c>
      <c r="T45" s="626" t="s">
        <v>478</v>
      </c>
      <c r="U45" s="641"/>
      <c r="V45" s="2691"/>
      <c r="W45" s="2692"/>
      <c r="X45" s="2692"/>
      <c r="Y45" s="2692"/>
      <c r="Z45" s="2692"/>
      <c r="AA45" s="2692"/>
      <c r="AB45" s="2692"/>
      <c r="AC45" s="2692"/>
      <c r="AD45" s="2692"/>
      <c r="AE45" s="2692"/>
      <c r="AF45" s="2693"/>
      <c r="AG45" s="2694"/>
      <c r="AH45" s="2695"/>
      <c r="AI45" s="2695"/>
      <c r="AJ45" s="2695"/>
      <c r="AK45" s="2695"/>
      <c r="AL45" s="2695"/>
      <c r="AM45" s="2695"/>
      <c r="AN45" s="2695"/>
      <c r="AO45" s="2695"/>
      <c r="AP45" s="2695"/>
      <c r="AQ45" s="2695"/>
      <c r="AR45" s="2696"/>
      <c r="AS45" s="1599" t="s">
        <v>479</v>
      </c>
      <c r="AU45" s="841"/>
      <c r="AV45" s="841" t="str">
        <f>IF(T45="","",T45)</f>
        <v>Наименование признака дифференциации</v>
      </c>
      <c r="AW45" s="841"/>
      <c r="AX45" s="841"/>
      <c r="AY45" s="1496">
        <v>23</v>
      </c>
    </row>
    <row customHeight="1" ht="24">
      <c r="A46" s="1704" t="s">
        <v>251</v>
      </c>
      <c r="B46" s="1704" t="s">
        <v>252</v>
      </c>
      <c r="C46" s="1704" t="s">
        <v>253</v>
      </c>
      <c r="D46" s="1704" t="s">
        <v>538</v>
      </c>
      <c r="E46" s="2600"/>
      <c r="F46" s="2600"/>
      <c r="G46" s="2600"/>
      <c r="H46" s="2600"/>
      <c r="I46" s="2627"/>
      <c r="J46" s="2597" t="str">
        <f>I45&amp;".1"</f>
        <v>...1.1</v>
      </c>
      <c r="K46" s="1704"/>
      <c r="L46" s="1705" t="s">
        <v>401</v>
      </c>
      <c r="P46" s="2598"/>
      <c r="Q46" s="2598">
        <v>1</v>
      </c>
      <c r="R46" s="698"/>
      <c r="S46" s="1834" t="str">
        <f>$J46</f>
        <v>...1.1</v>
      </c>
      <c r="T46" s="627" t="s">
        <v>402</v>
      </c>
      <c r="U46" s="641"/>
      <c r="V46" s="2586"/>
      <c r="W46" s="2587"/>
      <c r="X46" s="2587"/>
      <c r="Y46" s="2587"/>
      <c r="Z46" s="2587"/>
      <c r="AA46" s="2587"/>
      <c r="AB46" s="2587"/>
      <c r="AC46" s="2587"/>
      <c r="AD46" s="2587"/>
      <c r="AE46" s="2587"/>
      <c r="AF46" s="2588"/>
      <c r="AG46" s="2586"/>
      <c r="AH46" s="2587"/>
      <c r="AI46" s="2587"/>
      <c r="AJ46" s="2587"/>
      <c r="AK46" s="2587"/>
      <c r="AL46" s="2587"/>
      <c r="AM46" s="2587"/>
      <c r="AN46" s="2587"/>
      <c r="AO46" s="2587"/>
      <c r="AP46" s="2587"/>
      <c r="AQ46" s="2587"/>
      <c r="AR46" s="2588"/>
      <c r="AS46" s="1648" t="s">
        <v>480</v>
      </c>
      <c r="AU46" s="841"/>
      <c r="AV46" s="841" t="str">
        <f>IF(T46="","",T46)</f>
        <v>Группа потребителей</v>
      </c>
      <c r="AW46" s="841"/>
      <c r="AX46" s="841"/>
      <c r="AY46" s="1496">
        <v>23</v>
      </c>
    </row>
    <row customHeight="1" ht="24">
      <c r="A47" s="1704" t="s">
        <v>251</v>
      </c>
      <c r="B47" s="1704" t="s">
        <v>252</v>
      </c>
      <c r="C47" s="1704" t="s">
        <v>253</v>
      </c>
      <c r="D47" s="1704" t="s">
        <v>538</v>
      </c>
      <c r="E47" s="2600"/>
      <c r="F47" s="2600"/>
      <c r="G47" s="2600"/>
      <c r="H47" s="2600"/>
      <c r="I47" s="2627"/>
      <c r="J47" s="2627"/>
      <c r="K47" s="2597" t="str">
        <f>J46&amp;".1"</f>
        <v>...1.1.1</v>
      </c>
      <c r="L47" s="1705"/>
      <c r="P47" s="2598"/>
      <c r="Q47" s="2598"/>
      <c r="R47" s="698">
        <v>1</v>
      </c>
      <c r="S47" s="1834" t="str">
        <f>$K47</f>
        <v>...1.1.1</v>
      </c>
      <c r="T47" s="1778"/>
      <c r="U47" s="641"/>
      <c r="V47" s="1701"/>
      <c r="W47" s="1701"/>
      <c r="X47" s="1701"/>
      <c r="Y47" s="1701"/>
      <c r="Z47" s="1701"/>
      <c r="AA47" s="1701"/>
      <c r="AB47" s="1702"/>
      <c r="AC47" s="2608"/>
      <c r="AD47" s="2609" t="s">
        <v>65</v>
      </c>
      <c r="AE47" s="2608"/>
      <c r="AF47" s="2609" t="s">
        <v>65</v>
      </c>
      <c r="AG47" s="1092"/>
      <c r="AH47" s="1092"/>
      <c r="AI47" s="1092"/>
      <c r="AJ47" s="1092"/>
      <c r="AK47" s="1092"/>
      <c r="AL47" s="1092"/>
      <c r="AM47" s="1598"/>
      <c r="AN47" s="2606"/>
      <c r="AO47" s="2448" t="s">
        <v>65</v>
      </c>
      <c r="AP47" s="2628"/>
      <c r="AQ47" s="2448" t="s">
        <v>19</v>
      </c>
      <c r="AR47" s="1779"/>
      <c r="AS4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52">
        <f>STRCHECKDATE(V48:AR48)</f>
      </c>
      <c r="AU47" s="841"/>
      <c r="AV47" s="841" t="str">
        <f>IF(T47="","",T47)</f>
        <v/>
      </c>
      <c r="AW47" s="841"/>
      <c r="AX47" s="841"/>
      <c r="AY47" s="1496">
        <v>23</v>
      </c>
    </row>
    <row customHeight="1" ht="0">
      <c r="A48" s="1704" t="s">
        <v>251</v>
      </c>
      <c r="B48" s="1704" t="s">
        <v>252</v>
      </c>
      <c r="C48" s="1704" t="s">
        <v>253</v>
      </c>
      <c r="D48" s="1704" t="s">
        <v>538</v>
      </c>
      <c r="E48" s="2600"/>
      <c r="F48" s="2600"/>
      <c r="G48" s="2600"/>
      <c r="H48" s="2600"/>
      <c r="I48" s="2627"/>
      <c r="J48" s="2627"/>
      <c r="K48" s="2597"/>
      <c r="L48" s="1705"/>
      <c r="P48" s="2598"/>
      <c r="Q48" s="2598"/>
      <c r="R48" s="698"/>
      <c r="S48" s="1831"/>
      <c r="T48" s="641"/>
      <c r="U48" s="641"/>
      <c r="V48" s="1701"/>
      <c r="W48" s="1701"/>
      <c r="X48" s="1701"/>
      <c r="Y48" s="1701"/>
      <c r="Z48" s="1701"/>
      <c r="AA48" s="1701"/>
      <c r="AB48" s="669" t="str">
        <f>AC47&amp;"-"&amp;AE47</f>
        <v>-</v>
      </c>
      <c r="AC48" s="2609"/>
      <c r="AD48" s="2609"/>
      <c r="AE48" s="2609"/>
      <c r="AF48" s="2609"/>
      <c r="AG48" s="666"/>
      <c r="AH48" s="666"/>
      <c r="AI48" s="666"/>
      <c r="AJ48" s="666"/>
      <c r="AK48" s="666"/>
      <c r="AL48" s="666"/>
      <c r="AM48" s="669" t="str">
        <f>AN47&amp;"-"&amp;AP47</f>
        <v>-</v>
      </c>
      <c r="AN48" s="2607"/>
      <c r="AO48" s="2448"/>
      <c r="AP48" s="2629"/>
      <c r="AQ48" s="2448"/>
      <c r="AR48" s="1780"/>
      <c r="AS48" s="2690"/>
      <c r="AU48" s="841"/>
      <c r="AV48" s="841" t="str">
        <f>IF(T48="","",T48)</f>
        <v/>
      </c>
      <c r="AW48" s="841"/>
      <c r="AX48" s="841"/>
      <c r="AY48" s="1496">
        <v>0</v>
      </c>
    </row>
    <row customHeight="1" ht="21">
      <c r="A49" s="1704" t="s">
        <v>251</v>
      </c>
      <c r="B49" s="1704" t="s">
        <v>252</v>
      </c>
      <c r="C49" s="1704" t="s">
        <v>253</v>
      </c>
      <c r="D49" s="1704" t="s">
        <v>538</v>
      </c>
      <c r="E49" s="2600"/>
      <c r="F49" s="2600"/>
      <c r="G49" s="2600"/>
      <c r="H49" s="2600"/>
      <c r="I49" s="2627"/>
      <c r="J49" s="2597"/>
      <c r="K49" s="1704"/>
      <c r="L49" s="1705"/>
      <c r="P49" s="2598"/>
      <c r="Q49" s="2598"/>
      <c r="R49" s="697"/>
      <c r="S49" s="1619"/>
      <c r="T49" s="628" t="s">
        <v>481</v>
      </c>
      <c r="U49" s="708"/>
      <c r="V49" s="708"/>
      <c r="W49" s="941"/>
      <c r="X49" s="941"/>
      <c r="Y49" s="941"/>
      <c r="Z49" s="941"/>
      <c r="AA49" s="941"/>
      <c r="AB49" s="708"/>
      <c r="AC49" s="708"/>
      <c r="AD49" s="708"/>
      <c r="AE49" s="708"/>
      <c r="AF49" s="708"/>
      <c r="AG49" s="708"/>
      <c r="AH49" s="941"/>
      <c r="AI49" s="941"/>
      <c r="AJ49" s="941"/>
      <c r="AK49" s="941"/>
      <c r="AL49" s="941"/>
      <c r="AM49" s="708"/>
      <c r="AN49" s="708"/>
      <c r="AO49" s="708"/>
      <c r="AP49" s="708"/>
      <c r="AQ49" s="708"/>
      <c r="AR49" s="708"/>
      <c r="AS49" s="1599" t="s">
        <v>482</v>
      </c>
      <c r="AU49" s="841"/>
      <c r="AV49" s="841" t="str">
        <f>IF(T49="","",T49)</f>
        <v>Добавить значение признака дифференциации</v>
      </c>
      <c r="AW49" s="841"/>
      <c r="AX49" s="841"/>
      <c r="AY49" s="1496">
        <v>20</v>
      </c>
    </row>
    <row customHeight="1" ht="22.049999999999997">
      <c r="A50" s="1704" t="s">
        <v>251</v>
      </c>
      <c r="B50" s="1704" t="s">
        <v>252</v>
      </c>
      <c r="C50" s="1704" t="s">
        <v>253</v>
      </c>
      <c r="D50" s="1704" t="s">
        <v>538</v>
      </c>
      <c r="E50" s="2600"/>
      <c r="F50" s="2600"/>
      <c r="G50" s="2600"/>
      <c r="H50" s="2600"/>
      <c r="I50" s="2597"/>
      <c r="J50" s="1704"/>
      <c r="K50" s="1704"/>
      <c r="L50" s="1705"/>
      <c r="P50" s="2598"/>
      <c r="Q50" s="1822"/>
      <c r="R50" s="697"/>
      <c r="S50" s="1619"/>
      <c r="T50" s="706" t="s">
        <v>407</v>
      </c>
      <c r="U50" s="708"/>
      <c r="V50" s="708"/>
      <c r="W50" s="941"/>
      <c r="X50" s="941"/>
      <c r="Y50" s="941"/>
      <c r="Z50" s="941"/>
      <c r="AA50" s="941"/>
      <c r="AB50" s="708"/>
      <c r="AC50" s="708"/>
      <c r="AD50" s="708"/>
      <c r="AE50" s="708"/>
      <c r="AF50" s="707"/>
      <c r="AG50" s="708"/>
      <c r="AH50" s="941"/>
      <c r="AI50" s="941"/>
      <c r="AJ50" s="941"/>
      <c r="AK50" s="941"/>
      <c r="AL50" s="941"/>
      <c r="AM50" s="708"/>
      <c r="AN50" s="708"/>
      <c r="AO50" s="708"/>
      <c r="AP50" s="708"/>
      <c r="AQ50" s="707"/>
      <c r="AR50" s="708"/>
      <c r="AS50" s="1781"/>
      <c r="AU50" s="841"/>
      <c r="AV50" s="841" t="str">
        <f>IF(T50="","",T50)</f>
        <v>Добавить группу потребителей</v>
      </c>
      <c r="AW50" s="841"/>
      <c r="AX50" s="841"/>
      <c r="AY50" s="1496">
        <v>21</v>
      </c>
    </row>
    <row customHeight="1" ht="22.049999999999997">
      <c r="A51" s="1704" t="s">
        <v>251</v>
      </c>
      <c r="B51" s="1704" t="s">
        <v>252</v>
      </c>
      <c r="C51" s="1704" t="s">
        <v>253</v>
      </c>
      <c r="D51" s="1704" t="s">
        <v>538</v>
      </c>
      <c r="E51" s="2600"/>
      <c r="F51" s="2600"/>
      <c r="G51" s="2600"/>
      <c r="H51" s="2599"/>
      <c r="I51" s="1704"/>
      <c r="J51" s="1704"/>
      <c r="K51" s="1704"/>
      <c r="L51" s="1705"/>
      <c r="M51" s="1706"/>
      <c r="N51" s="1706"/>
      <c r="O51" s="878"/>
      <c r="P51" s="701"/>
      <c r="Q51" s="716"/>
      <c r="R51" s="696"/>
      <c r="S51" s="1619"/>
      <c r="T51" s="713" t="s">
        <v>483</v>
      </c>
      <c r="U51" s="708"/>
      <c r="V51" s="708"/>
      <c r="W51" s="941"/>
      <c r="X51" s="941"/>
      <c r="Y51" s="941"/>
      <c r="Z51" s="941"/>
      <c r="AA51" s="941"/>
      <c r="AB51" s="708"/>
      <c r="AC51" s="708"/>
      <c r="AD51" s="708"/>
      <c r="AE51" s="708"/>
      <c r="AF51" s="707"/>
      <c r="AG51" s="708"/>
      <c r="AH51" s="941"/>
      <c r="AI51" s="941"/>
      <c r="AJ51" s="941"/>
      <c r="AK51" s="941"/>
      <c r="AL51" s="941"/>
      <c r="AM51" s="708"/>
      <c r="AN51" s="708"/>
      <c r="AO51" s="708"/>
      <c r="AP51" s="708"/>
      <c r="AQ51" s="707"/>
      <c r="AR51" s="708"/>
      <c r="AS51" s="644"/>
      <c r="AU51" s="841"/>
      <c r="AV51" s="841" t="str">
        <f>IF(T51="","",T51)</f>
        <v>Добавить наименование признака дифференциации</v>
      </c>
      <c r="AW51" s="841"/>
      <c r="AX51" s="841"/>
      <c r="AY51" s="1496">
        <v>21</v>
      </c>
    </row>
    <row s="17316" customFormat="1" customHeight="1" ht="0">
      <c r="A52" s="1684" t="s">
        <v>251</v>
      </c>
      <c r="B52" s="1684" t="s">
        <v>252</v>
      </c>
      <c r="C52" s="1655"/>
      <c r="D52" s="1655"/>
      <c r="E52" s="2600"/>
      <c r="F52" s="2599"/>
      <c r="G52" s="1655"/>
      <c r="H52" s="1655"/>
      <c r="I52" s="1655"/>
      <c r="J52" s="1655"/>
      <c r="K52" s="1655"/>
      <c r="L52" s="1835"/>
      <c r="M52" s="1662"/>
      <c r="N52" s="1662"/>
      <c r="P52" s="1657"/>
      <c r="Q52" s="1658"/>
      <c r="R52" s="1657"/>
      <c r="S52" s="1663"/>
      <c r="T52" s="1666" t="s">
        <v>410</v>
      </c>
      <c r="U52" s="1665"/>
      <c r="V52" s="1665"/>
      <c r="W52" s="1665"/>
      <c r="X52" s="1665"/>
      <c r="Y52" s="1665"/>
      <c r="Z52" s="1665"/>
      <c r="AA52" s="1665"/>
      <c r="AB52" s="1665"/>
      <c r="AC52" s="1665"/>
      <c r="AD52" s="1665"/>
      <c r="AE52" s="1665"/>
      <c r="AF52" s="1665"/>
      <c r="AG52" s="1665"/>
      <c r="AH52" s="1665"/>
      <c r="AI52" s="1665"/>
      <c r="AJ52" s="1665"/>
      <c r="AK52" s="1665"/>
      <c r="AL52" s="1665"/>
      <c r="AM52" s="1665"/>
      <c r="AN52" s="1665"/>
      <c r="AO52" s="1665"/>
      <c r="AP52" s="1665"/>
      <c r="AQ52" s="1665"/>
      <c r="AR52" s="1665"/>
      <c r="AS52" s="1665"/>
      <c r="AU52" s="1130"/>
      <c r="AV52" s="1130" t="str">
        <f>IF(T52="","",T52)</f>
        <v>Добавить централизованную систему для дифференциации</v>
      </c>
      <c r="AW52" s="1130"/>
      <c r="AX52" s="1130"/>
      <c r="AY52" s="859">
        <v>0</v>
      </c>
    </row>
    <row s="17316" customFormat="1" customHeight="1" ht="0">
      <c r="A53" s="1684" t="s">
        <v>251</v>
      </c>
      <c r="B53" s="1684"/>
      <c r="C53" s="1684"/>
      <c r="D53" s="1684"/>
      <c r="E53" s="2599"/>
      <c r="F53" s="1684"/>
      <c r="G53" s="1684"/>
      <c r="H53" s="1684"/>
      <c r="I53" s="1684"/>
      <c r="J53" s="1684"/>
      <c r="K53" s="1684"/>
      <c r="L53" s="1687"/>
      <c r="M53" s="1662"/>
      <c r="N53" s="1662"/>
      <c r="O53" s="859"/>
      <c r="P53" s="721"/>
      <c r="Q53" s="1685"/>
      <c r="R53" s="721"/>
      <c r="S53" s="1663"/>
      <c r="T53" s="1666" t="s">
        <v>411</v>
      </c>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U53" s="841"/>
      <c r="AV53" s="841" t="str">
        <f>IF(T53="","",T53)</f>
        <v>Добавить территорию для дифференциации</v>
      </c>
      <c r="AW53" s="841"/>
      <c r="AX53" s="841"/>
      <c r="AY53" s="852">
        <v>0</v>
      </c>
    </row>
    <row s="17316" customFormat="1" customHeight="1" ht="0">
      <c r="A54" s="1655"/>
      <c r="B54" s="1655"/>
      <c r="C54" s="1655"/>
      <c r="D54" s="1655"/>
      <c r="E54" s="1684"/>
      <c r="F54" s="1655"/>
      <c r="G54" s="1655"/>
      <c r="H54" s="1655"/>
      <c r="I54" s="1655"/>
      <c r="J54" s="1655"/>
      <c r="K54" s="1655"/>
      <c r="L54" s="1835"/>
      <c r="M54" s="1662"/>
      <c r="N54" s="1662"/>
      <c r="P54" s="1657"/>
      <c r="Q54" s="1658"/>
      <c r="R54" s="1657"/>
      <c r="S54" s="1663"/>
      <c r="T54" s="1666" t="s">
        <v>443</v>
      </c>
      <c r="U54" s="1665"/>
      <c r="V54" s="1665"/>
      <c r="W54" s="1665"/>
      <c r="X54" s="1665"/>
      <c r="Y54" s="1665"/>
      <c r="Z54" s="1665"/>
      <c r="AA54" s="1665"/>
      <c r="AB54" s="1665"/>
      <c r="AC54" s="1665"/>
      <c r="AD54" s="1665"/>
      <c r="AE54" s="1665"/>
      <c r="AF54" s="1665"/>
      <c r="AG54" s="1665"/>
      <c r="AH54" s="1665"/>
      <c r="AI54" s="1665"/>
      <c r="AJ54" s="1665"/>
      <c r="AK54" s="1665"/>
      <c r="AL54" s="1665"/>
      <c r="AM54" s="1665"/>
      <c r="AN54" s="1665"/>
      <c r="AO54" s="1665"/>
      <c r="AP54" s="1665"/>
      <c r="AQ54" s="1665"/>
      <c r="AR54" s="1665"/>
      <c r="AS54" s="1665"/>
      <c r="AU54" s="1130"/>
      <c r="AV54" s="1130" t="str">
        <f>IF(T54="","",T54)</f>
        <v>Добавить наименование тарифа</v>
      </c>
      <c r="AW54" s="1130"/>
      <c r="AX54" s="1130"/>
      <c r="AY54" s="859">
        <v>0</v>
      </c>
    </row>
    <row customHeight="1" ht="11.549999999999999">
      <c r="M55" s="1501"/>
      <c r="N55" s="1501"/>
      <c r="O55" s="878"/>
      <c r="P55" s="1496"/>
      <c r="Q55" s="1496"/>
      <c r="R55" s="1496"/>
      <c r="S55" s="1496"/>
      <c r="AT55" s="1496"/>
      <c r="AU55" s="1496"/>
      <c r="AV55" s="1496"/>
      <c r="AW55" s="1496"/>
      <c r="AX55" s="1496"/>
      <c r="AY55" s="1496">
        <v>11</v>
      </c>
    </row>
    <row customHeight="1" ht="14.699999999999998">
      <c r="O56" s="878"/>
      <c r="S56" s="1594"/>
      <c r="T56" s="2626"/>
      <c r="U56" s="2626"/>
      <c r="V56" s="2626"/>
      <c r="W56" s="2626"/>
      <c r="X56" s="2626"/>
      <c r="Y56" s="2626"/>
      <c r="Z56" s="2626"/>
      <c r="AA56" s="2626"/>
      <c r="AB56" s="2626"/>
      <c r="AC56" s="2626"/>
      <c r="AD56" s="2626"/>
      <c r="AE56" s="2626"/>
      <c r="AF56" s="2626"/>
      <c r="AG56" s="2626"/>
      <c r="AH56" s="2626"/>
      <c r="AI56" s="2626"/>
      <c r="AJ56" s="2626"/>
      <c r="AK56" s="2626"/>
      <c r="AL56" s="2626"/>
      <c r="AM56" s="2626"/>
      <c r="AN56" s="2626"/>
      <c r="AO56" s="2626"/>
      <c r="AP56" s="2626"/>
      <c r="AQ56" s="2626"/>
      <c r="AR56" s="2626"/>
      <c r="AS56" s="2626"/>
      <c r="AY56" s="1496">
        <v>14</v>
      </c>
    </row>
    <row customHeight="1" ht="14.699999999999998">
      <c r="O57" s="878"/>
      <c r="AY57" s="1496">
        <v>14</v>
      </c>
    </row>
    <row customHeight="1" ht="14.699999999999998">
      <c r="O58" s="878"/>
      <c r="S58" s="1594"/>
      <c r="T58" s="2626"/>
      <c r="U58" s="2626"/>
      <c r="V58" s="2626"/>
      <c r="W58" s="2626"/>
      <c r="X58" s="2626"/>
      <c r="Y58" s="2626"/>
      <c r="Z58" s="2626"/>
      <c r="AA58" s="2626"/>
      <c r="AB58" s="2626"/>
      <c r="AC58" s="2626"/>
      <c r="AD58" s="2626"/>
      <c r="AE58" s="2626"/>
      <c r="AF58" s="2626"/>
      <c r="AG58" s="2626"/>
      <c r="AH58" s="2626"/>
      <c r="AI58" s="2626"/>
      <c r="AJ58" s="2626"/>
      <c r="AK58" s="2626"/>
      <c r="AL58" s="2626"/>
      <c r="AM58" s="2626"/>
      <c r="AN58" s="2626"/>
      <c r="AO58" s="2626"/>
      <c r="AP58" s="2626"/>
      <c r="AQ58" s="2626"/>
      <c r="AR58" s="2626"/>
      <c r="AS58" s="2626"/>
      <c r="AY58" s="1496">
        <v>14</v>
      </c>
    </row>
    <row customHeight="1" ht="22.5" hidden="1">
      <c r="A59" s="1501" t="s">
        <v>82</v>
      </c>
      <c r="B59" s="1501">
        <v>0</v>
      </c>
      <c r="C59" s="1501">
        <v>0</v>
      </c>
      <c r="D59" s="1501">
        <v>0</v>
      </c>
      <c r="E59" s="1501">
        <v>0</v>
      </c>
      <c r="F59" s="1501">
        <v>0</v>
      </c>
      <c r="G59" s="1501">
        <v>0</v>
      </c>
      <c r="H59" s="1501">
        <v>0</v>
      </c>
      <c r="I59" s="1501">
        <v>0</v>
      </c>
      <c r="J59" s="1501">
        <v>0</v>
      </c>
      <c r="K59" s="1501">
        <v>0</v>
      </c>
      <c r="L59" s="1819">
        <v>0</v>
      </c>
      <c r="M59" s="1703">
        <v>0</v>
      </c>
      <c r="N59" s="1703">
        <v>0</v>
      </c>
      <c r="O59" s="1703">
        <v>0</v>
      </c>
      <c r="P59" s="1814">
        <v>3</v>
      </c>
      <c r="Q59" s="685">
        <v>3</v>
      </c>
      <c r="R59" s="685">
        <v>3</v>
      </c>
      <c r="S59" s="922">
        <v>12</v>
      </c>
      <c r="T59" s="1496">
        <v>35</v>
      </c>
      <c r="U59" s="1496">
        <v>0</v>
      </c>
      <c r="V59" s="1496">
        <v>0</v>
      </c>
      <c r="W59" s="1972">
        <v>0</v>
      </c>
      <c r="X59" s="1972">
        <v>0</v>
      </c>
      <c r="Y59" s="1972">
        <v>0</v>
      </c>
      <c r="Z59" s="1972">
        <v>0</v>
      </c>
      <c r="AA59" s="1972">
        <v>0</v>
      </c>
      <c r="AB59" s="1496">
        <v>0</v>
      </c>
      <c r="AC59" s="1496">
        <v>0</v>
      </c>
      <c r="AD59" s="1496">
        <v>0</v>
      </c>
      <c r="AE59" s="1496">
        <v>0</v>
      </c>
      <c r="AF59" s="1496">
        <v>0</v>
      </c>
      <c r="AG59" s="1496">
        <v>19</v>
      </c>
      <c r="AH59" s="1972">
        <v>19</v>
      </c>
      <c r="AI59" s="1972">
        <v>19</v>
      </c>
      <c r="AJ59" s="1972">
        <v>19</v>
      </c>
      <c r="AK59" s="1972">
        <v>19</v>
      </c>
      <c r="AL59" s="1972">
        <v>19</v>
      </c>
      <c r="AM59" s="1496">
        <v>19</v>
      </c>
      <c r="AN59" s="1496">
        <v>11</v>
      </c>
      <c r="AO59" s="1496">
        <v>3</v>
      </c>
      <c r="AP59" s="1496">
        <v>11</v>
      </c>
      <c r="AQ59" s="1496">
        <v>0</v>
      </c>
      <c r="AR59" s="1496">
        <v>4</v>
      </c>
      <c r="AS59" s="1496">
        <v>115</v>
      </c>
      <c r="AT59" s="852">
        <v>10</v>
      </c>
      <c r="AU59" s="852">
        <v>10</v>
      </c>
      <c r="AV59" s="852">
        <v>10</v>
      </c>
      <c r="AW59" s="852">
        <v>10</v>
      </c>
      <c r="AX59" s="852">
        <v>10</v>
      </c>
      <c r="AY59" s="1496">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5A2179-F9B3-9AC7-5059-14F53C027A95}"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7315" width="11.57421875" hidden="1" customWidth="1"/>
    <col min="2" max="2" style="17315" width="11.00390625" hidden="1" customWidth="1"/>
    <col min="3" max="3" style="17315" width="10.57421875" hidden="1"/>
    <col min="4" max="4" style="17315" width="12.8515625" hidden="1" customWidth="1"/>
    <col min="5" max="5" style="17315" width="10.00390625" hidden="1" customWidth="1"/>
    <col min="6" max="6" style="17315" width="8.7109375" hidden="1" customWidth="1"/>
    <col min="7" max="7" style="17315" width="7.57421875" hidden="1" customWidth="1"/>
    <col min="8" max="8" style="17315" width="11.421875" hidden="1" customWidth="1"/>
    <col min="9" max="9" style="17315" width="12.00390625" hidden="1" customWidth="1"/>
    <col min="10" max="10" style="17315" width="9.8515625" hidden="1" customWidth="1"/>
    <col min="11" max="11" style="17315" width="11.421875" hidden="1" customWidth="1"/>
    <col min="12" max="12" style="18076" width="19.140625" hidden="1" customWidth="1"/>
    <col min="13" max="14" style="18077" width="12.28125" hidden="1" customWidth="1"/>
    <col min="15" max="15" style="18077" width="23.421875" hidden="1" customWidth="1"/>
    <col min="16" max="16" style="18077" width="3.7109375" hidden="1" customWidth="1"/>
    <col min="17" max="17" style="18263" width="3.7109375" hidden="1" customWidth="1"/>
    <col min="18" max="18" style="18079" width="3.00390625" customWidth="1"/>
    <col min="19" max="19" style="18080" width="12.00390625" customWidth="1"/>
    <col min="20" max="20" style="17239" width="31.00390625" customWidth="1"/>
    <col min="21" max="21" style="17239" width="0.140625" customWidth="1"/>
    <col min="22" max="25" style="17239" width="21.7109375" hidden="1" customWidth="1"/>
    <col min="26" max="26" style="17239" width="11.7109375" hidden="1" customWidth="1"/>
    <col min="27" max="27" style="17239" width="3.7109375" hidden="1" customWidth="1"/>
    <col min="28" max="28" style="17239" width="11.7109375" hidden="1" customWidth="1"/>
    <col min="29" max="29" style="17239" width="8.57421875" hidden="1" customWidth="1"/>
    <col min="30" max="30" style="17239" width="3.7109375" customWidth="1"/>
    <col min="31" max="32" style="17239" width="3.00390625" customWidth="1"/>
    <col min="33" max="33" style="17239" width="24.00390625" customWidth="1"/>
    <col min="34" max="34" style="17239" width="3.7109375" customWidth="1"/>
    <col min="35" max="36" style="17239" width="3.00390625" customWidth="1"/>
    <col min="37" max="37" style="17239" width="24.00390625" customWidth="1"/>
    <col min="38" max="38" style="17239" width="3.7109375" customWidth="1"/>
    <col min="39" max="40" style="17239" width="3.00390625" customWidth="1"/>
    <col min="41" max="41" style="17239" width="18.00390625" customWidth="1"/>
    <col min="42" max="42" style="17239" width="3.7109375" customWidth="1"/>
    <col min="43" max="44" style="17239" width="3.00390625" customWidth="1"/>
    <col min="45" max="45" style="17239" width="18.00390625" customWidth="1"/>
    <col min="46" max="49" style="17239" width="21.00390625" customWidth="1"/>
    <col min="50" max="50" style="17239" width="11.00390625" customWidth="1"/>
    <col min="51" max="51" style="17239" width="3.7109375" customWidth="1"/>
    <col min="52" max="52" style="17239" width="11.00390625" customWidth="1"/>
    <col min="53" max="53" style="17239" width="8.57421875" hidden="1" customWidth="1"/>
    <col min="54" max="54" style="17239" width="4.00390625" customWidth="1"/>
    <col min="55" max="55" style="17239" width="115.00390625" customWidth="1"/>
    <col min="56" max="60" style="17316" width="10.00390625" customWidth="1"/>
    <col min="61" max="61" style="17239" width="10.57421875" hidden="1"/>
  </cols>
  <sheetData>
    <row customHeight="1" ht="22.5" hidden="1">
      <c r="W1" s="668"/>
      <c r="Y1" s="668"/>
      <c r="Z1" s="668"/>
      <c r="AW1" s="668"/>
      <c r="AX1" s="668"/>
      <c r="BI1" s="1496" t="s">
        <v>14</v>
      </c>
    </row>
    <row customHeight="1" ht="21" hidden="1">
      <c r="A2" s="1704"/>
      <c r="B2" s="1704"/>
      <c r="C2" s="1704"/>
      <c r="D2" s="1704"/>
      <c r="E2" s="2599">
        <v>1</v>
      </c>
      <c r="F2" s="1704"/>
      <c r="G2" s="1704"/>
      <c r="H2" s="1704"/>
      <c r="I2" s="1704"/>
      <c r="J2" s="1704"/>
      <c r="K2" s="1704"/>
      <c r="L2" s="1705"/>
      <c r="M2" s="1706"/>
      <c r="N2" s="1706"/>
      <c r="O2" s="1706"/>
      <c r="P2" s="1750"/>
      <c r="Q2" s="1214"/>
      <c r="R2" s="696"/>
      <c r="S2" s="1834">
        <f>INDEX(PT_DIFFERENTIATION_NUM_NTAR,MATCH(A2,PT_DIFFERENTIATION_NTAR_ID,0))</f>
      </c>
      <c r="T2" s="639" t="s">
        <v>120</v>
      </c>
      <c r="U2" s="641"/>
      <c r="V2" s="2584"/>
      <c r="W2" s="2584"/>
      <c r="X2" s="2584"/>
      <c r="Y2" s="2584"/>
      <c r="Z2" s="2584"/>
      <c r="AA2" s="2584"/>
      <c r="AB2" s="2584"/>
      <c r="AC2" s="2585"/>
      <c r="AD2" s="2583">
        <f>INDEX(PT_DIFFERENTIATION_NTAR,MATCH(A2,PT_DIFFERENTIATION_NTAR_ID,0))</f>
      </c>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5"/>
      <c r="BC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1"/>
      <c r="BF2" s="841" t="str">
        <f>IF(T2="","",T2)</f>
        <v>Наименование тарифа</v>
      </c>
      <c r="BG2" s="841"/>
      <c r="BH2" s="841"/>
      <c r="BI2" s="1496">
        <v>0</v>
      </c>
    </row>
    <row customHeight="1" ht="21" hidden="1">
      <c r="A3" s="1704"/>
      <c r="B3" s="1704"/>
      <c r="C3" s="1704"/>
      <c r="D3" s="1704"/>
      <c r="E3" s="2600"/>
      <c r="F3" s="2599">
        <v>1</v>
      </c>
      <c r="G3" s="1704"/>
      <c r="H3" s="1704"/>
      <c r="I3" s="1704"/>
      <c r="J3" s="1704"/>
      <c r="K3" s="1704"/>
      <c r="L3" s="1705"/>
      <c r="M3" s="1706"/>
      <c r="N3" s="1706"/>
      <c r="O3" s="1706"/>
      <c r="P3" s="1751"/>
      <c r="Q3" s="1752"/>
      <c r="R3" s="694"/>
      <c r="S3" s="1834">
        <f>INDEX(PT_DIFFERENTIATION_NUM_TER,MATCH(B3,PT_DIFFERENTIATION_TER_ID,0))</f>
      </c>
      <c r="T3" s="649" t="s">
        <v>392</v>
      </c>
      <c r="U3" s="641"/>
      <c r="V3" s="2584"/>
      <c r="W3" s="2584"/>
      <c r="X3" s="2584"/>
      <c r="Y3" s="2584"/>
      <c r="Z3" s="2584"/>
      <c r="AA3" s="2584"/>
      <c r="AB3" s="2584"/>
      <c r="AC3" s="2585"/>
      <c r="AD3" s="2583">
        <f>INDEX(PT_DIFFERENTIATION_TER,MATCH(B3,PT_DIFFERENTIATION_TER_ID,0))</f>
      </c>
      <c r="AE3" s="2584"/>
      <c r="AF3" s="2584"/>
      <c r="AG3" s="2584"/>
      <c r="AH3" s="2584"/>
      <c r="AI3" s="2584"/>
      <c r="AJ3" s="2584"/>
      <c r="AK3" s="2584"/>
      <c r="AL3" s="2584"/>
      <c r="AM3" s="2584"/>
      <c r="AN3" s="2584"/>
      <c r="AO3" s="2584"/>
      <c r="AP3" s="2584"/>
      <c r="AQ3" s="2584"/>
      <c r="AR3" s="2584"/>
      <c r="AS3" s="2584"/>
      <c r="AT3" s="2584"/>
      <c r="AU3" s="2584"/>
      <c r="AV3" s="2584"/>
      <c r="AW3" s="2584"/>
      <c r="AX3" s="2584"/>
      <c r="AY3" s="2584"/>
      <c r="AZ3" s="2584"/>
      <c r="BA3" s="2584"/>
      <c r="BB3" s="2585"/>
      <c r="BC3" s="1599" t="s">
        <v>393</v>
      </c>
      <c r="BE3" s="841"/>
      <c r="BF3" s="841" t="str">
        <f>IF(T3="","",T3)</f>
        <v>Территория действия тарифа</v>
      </c>
      <c r="BG3" s="841"/>
      <c r="BH3" s="841"/>
      <c r="BI3" s="1496">
        <v>0</v>
      </c>
    </row>
    <row customHeight="1" ht="33.75" hidden="1">
      <c r="A4" s="1704"/>
      <c r="B4" s="1704"/>
      <c r="C4" s="1704"/>
      <c r="D4" s="1704"/>
      <c r="E4" s="2600"/>
      <c r="F4" s="2600"/>
      <c r="G4" s="2599">
        <v>1</v>
      </c>
      <c r="H4" s="1704"/>
      <c r="I4" s="1704"/>
      <c r="J4" s="1704"/>
      <c r="K4" s="1704"/>
      <c r="L4" s="1705"/>
      <c r="M4" s="1706"/>
      <c r="N4" s="1706"/>
      <c r="O4" s="1706"/>
      <c r="P4" s="1753"/>
      <c r="Q4" s="1752"/>
      <c r="R4" s="694"/>
      <c r="S4" s="1834">
        <f>INDEX(PT_DIFFERENTIATION_NUM_CS,MATCH(C4,PT_DIFFERENTIATION_CS_ID,0))</f>
      </c>
      <c r="T4" s="650" t="s">
        <v>525</v>
      </c>
      <c r="U4" s="641"/>
      <c r="V4" s="2584"/>
      <c r="W4" s="2584"/>
      <c r="X4" s="2584"/>
      <c r="Y4" s="2584"/>
      <c r="Z4" s="2584"/>
      <c r="AA4" s="2584"/>
      <c r="AB4" s="2584"/>
      <c r="AC4" s="2585"/>
      <c r="AD4" s="2583">
        <f>INDEX(PT_DIFFERENTIATION_CS,MATCH(C4,PT_DIFFERENTIATION_CS_ID,0))</f>
      </c>
      <c r="AE4" s="2584"/>
      <c r="AF4" s="2584"/>
      <c r="AG4" s="2584"/>
      <c r="AH4" s="2584"/>
      <c r="AI4" s="2584"/>
      <c r="AJ4" s="2584"/>
      <c r="AK4" s="2584"/>
      <c r="AL4" s="2584"/>
      <c r="AM4" s="2584"/>
      <c r="AN4" s="2584"/>
      <c r="AO4" s="2584"/>
      <c r="AP4" s="2584"/>
      <c r="AQ4" s="2584"/>
      <c r="AR4" s="2584"/>
      <c r="AS4" s="2584"/>
      <c r="AT4" s="2584"/>
      <c r="AU4" s="2584"/>
      <c r="AV4" s="2584"/>
      <c r="AW4" s="2584"/>
      <c r="AX4" s="2584"/>
      <c r="AY4" s="2584"/>
      <c r="AZ4" s="2584"/>
      <c r="BA4" s="2584"/>
      <c r="BB4" s="2585"/>
      <c r="BC4" s="1599" t="s">
        <v>526</v>
      </c>
      <c r="BE4" s="841"/>
      <c r="BF4" s="841" t="str">
        <f>IF(T4="","",T4)</f>
        <v>Наименование централизованной системы горячего водоснабжения</v>
      </c>
      <c r="BG4" s="841"/>
      <c r="BH4" s="841"/>
      <c r="BI4" s="1496">
        <v>0</v>
      </c>
    </row>
    <row s="17316" customFormat="1" customHeight="1" ht="14.25" hidden="1">
      <c r="A5" s="1684"/>
      <c r="B5" s="1684"/>
      <c r="C5" s="1684"/>
      <c r="D5" s="1684"/>
      <c r="E5" s="2600"/>
      <c r="F5" s="2600"/>
      <c r="G5" s="2600"/>
      <c r="H5" s="2599">
        <v>1</v>
      </c>
      <c r="I5" s="1684"/>
      <c r="J5" s="1684"/>
      <c r="K5" s="1684"/>
      <c r="L5" s="1687"/>
      <c r="M5" s="1656"/>
      <c r="N5" s="1656"/>
      <c r="O5" s="1656"/>
      <c r="P5" s="1838"/>
      <c r="Q5" s="1839"/>
      <c r="R5" s="698"/>
      <c r="S5" s="1383"/>
      <c r="T5" s="1840"/>
      <c r="U5" s="1725"/>
      <c r="V5" s="2638"/>
      <c r="W5" s="2638"/>
      <c r="X5" s="2638"/>
      <c r="Y5" s="2638"/>
      <c r="Z5" s="2638"/>
      <c r="AA5" s="2638"/>
      <c r="AB5" s="2638"/>
      <c r="AC5" s="2639"/>
      <c r="AD5" s="2637"/>
      <c r="AE5" s="2638"/>
      <c r="AF5" s="2638"/>
      <c r="AG5" s="2638"/>
      <c r="AH5" s="2638"/>
      <c r="AI5" s="2638"/>
      <c r="AJ5" s="2638"/>
      <c r="AK5" s="2638"/>
      <c r="AL5" s="2638"/>
      <c r="AM5" s="2638"/>
      <c r="AN5" s="2638"/>
      <c r="AO5" s="2638"/>
      <c r="AP5" s="2638"/>
      <c r="AQ5" s="2638"/>
      <c r="AR5" s="2638"/>
      <c r="AS5" s="2638"/>
      <c r="AT5" s="2638"/>
      <c r="AU5" s="2638"/>
      <c r="AV5" s="2638"/>
      <c r="AW5" s="2638"/>
      <c r="AX5" s="2638"/>
      <c r="AY5" s="2638"/>
      <c r="AZ5" s="2638"/>
      <c r="BA5" s="2638"/>
      <c r="BB5" s="2639"/>
      <c r="BC5" s="1726" t="s">
        <v>397</v>
      </c>
      <c r="BE5" s="841"/>
      <c r="BF5" s="841" t="str">
        <f>IF(T5="","",T5)</f>
        <v/>
      </c>
      <c r="BG5" s="841"/>
      <c r="BH5" s="841"/>
      <c r="BI5" s="852">
        <v>0</v>
      </c>
    </row>
    <row s="17316" customFormat="1" customHeight="1" ht="14.25" hidden="1">
      <c r="A6" s="1684"/>
      <c r="B6" s="1684"/>
      <c r="C6" s="1684"/>
      <c r="D6" s="1684"/>
      <c r="E6" s="2600"/>
      <c r="F6" s="2600"/>
      <c r="G6" s="2600"/>
      <c r="H6" s="2600"/>
      <c r="I6" s="2597" t="str">
        <f>S5&amp;".1"</f>
        <v>.1</v>
      </c>
      <c r="J6" s="1684"/>
      <c r="K6" s="1684"/>
      <c r="L6" s="1687" t="s">
        <v>398</v>
      </c>
      <c r="M6" s="851"/>
      <c r="N6" s="851"/>
      <c r="O6" s="851"/>
      <c r="P6" s="2598">
        <v>1</v>
      </c>
      <c r="Q6" s="1822"/>
      <c r="R6" s="697"/>
      <c r="S6" s="1383"/>
      <c r="T6" s="1724"/>
      <c r="U6" s="1725"/>
      <c r="V6" s="2638"/>
      <c r="W6" s="2638"/>
      <c r="X6" s="2638"/>
      <c r="Y6" s="2638"/>
      <c r="Z6" s="2638"/>
      <c r="AA6" s="2638"/>
      <c r="AB6" s="2638"/>
      <c r="AC6" s="2639"/>
      <c r="AD6" s="2637"/>
      <c r="AE6" s="2638"/>
      <c r="AF6" s="2638"/>
      <c r="AG6" s="2638"/>
      <c r="AH6" s="2638"/>
      <c r="AI6" s="2638"/>
      <c r="AJ6" s="2638"/>
      <c r="AK6" s="2638"/>
      <c r="AL6" s="2638"/>
      <c r="AM6" s="2638"/>
      <c r="AN6" s="2638"/>
      <c r="AO6" s="2638"/>
      <c r="AP6" s="2638"/>
      <c r="AQ6" s="2638"/>
      <c r="AR6" s="2638"/>
      <c r="AS6" s="2638"/>
      <c r="AT6" s="2638"/>
      <c r="AU6" s="2638"/>
      <c r="AV6" s="2638"/>
      <c r="AW6" s="2638"/>
      <c r="AX6" s="2638"/>
      <c r="AY6" s="2638"/>
      <c r="AZ6" s="2638"/>
      <c r="BA6" s="2638"/>
      <c r="BB6" s="2639"/>
      <c r="BC6" s="1726"/>
      <c r="BE6" s="841"/>
      <c r="BF6" s="841" t="str">
        <f>IF(T6="","",T6)</f>
        <v/>
      </c>
      <c r="BG6" s="841"/>
      <c r="BH6" s="841"/>
      <c r="BI6" s="852">
        <v>0</v>
      </c>
    </row>
    <row s="17316" customFormat="1" customHeight="1" ht="14.25" hidden="1">
      <c r="A7" s="1684"/>
      <c r="B7" s="1684"/>
      <c r="C7" s="1684"/>
      <c r="D7" s="1684"/>
      <c r="E7" s="2600"/>
      <c r="F7" s="2600"/>
      <c r="G7" s="2600"/>
      <c r="H7" s="2600"/>
      <c r="I7" s="2627"/>
      <c r="J7" s="2597" t="str">
        <f>S5&amp;".1"</f>
        <v>.1</v>
      </c>
      <c r="K7" s="1684"/>
      <c r="L7" s="1687"/>
      <c r="M7" s="851"/>
      <c r="N7" s="851"/>
      <c r="O7" s="851"/>
      <c r="P7" s="2598"/>
      <c r="Q7" s="2598">
        <v>1</v>
      </c>
      <c r="R7" s="698"/>
      <c r="S7" s="1383"/>
      <c r="T7" s="1740"/>
      <c r="U7" s="1725"/>
      <c r="V7" s="2638"/>
      <c r="W7" s="2638"/>
      <c r="X7" s="2638"/>
      <c r="Y7" s="2638"/>
      <c r="Z7" s="2638"/>
      <c r="AA7" s="2638"/>
      <c r="AB7" s="2638"/>
      <c r="AC7" s="2639"/>
      <c r="AD7" s="2637"/>
      <c r="AE7" s="2638"/>
      <c r="AF7" s="2638"/>
      <c r="AG7" s="2638"/>
      <c r="AH7" s="2638"/>
      <c r="AI7" s="2638"/>
      <c r="AJ7" s="2638"/>
      <c r="AK7" s="2638"/>
      <c r="AL7" s="2638"/>
      <c r="AM7" s="2638"/>
      <c r="AN7" s="2638"/>
      <c r="AO7" s="2638"/>
      <c r="AP7" s="2638"/>
      <c r="AQ7" s="2638"/>
      <c r="AR7" s="2638"/>
      <c r="AS7" s="2638"/>
      <c r="AT7" s="2638"/>
      <c r="AU7" s="2638"/>
      <c r="AV7" s="2638"/>
      <c r="AW7" s="2638"/>
      <c r="AX7" s="2638"/>
      <c r="AY7" s="2638"/>
      <c r="AZ7" s="2638"/>
      <c r="BA7" s="2638"/>
      <c r="BB7" s="2639"/>
      <c r="BC7" s="1726"/>
      <c r="BE7" s="841"/>
      <c r="BF7" s="841" t="str">
        <f>IF(T7="","",T7)</f>
        <v/>
      </c>
      <c r="BG7" s="841"/>
      <c r="BH7" s="841"/>
      <c r="BI7" s="852">
        <v>0</v>
      </c>
    </row>
    <row customHeight="1" ht="11.25" hidden="1">
      <c r="A8" s="1704"/>
      <c r="B8" s="1704"/>
      <c r="C8" s="1704"/>
      <c r="D8" s="1704"/>
      <c r="E8" s="2600"/>
      <c r="F8" s="2600"/>
      <c r="G8" s="2600"/>
      <c r="H8" s="2600"/>
      <c r="I8" s="2627"/>
      <c r="J8" s="2627"/>
      <c r="K8" s="2597">
        <f>S4&amp;".1"</f>
      </c>
      <c r="L8" s="1705"/>
      <c r="P8" s="2598"/>
      <c r="Q8" s="2598"/>
      <c r="R8" s="2688">
        <v>1</v>
      </c>
      <c r="S8" s="2682">
        <f>$K8</f>
      </c>
      <c r="T8" s="2701"/>
      <c r="U8" s="641"/>
      <c r="V8" s="1092"/>
      <c r="W8" s="1598"/>
      <c r="X8" s="1092"/>
      <c r="Y8" s="1598"/>
      <c r="Z8" s="2075"/>
      <c r="AA8" s="1810" t="s">
        <v>65</v>
      </c>
      <c r="AB8" s="2075"/>
      <c r="AC8" s="1810" t="s">
        <v>65</v>
      </c>
      <c r="AD8" s="2526" t="s">
        <v>65</v>
      </c>
      <c r="AE8" s="2667"/>
      <c r="AF8" s="2546">
        <v>1</v>
      </c>
      <c r="AG8" s="2704"/>
      <c r="AH8" s="2448" t="s">
        <v>65</v>
      </c>
      <c r="AI8" s="2667"/>
      <c r="AJ8" s="2546">
        <v>1</v>
      </c>
      <c r="AK8" s="2668" t="s">
        <v>22</v>
      </c>
      <c r="AL8" s="2448" t="s">
        <v>65</v>
      </c>
      <c r="AM8" s="2533"/>
      <c r="AN8" s="2546">
        <v>1</v>
      </c>
      <c r="AO8" s="2698"/>
      <c r="AP8" s="2699" t="s">
        <v>65</v>
      </c>
      <c r="AQ8" s="652"/>
      <c r="AR8" s="1827">
        <v>1</v>
      </c>
      <c r="AS8" s="1833" t="s">
        <v>22</v>
      </c>
      <c r="AT8" s="1092"/>
      <c r="AU8" s="1598"/>
      <c r="AV8" s="1092"/>
      <c r="AW8" s="1598"/>
      <c r="AX8" s="2075"/>
      <c r="AY8" s="1810" t="s">
        <v>65</v>
      </c>
      <c r="AZ8" s="2075"/>
      <c r="BA8" s="1810" t="s">
        <v>65</v>
      </c>
      <c r="BB8" s="1689"/>
      <c r="BC8" s="2594" t="s">
        <v>496</v>
      </c>
      <c r="BE8" s="841"/>
      <c r="BF8" s="841" t="str">
        <f>IF(T8="","",T8)</f>
        <v/>
      </c>
      <c r="BG8" s="841"/>
      <c r="BH8" s="841"/>
      <c r="BI8" s="1496">
        <v>0</v>
      </c>
    </row>
    <row customHeight="1" ht="11.25" hidden="1">
      <c r="A9" s="1704"/>
      <c r="B9" s="1704"/>
      <c r="C9" s="1704"/>
      <c r="D9" s="1704"/>
      <c r="E9" s="2600"/>
      <c r="F9" s="2600"/>
      <c r="G9" s="2600"/>
      <c r="H9" s="2600"/>
      <c r="I9" s="2627"/>
      <c r="J9" s="2627"/>
      <c r="K9" s="2597"/>
      <c r="L9" s="1705"/>
      <c r="P9" s="2598"/>
      <c r="Q9" s="2598"/>
      <c r="R9" s="2688"/>
      <c r="S9" s="2683"/>
      <c r="T9" s="2702"/>
      <c r="U9" s="641"/>
      <c r="V9" s="1734"/>
      <c r="W9" s="1837"/>
      <c r="X9" s="1734"/>
      <c r="Y9" s="1837"/>
      <c r="Z9" s="1734"/>
      <c r="AA9" s="1734"/>
      <c r="AB9" s="1734"/>
      <c r="AC9" s="1734"/>
      <c r="AD9" s="2527"/>
      <c r="AE9" s="2667"/>
      <c r="AF9" s="2546"/>
      <c r="AG9" s="2704"/>
      <c r="AH9" s="2448"/>
      <c r="AI9" s="2667"/>
      <c r="AJ9" s="2546"/>
      <c r="AK9" s="2668"/>
      <c r="AL9" s="2448"/>
      <c r="AM9" s="2541"/>
      <c r="AN9" s="2546"/>
      <c r="AO9" s="2698"/>
      <c r="AP9" s="2700"/>
      <c r="AQ9" s="657"/>
      <c r="AR9" s="757"/>
      <c r="AS9" s="757" t="s">
        <v>497</v>
      </c>
      <c r="AT9" s="1734"/>
      <c r="AU9" s="1837"/>
      <c r="AV9" s="1734"/>
      <c r="AW9" s="1837"/>
      <c r="AX9" s="1734"/>
      <c r="AY9" s="1734"/>
      <c r="AZ9" s="1734"/>
      <c r="BA9" s="1734"/>
      <c r="BB9" s="1738"/>
      <c r="BC9" s="2595"/>
      <c r="BE9" s="841"/>
      <c r="BF9" s="841"/>
      <c r="BG9" s="841"/>
      <c r="BH9" s="841"/>
      <c r="BI9" s="1496">
        <v>0</v>
      </c>
    </row>
    <row customHeight="1" ht="11.25" hidden="1">
      <c r="A10" s="1704"/>
      <c r="B10" s="1704"/>
      <c r="C10" s="1704"/>
      <c r="D10" s="1704"/>
      <c r="E10" s="2600"/>
      <c r="F10" s="2600"/>
      <c r="G10" s="2600"/>
      <c r="H10" s="2600"/>
      <c r="I10" s="2627"/>
      <c r="J10" s="2627"/>
      <c r="K10" s="2597"/>
      <c r="L10" s="1705"/>
      <c r="P10" s="2598"/>
      <c r="Q10" s="2598"/>
      <c r="R10" s="2688"/>
      <c r="S10" s="2683"/>
      <c r="T10" s="2702"/>
      <c r="U10" s="641"/>
      <c r="V10" s="1734"/>
      <c r="W10" s="1837"/>
      <c r="X10" s="1734"/>
      <c r="Y10" s="1837"/>
      <c r="Z10" s="1734"/>
      <c r="AA10" s="1734"/>
      <c r="AB10" s="1734"/>
      <c r="AC10" s="1734"/>
      <c r="AD10" s="2527"/>
      <c r="AE10" s="2667"/>
      <c r="AF10" s="2546"/>
      <c r="AG10" s="2704"/>
      <c r="AH10" s="2448"/>
      <c r="AI10" s="2667"/>
      <c r="AJ10" s="2546"/>
      <c r="AK10" s="2668"/>
      <c r="AL10" s="2448"/>
      <c r="AM10" s="657"/>
      <c r="AN10" s="1841"/>
      <c r="AO10" s="1841" t="s">
        <v>498</v>
      </c>
      <c r="AP10" s="757"/>
      <c r="AQ10" s="757"/>
      <c r="AR10" s="757"/>
      <c r="AS10" s="1734"/>
      <c r="AT10" s="1734"/>
      <c r="AU10" s="1837"/>
      <c r="AV10" s="1734"/>
      <c r="AW10" s="1837"/>
      <c r="AX10" s="1734"/>
      <c r="AY10" s="1734"/>
      <c r="AZ10" s="1734"/>
      <c r="BA10" s="1734"/>
      <c r="BB10" s="1738"/>
      <c r="BC10" s="2595"/>
      <c r="BE10" s="841"/>
      <c r="BF10" s="841"/>
      <c r="BG10" s="841"/>
      <c r="BH10" s="841"/>
      <c r="BI10" s="1496">
        <v>0</v>
      </c>
    </row>
    <row customHeight="1" ht="11.25" hidden="1">
      <c r="A11" s="1704"/>
      <c r="B11" s="1704"/>
      <c r="C11" s="1704"/>
      <c r="D11" s="1704"/>
      <c r="E11" s="2600"/>
      <c r="F11" s="2600"/>
      <c r="G11" s="2600"/>
      <c r="H11" s="2600"/>
      <c r="I11" s="2627"/>
      <c r="J11" s="2627"/>
      <c r="K11" s="2597"/>
      <c r="L11" s="1705"/>
      <c r="P11" s="2598"/>
      <c r="Q11" s="2598"/>
      <c r="R11" s="2688"/>
      <c r="S11" s="2683"/>
      <c r="T11" s="2702"/>
      <c r="U11" s="641"/>
      <c r="V11" s="1734"/>
      <c r="W11" s="1837"/>
      <c r="X11" s="1734"/>
      <c r="Y11" s="1837"/>
      <c r="Z11" s="1734"/>
      <c r="AA11" s="1734"/>
      <c r="AB11" s="1734"/>
      <c r="AC11" s="1734"/>
      <c r="AD11" s="2527"/>
      <c r="AE11" s="2667"/>
      <c r="AF11" s="2546"/>
      <c r="AG11" s="2704"/>
      <c r="AH11" s="2448"/>
      <c r="AI11" s="635"/>
      <c r="AJ11" s="756"/>
      <c r="AK11" s="654" t="s">
        <v>499</v>
      </c>
      <c r="AL11" s="1734"/>
      <c r="AM11" s="1734"/>
      <c r="AN11" s="1734"/>
      <c r="AO11" s="1734"/>
      <c r="AP11" s="1734"/>
      <c r="AQ11" s="1734"/>
      <c r="AR11" s="1734"/>
      <c r="AS11" s="1734"/>
      <c r="AT11" s="1734"/>
      <c r="AU11" s="1837"/>
      <c r="AV11" s="1734"/>
      <c r="AW11" s="1837"/>
      <c r="AX11" s="1734"/>
      <c r="AY11" s="1734"/>
      <c r="AZ11" s="1734"/>
      <c r="BA11" s="1734"/>
      <c r="BB11" s="1738"/>
      <c r="BC11" s="2595"/>
      <c r="BE11" s="841"/>
      <c r="BF11" s="841"/>
      <c r="BG11" s="841"/>
      <c r="BH11" s="841"/>
      <c r="BI11" s="1496">
        <v>0</v>
      </c>
    </row>
    <row customHeight="1" ht="11.25" hidden="1">
      <c r="A12" s="1704"/>
      <c r="B12" s="1704"/>
      <c r="C12" s="1704"/>
      <c r="D12" s="1704"/>
      <c r="E12" s="2600"/>
      <c r="F12" s="2600"/>
      <c r="G12" s="2600"/>
      <c r="H12" s="2600"/>
      <c r="I12" s="2627"/>
      <c r="J12" s="2627"/>
      <c r="K12" s="2597"/>
      <c r="L12" s="1705"/>
      <c r="P12" s="2598"/>
      <c r="Q12" s="2598"/>
      <c r="R12" s="2688"/>
      <c r="S12" s="2684"/>
      <c r="T12" s="2703"/>
      <c r="U12" s="641"/>
      <c r="V12" s="1734"/>
      <c r="W12" s="1735" t="str">
        <f>Z8&amp;"-"&amp;AB8</f>
        <v>-</v>
      </c>
      <c r="X12" s="1734"/>
      <c r="Y12" s="1735" t="str">
        <f>AB8&amp;"-"&amp;AD8</f>
        <v>-да</v>
      </c>
      <c r="Z12" s="1734"/>
      <c r="AA12" s="1734"/>
      <c r="AB12" s="1734"/>
      <c r="AC12" s="1734"/>
      <c r="AD12" s="2453"/>
      <c r="AE12" s="653"/>
      <c r="AF12" s="655"/>
      <c r="AG12" s="757" t="s">
        <v>500</v>
      </c>
      <c r="AH12" s="1734"/>
      <c r="AI12" s="1734"/>
      <c r="AJ12" s="1734"/>
      <c r="AK12" s="1734"/>
      <c r="AL12" s="1734"/>
      <c r="AM12" s="1734"/>
      <c r="AN12" s="1734"/>
      <c r="AO12" s="1734"/>
      <c r="AP12" s="1734"/>
      <c r="AQ12" s="1734"/>
      <c r="AR12" s="1734"/>
      <c r="AS12" s="1734"/>
      <c r="AT12" s="1734"/>
      <c r="AU12" s="1735" t="str">
        <f>AX8&amp;"-"&amp;AZ8</f>
        <v>-</v>
      </c>
      <c r="AV12" s="1734"/>
      <c r="AW12" s="1735" t="str">
        <f>AZ8&amp;"-"&amp;BB8</f>
        <v>-</v>
      </c>
      <c r="AX12" s="1734"/>
      <c r="AY12" s="1734"/>
      <c r="AZ12" s="1734"/>
      <c r="BA12" s="1734"/>
      <c r="BB12" s="1737" t="str">
        <f>BE8&amp;"-"&amp;BG8</f>
        <v>-</v>
      </c>
      <c r="BC12" s="2595"/>
      <c r="BE12" s="841"/>
      <c r="BF12" s="841" t="str">
        <f>IF(T12="","",T12)</f>
        <v/>
      </c>
      <c r="BG12" s="841"/>
      <c r="BH12" s="841"/>
      <c r="BI12" s="1496">
        <v>0</v>
      </c>
    </row>
    <row customHeight="1" ht="11.25" hidden="1">
      <c r="A13" s="1704"/>
      <c r="B13" s="1704"/>
      <c r="C13" s="1704"/>
      <c r="D13" s="1704"/>
      <c r="E13" s="2600"/>
      <c r="F13" s="2600"/>
      <c r="G13" s="2600"/>
      <c r="H13" s="2600"/>
      <c r="I13" s="2627"/>
      <c r="J13" s="2597"/>
      <c r="K13" s="1704"/>
      <c r="L13" s="1705"/>
      <c r="P13" s="2598"/>
      <c r="Q13" s="2598"/>
      <c r="R13" s="697"/>
      <c r="S13" s="1619"/>
      <c r="T13" s="628" t="s">
        <v>463</v>
      </c>
      <c r="U13" s="708"/>
      <c r="V13" s="708"/>
      <c r="W13" s="708"/>
      <c r="X13" s="708"/>
      <c r="Y13" s="708"/>
      <c r="Z13" s="708"/>
      <c r="AA13" s="708"/>
      <c r="AB13" s="708"/>
      <c r="AC13" s="708"/>
      <c r="AD13" s="1846"/>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665"/>
      <c r="BC13" s="2596"/>
      <c r="BE13" s="841"/>
      <c r="BF13" s="841" t="str">
        <f>IF(T13="","",T13)</f>
        <v>Добавить строку</v>
      </c>
      <c r="BG13" s="841"/>
      <c r="BH13" s="841"/>
      <c r="BI13" s="1496">
        <v>0</v>
      </c>
    </row>
    <row s="17316" customFormat="1" customHeight="1" ht="14.25" hidden="1">
      <c r="A14" s="1684"/>
      <c r="B14" s="1684"/>
      <c r="C14" s="1684"/>
      <c r="D14" s="1684"/>
      <c r="E14" s="2600"/>
      <c r="F14" s="2600"/>
      <c r="G14" s="2600"/>
      <c r="H14" s="2600"/>
      <c r="I14" s="2597"/>
      <c r="J14" s="1684"/>
      <c r="K14" s="1684"/>
      <c r="L14" s="1687"/>
      <c r="M14" s="851"/>
      <c r="N14" s="851"/>
      <c r="O14" s="851"/>
      <c r="P14" s="2598"/>
      <c r="Q14" s="1822"/>
      <c r="R14" s="697"/>
      <c r="S14" s="1727"/>
      <c r="T14" s="1728"/>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1729"/>
      <c r="AU14" s="1729"/>
      <c r="AV14" s="1729"/>
      <c r="AW14" s="1729"/>
      <c r="AX14" s="1729"/>
      <c r="AY14" s="1729"/>
      <c r="AZ14" s="1729"/>
      <c r="BA14" s="1729"/>
      <c r="BB14" s="1729"/>
      <c r="BC14" s="1730"/>
      <c r="BE14" s="841"/>
      <c r="BF14" s="841" t="str">
        <f>IF(T14="","",T14)</f>
        <v/>
      </c>
      <c r="BG14" s="841"/>
      <c r="BH14" s="841"/>
      <c r="BI14" s="852">
        <v>0</v>
      </c>
    </row>
    <row s="17316" customFormat="1" customHeight="1" ht="14.25" hidden="1">
      <c r="A15" s="1684"/>
      <c r="B15" s="1684"/>
      <c r="C15" s="1684"/>
      <c r="D15" s="1684"/>
      <c r="E15" s="2600"/>
      <c r="F15" s="2600"/>
      <c r="G15" s="2600"/>
      <c r="H15" s="2599"/>
      <c r="I15" s="1684"/>
      <c r="J15" s="1684"/>
      <c r="K15" s="1684"/>
      <c r="L15" s="1687"/>
      <c r="M15" s="1656"/>
      <c r="N15" s="1656"/>
      <c r="O15" s="859"/>
      <c r="P15" s="721"/>
      <c r="Q15" s="1685"/>
      <c r="R15" s="1742"/>
      <c r="S15" s="1727"/>
      <c r="T15" s="1728"/>
      <c r="U15" s="1729"/>
      <c r="V15" s="1729"/>
      <c r="W15" s="1729"/>
      <c r="X15" s="1729"/>
      <c r="Y15" s="1729"/>
      <c r="Z15" s="1729"/>
      <c r="AA15" s="1729"/>
      <c r="AB15" s="1729"/>
      <c r="AC15" s="1729"/>
      <c r="AD15" s="1729"/>
      <c r="AE15" s="1729"/>
      <c r="AF15" s="1729"/>
      <c r="AG15" s="1729"/>
      <c r="AH15" s="1729"/>
      <c r="AI15" s="1729"/>
      <c r="AJ15" s="1729"/>
      <c r="AK15" s="1729"/>
      <c r="AL15" s="1729"/>
      <c r="AM15" s="1729"/>
      <c r="AN15" s="1729"/>
      <c r="AO15" s="1729"/>
      <c r="AP15" s="1729"/>
      <c r="AQ15" s="1729"/>
      <c r="AR15" s="1729"/>
      <c r="AS15" s="1729"/>
      <c r="AT15" s="1729"/>
      <c r="AU15" s="1729"/>
      <c r="AV15" s="1729"/>
      <c r="AW15" s="1729"/>
      <c r="AX15" s="1729"/>
      <c r="AY15" s="1729"/>
      <c r="AZ15" s="1729"/>
      <c r="BA15" s="1729"/>
      <c r="BB15" s="1729"/>
      <c r="BC15" s="1730"/>
      <c r="BE15" s="841"/>
      <c r="BF15" s="841" t="str">
        <f>IF(T15="","",T15)</f>
        <v/>
      </c>
      <c r="BG15" s="841"/>
      <c r="BH15" s="841"/>
      <c r="BI15" s="852">
        <v>0</v>
      </c>
    </row>
    <row s="17316" customFormat="1" customHeight="1" ht="14.25" hidden="1">
      <c r="A16" s="1684"/>
      <c r="B16" s="1684"/>
      <c r="C16" s="1684"/>
      <c r="D16" s="1655"/>
      <c r="E16" s="2600"/>
      <c r="F16" s="2600"/>
      <c r="G16" s="2599"/>
      <c r="H16" s="1655"/>
      <c r="I16" s="1655"/>
      <c r="J16" s="1655"/>
      <c r="K16" s="1655"/>
      <c r="L16" s="1835"/>
      <c r="M16" s="1656"/>
      <c r="N16" s="1656"/>
      <c r="P16" s="1657"/>
      <c r="Q16" s="1658"/>
      <c r="R16" s="1657"/>
      <c r="S16" s="1663"/>
      <c r="T16" s="1666"/>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V16" s="1665"/>
      <c r="AW16" s="1665"/>
      <c r="AX16" s="1665"/>
      <c r="AY16" s="1665"/>
      <c r="AZ16" s="1665"/>
      <c r="BA16" s="1665"/>
      <c r="BB16" s="1665"/>
      <c r="BC16" s="1665"/>
      <c r="BE16" s="1130"/>
      <c r="BF16" s="1130" t="str">
        <f>IF(T16="","",T16)</f>
        <v/>
      </c>
      <c r="BG16" s="1130"/>
      <c r="BH16" s="1130"/>
      <c r="BI16" s="859">
        <v>0</v>
      </c>
    </row>
    <row s="17316" customFormat="1" customHeight="1" ht="14.25" hidden="1">
      <c r="A17" s="1684"/>
      <c r="B17" s="1684"/>
      <c r="C17" s="1655"/>
      <c r="D17" s="1655"/>
      <c r="E17" s="2600"/>
      <c r="F17" s="2599"/>
      <c r="G17" s="1655"/>
      <c r="H17" s="1655"/>
      <c r="I17" s="1655"/>
      <c r="J17" s="1655"/>
      <c r="K17" s="1655"/>
      <c r="L17" s="1835"/>
      <c r="M17" s="1662"/>
      <c r="N17" s="1662"/>
      <c r="P17" s="1657"/>
      <c r="Q17" s="1658"/>
      <c r="R17" s="1657"/>
      <c r="S17" s="1663"/>
      <c r="T17" s="1666" t="s">
        <v>410</v>
      </c>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5"/>
      <c r="AZ17" s="1665"/>
      <c r="BA17" s="1665"/>
      <c r="BB17" s="1665"/>
      <c r="BC17" s="1665"/>
      <c r="BE17" s="1130"/>
      <c r="BF17" s="1130" t="str">
        <f>IF(T17="","",T17)</f>
        <v>Добавить централизованную систему для дифференциации</v>
      </c>
      <c r="BG17" s="1130"/>
      <c r="BH17" s="1130"/>
      <c r="BI17" s="859">
        <v>0</v>
      </c>
    </row>
    <row s="17316" customFormat="1" customHeight="1" ht="14.25" hidden="1">
      <c r="A18" s="1684"/>
      <c r="B18" s="1684"/>
      <c r="C18" s="1684"/>
      <c r="D18" s="1684"/>
      <c r="E18" s="2599"/>
      <c r="F18" s="1684"/>
      <c r="G18" s="1684"/>
      <c r="H18" s="1684"/>
      <c r="I18" s="1684"/>
      <c r="J18" s="1684"/>
      <c r="K18" s="1684"/>
      <c r="L18" s="1687"/>
      <c r="M18" s="1662"/>
      <c r="N18" s="1662"/>
      <c r="O18" s="859"/>
      <c r="P18" s="721"/>
      <c r="Q18" s="1685"/>
      <c r="R18" s="721"/>
      <c r="S18" s="1663"/>
      <c r="T18" s="1666" t="s">
        <v>411</v>
      </c>
      <c r="U18" s="1665"/>
      <c r="V18" s="1665"/>
      <c r="W18" s="1665"/>
      <c r="X18" s="1665"/>
      <c r="Y18" s="1665"/>
      <c r="Z18" s="1665"/>
      <c r="AA18" s="1665"/>
      <c r="AB18" s="1665"/>
      <c r="AC18" s="1665"/>
      <c r="AD18" s="1665"/>
      <c r="AE18" s="1665"/>
      <c r="AF18" s="1665"/>
      <c r="AG18" s="1665"/>
      <c r="AH18" s="1665"/>
      <c r="AI18" s="1665"/>
      <c r="AJ18" s="1665"/>
      <c r="AK18" s="1665"/>
      <c r="AL18" s="1665"/>
      <c r="AM18" s="1665"/>
      <c r="AN18" s="1665"/>
      <c r="AO18" s="1665"/>
      <c r="AP18" s="1665"/>
      <c r="AQ18" s="1665"/>
      <c r="AR18" s="1665"/>
      <c r="AS18" s="1665"/>
      <c r="AT18" s="1665"/>
      <c r="AU18" s="1665"/>
      <c r="AV18" s="1665"/>
      <c r="AW18" s="1665"/>
      <c r="AX18" s="1665"/>
      <c r="AY18" s="1665"/>
      <c r="AZ18" s="1665"/>
      <c r="BA18" s="1665"/>
      <c r="BB18" s="1665"/>
      <c r="BC18" s="1665"/>
      <c r="BE18" s="841"/>
      <c r="BF18" s="841" t="str">
        <f>IF(T18="","",T18)</f>
        <v>Добавить территорию для дифференциации</v>
      </c>
      <c r="BG18" s="841"/>
      <c r="BH18" s="841"/>
      <c r="BI18" s="852">
        <v>0</v>
      </c>
    </row>
    <row customHeight="1" ht="14.25" hidden="1">
      <c r="AC19" s="668"/>
      <c r="BA19" s="668"/>
      <c r="BI19" s="1496">
        <v>0</v>
      </c>
    </row>
    <row customHeight="1" ht="14.25" hidden="1">
      <c r="AD20" s="1665" t="s">
        <v>19</v>
      </c>
      <c r="AE20" s="1842"/>
      <c r="AF20" s="889">
        <v>1</v>
      </c>
      <c r="AG20" s="1843"/>
      <c r="AH20" s="1665" t="s">
        <v>19</v>
      </c>
      <c r="AI20" s="1842"/>
      <c r="AJ20" s="889">
        <v>1</v>
      </c>
      <c r="AK20" s="1843"/>
      <c r="AL20" s="1665" t="s">
        <v>19</v>
      </c>
      <c r="AM20" s="1844"/>
      <c r="AN20" s="889">
        <v>1</v>
      </c>
      <c r="AO20" s="1845"/>
      <c r="AP20" s="1665" t="s">
        <v>19</v>
      </c>
      <c r="AQ20" s="1844"/>
      <c r="AR20" s="889">
        <v>1</v>
      </c>
      <c r="AS20" s="1845"/>
      <c r="AT20" s="666"/>
      <c r="AU20" s="725"/>
      <c r="AV20" s="666"/>
      <c r="AW20" s="725"/>
      <c r="AX20" s="2077"/>
      <c r="AY20" s="1826" t="s">
        <v>65</v>
      </c>
      <c r="AZ20" s="2077"/>
      <c r="BA20" s="1826" t="s">
        <v>65</v>
      </c>
      <c r="BI20" s="1496">
        <v>0</v>
      </c>
    </row>
    <row customHeight="1" ht="14.25" hidden="1">
      <c r="BD21" s="837"/>
      <c r="BE21" s="837"/>
      <c r="BF21" s="837"/>
      <c r="BG21" s="837"/>
      <c r="BH21" s="837"/>
      <c r="BI21" s="1496">
        <v>0</v>
      </c>
    </row>
    <row customHeight="1" ht="14.25" hidden="1">
      <c r="O22" s="1708" t="s">
        <v>412</v>
      </c>
      <c r="Z22" s="1686"/>
      <c r="AB22" s="1686"/>
      <c r="AC22" s="668"/>
      <c r="AX22" s="1686"/>
      <c r="AZ22" s="1686"/>
      <c r="BA22" s="668"/>
      <c r="BD22" s="837"/>
      <c r="BE22" s="837"/>
      <c r="BF22" s="837"/>
      <c r="BG22" s="837"/>
      <c r="BH22" s="837"/>
      <c r="BI22" s="1496">
        <v>0</v>
      </c>
    </row>
    <row customHeight="1" ht="14.25" hidden="1">
      <c r="AC23" s="668"/>
      <c r="BA23" s="668"/>
      <c r="BD23" s="837"/>
      <c r="BE23" s="837"/>
      <c r="BF23" s="837"/>
      <c r="BG23" s="837"/>
      <c r="BH23" s="837"/>
      <c r="BI23" s="1496">
        <v>0</v>
      </c>
    </row>
    <row s="18234" customFormat="1" customHeight="1" ht="14.25" hidden="1">
      <c r="M24" s="1849"/>
      <c r="N24" s="1849"/>
      <c r="O24" s="1850" t="s">
        <v>413</v>
      </c>
      <c r="P24" s="1849"/>
      <c r="Q24" s="1851"/>
      <c r="R24" s="1851"/>
      <c r="AA24" s="1848" t="s">
        <v>415</v>
      </c>
      <c r="AC24" s="1848" t="s">
        <v>416</v>
      </c>
      <c r="AD24" s="1848" t="s">
        <v>464</v>
      </c>
      <c r="AH24" s="1848" t="s">
        <v>464</v>
      </c>
      <c r="AK24" s="1848" t="s">
        <v>501</v>
      </c>
      <c r="AL24" s="1848" t="s">
        <v>464</v>
      </c>
      <c r="AP24" s="1848" t="s">
        <v>464</v>
      </c>
      <c r="AY24" s="1848" t="s">
        <v>415</v>
      </c>
      <c r="BA24" s="1848" t="s">
        <v>416</v>
      </c>
      <c r="BD24" s="1852"/>
      <c r="BE24" s="1852"/>
      <c r="BF24" s="1852"/>
      <c r="BG24" s="1852"/>
      <c r="BH24" s="1852"/>
      <c r="BI24" s="1848">
        <v>0</v>
      </c>
    </row>
    <row customHeight="1" ht="14.25" hidden="1">
      <c r="O25" s="1705"/>
      <c r="BD25" s="837"/>
      <c r="BE25" s="837"/>
      <c r="BF25" s="837"/>
      <c r="BG25" s="837"/>
      <c r="BH25" s="837"/>
      <c r="BI25" s="1496">
        <v>0</v>
      </c>
    </row>
    <row customHeight="1" ht="14.25" hidden="1">
      <c r="O26" s="1705"/>
      <c r="BD26" s="837"/>
      <c r="BE26" s="837"/>
      <c r="BF26" s="837"/>
      <c r="BG26" s="837"/>
      <c r="BH26" s="837"/>
      <c r="BI26" s="1496">
        <v>0</v>
      </c>
    </row>
    <row customHeight="1" ht="14.699999999999998">
      <c r="Q27" s="632"/>
      <c r="R27" s="717"/>
      <c r="S27" s="1616"/>
      <c r="T27" s="704"/>
      <c r="U27" s="704"/>
      <c r="V27" s="850"/>
      <c r="W27" s="850"/>
      <c r="X27" s="850"/>
      <c r="Y27" s="850"/>
      <c r="Z27" s="850"/>
      <c r="AA27" s="850"/>
      <c r="AB27" s="850"/>
      <c r="AC27" s="850"/>
      <c r="AD27" s="850"/>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I27" s="1496">
        <v>14</v>
      </c>
    </row>
    <row customHeight="1" ht="14.699999999999998">
      <c r="Q28" s="632"/>
      <c r="R28" s="717"/>
      <c r="S28" s="258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89"/>
      <c r="AS28" s="2589"/>
      <c r="AT28" s="2589"/>
      <c r="AU28" s="2589"/>
      <c r="AV28" s="2589"/>
      <c r="AW28" s="2589"/>
      <c r="AX28" s="2589"/>
      <c r="AY28" s="2589"/>
      <c r="AZ28" s="2589"/>
      <c r="BA28" s="1584"/>
      <c r="BI28" s="1496">
        <v>14</v>
      </c>
    </row>
    <row customHeight="1" ht="14.699999999999998">
      <c r="Q29" s="632"/>
      <c r="R29" s="717"/>
      <c r="S29" s="2590" t="str">
        <f>IF(org=0,"Не определено",org)</f>
        <v>АО "ДГК"</v>
      </c>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584"/>
      <c r="BI29" s="1496">
        <v>14</v>
      </c>
    </row>
    <row customHeight="1" ht="14.25" hidden="1">
      <c r="Q30" s="632"/>
      <c r="R30" s="717"/>
      <c r="S30" s="1616"/>
      <c r="T30" s="704"/>
      <c r="U30" s="704"/>
      <c r="V30" s="663"/>
      <c r="W30" s="663"/>
      <c r="X30" s="663"/>
      <c r="Y30" s="663"/>
      <c r="Z30" s="663"/>
      <c r="AA30" s="663"/>
      <c r="AB30" s="663"/>
      <c r="AC30" s="663"/>
      <c r="AD30" s="663"/>
      <c r="AE30" s="663"/>
      <c r="AF30" s="663"/>
      <c r="AG30" s="663"/>
      <c r="AH30" s="663"/>
      <c r="AI30" s="663"/>
      <c r="AJ30" s="663"/>
      <c r="AK30" s="663"/>
      <c r="AL30" s="663"/>
      <c r="AM30" s="663"/>
      <c r="AN30" s="663"/>
      <c r="AO30" s="663"/>
      <c r="AP30" s="663"/>
      <c r="AQ30" s="663"/>
      <c r="AR30" s="663"/>
      <c r="AS30" s="663"/>
      <c r="AT30" s="663"/>
      <c r="AU30" s="663"/>
      <c r="AV30" s="663"/>
      <c r="AW30" s="663"/>
      <c r="AX30" s="663"/>
      <c r="AY30" s="663"/>
      <c r="AZ30" s="663"/>
      <c r="BA30" s="663"/>
      <c r="BB30" s="850"/>
      <c r="BI30" s="1496">
        <v>0</v>
      </c>
    </row>
    <row s="17442" customFormat="1" customHeight="1" ht="25.5" hidden="1">
      <c r="A31" s="1709"/>
      <c r="B31" s="1709"/>
      <c r="C31" s="1709"/>
      <c r="D31" s="1709"/>
      <c r="E31" s="1709"/>
      <c r="F31" s="1709"/>
      <c r="G31" s="1709"/>
      <c r="H31" s="1709"/>
      <c r="I31" s="1709"/>
      <c r="J31" s="1709"/>
      <c r="K31" s="1709"/>
      <c r="L31" s="1710"/>
      <c r="M31" s="1709"/>
      <c r="N31" s="1709"/>
      <c r="O31" s="1709"/>
      <c r="P31" s="1709"/>
      <c r="Q31" s="1709"/>
      <c r="S31" s="2591" t="s">
        <v>41</v>
      </c>
      <c r="T31" s="2591"/>
      <c r="U31" s="1713"/>
      <c r="V31" s="2592" t="str">
        <f>IF(TITLE_NAME_OR_PR_CHANGE="",IF(TITLE_NAME_OR_PR="","",TITLE_NAME_OR_PR),TITLE_NAME_OR_PR_CHANGE)</f>
        <v/>
      </c>
      <c r="W31" s="2592"/>
      <c r="X31" s="2592"/>
      <c r="Y31" s="2592"/>
      <c r="Z31" s="2592"/>
      <c r="AA31" s="2592"/>
      <c r="AB31" s="2592"/>
      <c r="AC31" s="667"/>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667"/>
      <c r="BB31" s="667"/>
      <c r="BC31" s="621"/>
      <c r="BD31" s="709"/>
      <c r="BE31" s="709"/>
      <c r="BF31" s="709"/>
      <c r="BG31" s="709"/>
      <c r="BH31" s="709"/>
      <c r="BI31" s="759">
        <v>0</v>
      </c>
    </row>
    <row s="17442" customFormat="1" customHeight="1" ht="18.75" hidden="1">
      <c r="A32" s="1709"/>
      <c r="B32" s="1709"/>
      <c r="C32" s="1709"/>
      <c r="D32" s="1709"/>
      <c r="E32" s="1709"/>
      <c r="F32" s="1709"/>
      <c r="G32" s="1709"/>
      <c r="H32" s="1709"/>
      <c r="I32" s="1709"/>
      <c r="J32" s="1709"/>
      <c r="K32" s="1709"/>
      <c r="L32" s="1710"/>
      <c r="M32" s="1709"/>
      <c r="N32" s="1709"/>
      <c r="O32" s="1709"/>
      <c r="P32" s="1709"/>
      <c r="Q32" s="1709"/>
      <c r="S32" s="2591" t="s">
        <v>418</v>
      </c>
      <c r="T32" s="2591"/>
      <c r="U32" s="1713"/>
      <c r="V32" s="2605" t="str">
        <f>IF(TITLE_DATE_PR_CHANGE="",IF(TITLE_DATE_PR="","",TITLE_DATE_PR),TITLE_DATE_PR_CHANGE)</f>
        <v/>
      </c>
      <c r="W32" s="2605"/>
      <c r="X32" s="2605"/>
      <c r="Y32" s="2605"/>
      <c r="Z32" s="2605"/>
      <c r="AA32" s="2605"/>
      <c r="AB32" s="2605"/>
      <c r="AC32" s="667"/>
      <c r="AD32" s="2605" t="str">
        <f>IF(TITLE_DATE_PR_CHANGE="",IF(TITLE_DATE_PR="","",TITLE_DATE_PR),TITLE_DATE_PR_CHANGE)</f>
        <v/>
      </c>
      <c r="AE32" s="2605"/>
      <c r="AF32" s="2605"/>
      <c r="AG32" s="2605"/>
      <c r="AH32" s="2605"/>
      <c r="AI32" s="2605"/>
      <c r="AJ32" s="2605"/>
      <c r="AK32" s="2605"/>
      <c r="AL32" s="2605"/>
      <c r="AM32" s="2605"/>
      <c r="AN32" s="2605"/>
      <c r="AO32" s="2605"/>
      <c r="AP32" s="2605"/>
      <c r="AQ32" s="2605"/>
      <c r="AR32" s="2605"/>
      <c r="AS32" s="2605"/>
      <c r="AT32" s="2605"/>
      <c r="AU32" s="2605"/>
      <c r="AV32" s="2605"/>
      <c r="AW32" s="2605"/>
      <c r="AX32" s="2605"/>
      <c r="AY32" s="2605"/>
      <c r="AZ32" s="2605"/>
      <c r="BA32" s="667"/>
      <c r="BB32" s="667"/>
      <c r="BC32" s="621"/>
      <c r="BD32" s="709"/>
      <c r="BE32" s="709"/>
      <c r="BF32" s="709"/>
      <c r="BG32" s="709"/>
      <c r="BH32" s="709"/>
      <c r="BI32" s="759">
        <v>0</v>
      </c>
    </row>
    <row s="17442" customFormat="1" customHeight="1" ht="18.75" hidden="1">
      <c r="A33" s="1709"/>
      <c r="B33" s="1709"/>
      <c r="C33" s="1709"/>
      <c r="D33" s="1709"/>
      <c r="E33" s="1709"/>
      <c r="F33" s="1709"/>
      <c r="G33" s="1709"/>
      <c r="H33" s="1709"/>
      <c r="I33" s="1709"/>
      <c r="J33" s="1709"/>
      <c r="K33" s="1709"/>
      <c r="L33" s="1710"/>
      <c r="M33" s="1709"/>
      <c r="N33" s="1709"/>
      <c r="O33" s="1709"/>
      <c r="P33" s="1709"/>
      <c r="Q33" s="1709"/>
      <c r="S33" s="2591" t="s">
        <v>419</v>
      </c>
      <c r="T33" s="2591"/>
      <c r="U33" s="1713"/>
      <c r="V33" s="2592" t="str">
        <f>IF(TITLE_NUMBER_PR_CHANGE="",IF(TITLE_NUMBER_PR="","",TITLE_NUMBER_PR),TITLE_NUMBER_PR_CHANGE)</f>
        <v/>
      </c>
      <c r="W33" s="2592"/>
      <c r="X33" s="2592"/>
      <c r="Y33" s="2592"/>
      <c r="Z33" s="2592"/>
      <c r="AA33" s="2592"/>
      <c r="AB33" s="2592"/>
      <c r="AC33" s="667"/>
      <c r="AD33" s="2592" t="str">
        <f>IF(TITLE_NUMBER_PR_CHANGE="",IF(TITLE_NUMBER_PR="","",TITLE_NUMBER_PR),TITLE_NUMBER_PR_CHANGE)</f>
        <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667"/>
      <c r="BB33" s="667"/>
      <c r="BC33" s="621"/>
      <c r="BD33" s="709"/>
      <c r="BE33" s="709"/>
      <c r="BF33" s="709"/>
      <c r="BG33" s="709"/>
      <c r="BH33" s="709"/>
      <c r="BI33" s="759">
        <v>0</v>
      </c>
    </row>
    <row s="17442" customFormat="1" customHeight="1" ht="18.75" hidden="1">
      <c r="A34" s="1709"/>
      <c r="B34" s="1709"/>
      <c r="C34" s="1709"/>
      <c r="D34" s="1709"/>
      <c r="E34" s="1709"/>
      <c r="F34" s="1709"/>
      <c r="G34" s="1709"/>
      <c r="H34" s="1709"/>
      <c r="I34" s="1709"/>
      <c r="J34" s="1709"/>
      <c r="K34" s="1709"/>
      <c r="L34" s="1710"/>
      <c r="M34" s="1709"/>
      <c r="N34" s="1709"/>
      <c r="O34" s="1709"/>
      <c r="P34" s="1709"/>
      <c r="Q34" s="1709"/>
      <c r="S34" s="2591" t="s">
        <v>42</v>
      </c>
      <c r="T34" s="2591"/>
      <c r="U34" s="1713"/>
      <c r="V34" s="2592" t="str">
        <f>IF(TITLE_IST_PUB_CHANGE="",IF(TITLE_IST_PUB="","",TITLE_IST_PUB),TITLE_IST_PUB_CHANGE)</f>
        <v/>
      </c>
      <c r="W34" s="2592"/>
      <c r="X34" s="2592"/>
      <c r="Y34" s="2592"/>
      <c r="Z34" s="2592"/>
      <c r="AA34" s="2592"/>
      <c r="AB34" s="2592"/>
      <c r="AC34" s="667"/>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667"/>
      <c r="BB34" s="667"/>
      <c r="BC34" s="621"/>
      <c r="BD34" s="709"/>
      <c r="BE34" s="709"/>
      <c r="BF34" s="709"/>
      <c r="BG34" s="709"/>
      <c r="BH34" s="709"/>
      <c r="BI34" s="759">
        <v>0</v>
      </c>
    </row>
    <row customHeight="1" ht="14.25" hidden="1">
      <c r="Q35" s="632"/>
      <c r="R35" s="717"/>
      <c r="S35" s="1616"/>
      <c r="T35" s="704"/>
      <c r="U35" s="704"/>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850"/>
      <c r="BI35" s="1496">
        <v>0</v>
      </c>
    </row>
    <row s="17442" customFormat="1" customHeight="1" ht="18.75" hidden="1">
      <c r="A36" s="1709"/>
      <c r="B36" s="1709"/>
      <c r="C36" s="1709"/>
      <c r="D36" s="1709"/>
      <c r="E36" s="1709"/>
      <c r="F36" s="1709"/>
      <c r="G36" s="1709"/>
      <c r="H36" s="1709"/>
      <c r="I36" s="1709"/>
      <c r="J36" s="1709"/>
      <c r="K36" s="1709"/>
      <c r="L36" s="1710"/>
      <c r="M36" s="1709"/>
      <c r="N36" s="1709"/>
      <c r="O36" s="1709"/>
      <c r="P36" s="1709"/>
      <c r="Q36" s="1709"/>
      <c r="S36" s="2591" t="s">
        <v>418</v>
      </c>
      <c r="T36" s="2591"/>
      <c r="U36" s="1713"/>
      <c r="V36" s="2605" t="str">
        <f>IF(TITLE_DATE_PR_CHANGE="",IF(TITLE_DATE_PR="","",TITLE_DATE_PR),TITLE_DATE_PR_CHANGE)</f>
        <v/>
      </c>
      <c r="W36" s="2605"/>
      <c r="X36" s="2605"/>
      <c r="Y36" s="2605"/>
      <c r="Z36" s="2605"/>
      <c r="AA36" s="2605"/>
      <c r="AB36" s="2605"/>
      <c r="AC36" s="667"/>
      <c r="AD36" s="2605" t="str">
        <f>IF(TITLE_DATE_PR_CHANGE="",IF(TITLE_DATE_PR="","",TITLE_DATE_PR),TITLE_DATE_PR_CHANGE)</f>
        <v/>
      </c>
      <c r="AE36" s="2605"/>
      <c r="AF36" s="2605"/>
      <c r="AG36" s="2605"/>
      <c r="AH36" s="2605"/>
      <c r="AI36" s="2605"/>
      <c r="AJ36" s="2605"/>
      <c r="AK36" s="2605"/>
      <c r="AL36" s="2605"/>
      <c r="AM36" s="2605"/>
      <c r="AN36" s="2605"/>
      <c r="AO36" s="2605"/>
      <c r="AP36" s="2605"/>
      <c r="AQ36" s="2605"/>
      <c r="AR36" s="2605"/>
      <c r="AS36" s="2605"/>
      <c r="AT36" s="2605"/>
      <c r="AU36" s="2605"/>
      <c r="AV36" s="2605"/>
      <c r="AW36" s="2605"/>
      <c r="AX36" s="2605"/>
      <c r="AY36" s="2605"/>
      <c r="AZ36" s="2605"/>
      <c r="BA36" s="667"/>
      <c r="BB36" s="667"/>
      <c r="BC36" s="621"/>
      <c r="BD36" s="709"/>
      <c r="BE36" s="709"/>
      <c r="BF36" s="709"/>
      <c r="BG36" s="709"/>
      <c r="BH36" s="709"/>
      <c r="BI36" s="759">
        <v>0</v>
      </c>
    </row>
    <row s="17442" customFormat="1" customHeight="1" ht="18.75" hidden="1">
      <c r="A37" s="1709"/>
      <c r="B37" s="1709"/>
      <c r="C37" s="1709"/>
      <c r="D37" s="1709"/>
      <c r="E37" s="1709"/>
      <c r="F37" s="1709"/>
      <c r="G37" s="1709"/>
      <c r="H37" s="1709"/>
      <c r="I37" s="1709"/>
      <c r="J37" s="1709"/>
      <c r="K37" s="1709"/>
      <c r="L37" s="1710"/>
      <c r="M37" s="1709"/>
      <c r="N37" s="1709"/>
      <c r="O37" s="1709"/>
      <c r="P37" s="1709"/>
      <c r="Q37" s="1709"/>
      <c r="S37" s="2591" t="s">
        <v>419</v>
      </c>
      <c r="T37" s="2591"/>
      <c r="U37" s="1713"/>
      <c r="V37" s="2592" t="str">
        <f>IF(TITLE_NUMBER_PR_CHANGE="",IF(TITLE_NUMBER_PR="","",TITLE_NUMBER_PR),TITLE_NUMBER_PR_CHANGE)</f>
        <v/>
      </c>
      <c r="W37" s="2592"/>
      <c r="X37" s="2592"/>
      <c r="Y37" s="2592"/>
      <c r="Z37" s="2592"/>
      <c r="AA37" s="2592"/>
      <c r="AB37" s="2592"/>
      <c r="AC37" s="667"/>
      <c r="AD37" s="2592" t="str">
        <f>IF(TITLE_NUMBER_PR_CHANGE="",IF(TITLE_NUMBER_PR="","",TITLE_NUMBER_PR),TITLE_NUMBER_PR_CHANGE)</f>
        <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667"/>
      <c r="BB37" s="667"/>
      <c r="BC37" s="621"/>
      <c r="BD37" s="709"/>
      <c r="BE37" s="709"/>
      <c r="BF37" s="709"/>
      <c r="BG37" s="709"/>
      <c r="BH37" s="709"/>
      <c r="BI37" s="759">
        <v>0</v>
      </c>
    </row>
    <row s="17442" customFormat="1" customHeight="1" ht="0">
      <c r="A38" s="1709"/>
      <c r="B38" s="1709"/>
      <c r="C38" s="1709"/>
      <c r="D38" s="1709"/>
      <c r="E38" s="1709"/>
      <c r="F38" s="1709"/>
      <c r="G38" s="1709"/>
      <c r="H38" s="1709"/>
      <c r="I38" s="1709"/>
      <c r="J38" s="1709"/>
      <c r="K38" s="1709"/>
      <c r="L38" s="1710"/>
      <c r="M38" s="1709"/>
      <c r="N38" s="1709"/>
      <c r="O38" s="1709"/>
      <c r="P38" s="1709"/>
      <c r="Q38" s="1709"/>
      <c r="S38" s="664"/>
      <c r="T38" s="664"/>
      <c r="U38" s="1829"/>
      <c r="V38" s="667"/>
      <c r="W38" s="667"/>
      <c r="X38" s="667"/>
      <c r="Y38" s="667"/>
      <c r="Z38" s="667"/>
      <c r="AA38" s="667"/>
      <c r="AB38" s="667"/>
      <c r="AC38" s="619" t="s">
        <v>422</v>
      </c>
      <c r="AD38" s="667"/>
      <c r="AE38" s="667"/>
      <c r="AF38" s="667"/>
      <c r="AG38" s="667"/>
      <c r="AH38" s="667"/>
      <c r="AI38" s="667"/>
      <c r="AJ38" s="667"/>
      <c r="AK38" s="667"/>
      <c r="AL38" s="667"/>
      <c r="AM38" s="667"/>
      <c r="AN38" s="667"/>
      <c r="AO38" s="667"/>
      <c r="AP38" s="667"/>
      <c r="AQ38" s="667"/>
      <c r="AR38" s="667"/>
      <c r="AS38" s="667"/>
      <c r="AT38" s="667"/>
      <c r="AU38" s="667"/>
      <c r="AV38" s="667"/>
      <c r="AW38" s="667"/>
      <c r="AX38" s="667"/>
      <c r="AY38" s="667"/>
      <c r="AZ38" s="667"/>
      <c r="BA38" s="619" t="s">
        <v>422</v>
      </c>
      <c r="BD38" s="709"/>
      <c r="BE38" s="709"/>
      <c r="BF38" s="709"/>
      <c r="BG38" s="709"/>
      <c r="BH38" s="709"/>
      <c r="BI38" s="759">
        <v>0</v>
      </c>
    </row>
    <row customHeight="1" ht="14.699999999999998">
      <c r="Q39" s="632"/>
      <c r="R39" s="717"/>
      <c r="S39" s="1616"/>
      <c r="T39" s="704"/>
      <c r="U39" s="1585"/>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c r="BA39" s="2593"/>
      <c r="BI39" s="1496">
        <v>14</v>
      </c>
    </row>
    <row customHeight="1" ht="14.699999999999998">
      <c r="Q40" s="632"/>
      <c r="R40" s="717"/>
      <c r="S40" s="2468" t="s">
        <v>295</v>
      </c>
      <c r="T40" s="2468"/>
      <c r="U40" s="2468"/>
      <c r="V40" s="2468"/>
      <c r="W40" s="2468"/>
      <c r="X40" s="2468"/>
      <c r="Y40" s="2468"/>
      <c r="Z40" s="2468"/>
      <c r="AA40" s="2468"/>
      <c r="AB40" s="2468"/>
      <c r="AC40" s="2468"/>
      <c r="AD40" s="2468"/>
      <c r="AE40" s="2468"/>
      <c r="AF40" s="2468"/>
      <c r="AG40" s="2468"/>
      <c r="AH40" s="2468"/>
      <c r="AI40" s="2468"/>
      <c r="AJ40" s="2468"/>
      <c r="AK40" s="2468"/>
      <c r="AL40" s="2468"/>
      <c r="AM40" s="2468"/>
      <c r="AN40" s="2468"/>
      <c r="AO40" s="2468"/>
      <c r="AP40" s="2468"/>
      <c r="AQ40" s="2468"/>
      <c r="AR40" s="2468"/>
      <c r="AS40" s="2468"/>
      <c r="AT40" s="2468"/>
      <c r="AU40" s="2468"/>
      <c r="AV40" s="2468"/>
      <c r="AW40" s="2468"/>
      <c r="AX40" s="2468"/>
      <c r="AY40" s="2468"/>
      <c r="AZ40" s="2468"/>
      <c r="BA40" s="2468"/>
      <c r="BB40" s="2468"/>
      <c r="BC40" s="2468" t="s">
        <v>296</v>
      </c>
      <c r="BI40" s="1496">
        <v>14</v>
      </c>
    </row>
    <row customHeight="1" ht="14.699999999999998">
      <c r="Q41" s="632"/>
      <c r="R41" s="717"/>
      <c r="S41" s="2614" t="s">
        <v>88</v>
      </c>
      <c r="T41" s="2550" t="s">
        <v>502</v>
      </c>
      <c r="U41" s="642"/>
      <c r="V41" s="2615" t="s">
        <v>424</v>
      </c>
      <c r="W41" s="2616"/>
      <c r="X41" s="2616"/>
      <c r="Y41" s="2616"/>
      <c r="Z41" s="2616"/>
      <c r="AA41" s="2616"/>
      <c r="AB41" s="2617"/>
      <c r="AC41" s="2618" t="s">
        <v>425</v>
      </c>
      <c r="AD41" s="2669" t="s">
        <v>503</v>
      </c>
      <c r="AE41" s="2632"/>
      <c r="AF41" s="2632"/>
      <c r="AG41" s="2670"/>
      <c r="AH41" s="2669" t="s">
        <v>504</v>
      </c>
      <c r="AI41" s="2632"/>
      <c r="AJ41" s="2632"/>
      <c r="AK41" s="2670"/>
      <c r="AL41" s="2669" t="s">
        <v>505</v>
      </c>
      <c r="AM41" s="2632"/>
      <c r="AN41" s="2632"/>
      <c r="AO41" s="2670"/>
      <c r="AP41" s="2669" t="s">
        <v>506</v>
      </c>
      <c r="AQ41" s="2632"/>
      <c r="AR41" s="2632"/>
      <c r="AS41" s="2670"/>
      <c r="AT41" s="2615" t="s">
        <v>424</v>
      </c>
      <c r="AU41" s="2616"/>
      <c r="AV41" s="2616"/>
      <c r="AW41" s="2616"/>
      <c r="AX41" s="2616"/>
      <c r="AY41" s="2616"/>
      <c r="AZ41" s="2617"/>
      <c r="BA41" s="2618" t="s">
        <v>425</v>
      </c>
      <c r="BB41" s="2621" t="s">
        <v>427</v>
      </c>
      <c r="BC41" s="2468"/>
      <c r="BI41" s="1496">
        <v>14</v>
      </c>
    </row>
    <row customHeight="1" ht="35.699999999999996">
      <c r="Q42" s="632"/>
      <c r="R42" s="717"/>
      <c r="S42" s="2614"/>
      <c r="T42" s="2550"/>
      <c r="U42" s="1372"/>
      <c r="V42" s="2533" t="s">
        <v>507</v>
      </c>
      <c r="W42" s="2534"/>
      <c r="X42" s="2533" t="s">
        <v>508</v>
      </c>
      <c r="Y42" s="2534"/>
      <c r="Z42" s="2635" t="s">
        <v>509</v>
      </c>
      <c r="AA42" s="2654"/>
      <c r="AB42" s="2655"/>
      <c r="AC42" s="2619"/>
      <c r="AD42" s="2671"/>
      <c r="AE42" s="2672"/>
      <c r="AF42" s="2672"/>
      <c r="AG42" s="2673"/>
      <c r="AH42" s="2671"/>
      <c r="AI42" s="2672"/>
      <c r="AJ42" s="2672"/>
      <c r="AK42" s="2673"/>
      <c r="AL42" s="2671"/>
      <c r="AM42" s="2672"/>
      <c r="AN42" s="2672"/>
      <c r="AO42" s="2673"/>
      <c r="AP42" s="2671"/>
      <c r="AQ42" s="2672"/>
      <c r="AR42" s="2672"/>
      <c r="AS42" s="2673"/>
      <c r="AT42" s="2533" t="s">
        <v>507</v>
      </c>
      <c r="AU42" s="2534"/>
      <c r="AV42" s="2533" t="s">
        <v>508</v>
      </c>
      <c r="AW42" s="2534"/>
      <c r="AX42" s="2635" t="s">
        <v>509</v>
      </c>
      <c r="AY42" s="2654"/>
      <c r="AZ42" s="2655"/>
      <c r="BA42" s="2619"/>
      <c r="BB42" s="2622"/>
      <c r="BC42" s="2468"/>
      <c r="BI42" s="1496">
        <v>34</v>
      </c>
    </row>
    <row customHeight="1" ht="14.699999999999998">
      <c r="Q43" s="632"/>
      <c r="R43" s="717"/>
      <c r="S43" s="2614"/>
      <c r="T43" s="2550"/>
      <c r="U43" s="1372"/>
      <c r="V43" s="2541"/>
      <c r="W43" s="2542"/>
      <c r="X43" s="2541"/>
      <c r="Y43" s="2542"/>
      <c r="Z43" s="2636"/>
      <c r="AA43" s="2656"/>
      <c r="AB43" s="2657"/>
      <c r="AC43" s="2619"/>
      <c r="AD43" s="2671"/>
      <c r="AE43" s="2672"/>
      <c r="AF43" s="2672"/>
      <c r="AG43" s="2673"/>
      <c r="AH43" s="2671"/>
      <c r="AI43" s="2672"/>
      <c r="AJ43" s="2672"/>
      <c r="AK43" s="2673"/>
      <c r="AL43" s="2671"/>
      <c r="AM43" s="2672"/>
      <c r="AN43" s="2672"/>
      <c r="AO43" s="2673"/>
      <c r="AP43" s="2671"/>
      <c r="AQ43" s="2672"/>
      <c r="AR43" s="2672"/>
      <c r="AS43" s="2673"/>
      <c r="AT43" s="2541"/>
      <c r="AU43" s="2542"/>
      <c r="AV43" s="2541"/>
      <c r="AW43" s="2542"/>
      <c r="AX43" s="2636"/>
      <c r="AY43" s="2656"/>
      <c r="AZ43" s="2657"/>
      <c r="BA43" s="2619"/>
      <c r="BB43" s="2622"/>
      <c r="BC43" s="2468"/>
      <c r="BI43" s="1496">
        <v>14</v>
      </c>
    </row>
    <row customHeight="1" ht="14.699999999999998">
      <c r="A44" s="1711"/>
      <c r="B44" s="1711" t="s">
        <v>132</v>
      </c>
      <c r="C44" s="1711" t="s">
        <v>133</v>
      </c>
      <c r="D44" s="1711" t="s">
        <v>134</v>
      </c>
      <c r="E44" s="1705" t="s">
        <v>432</v>
      </c>
      <c r="F44" s="1705" t="s">
        <v>433</v>
      </c>
      <c r="G44" s="1705" t="s">
        <v>434</v>
      </c>
      <c r="H44" s="1705" t="s">
        <v>435</v>
      </c>
      <c r="I44" s="1705" t="s">
        <v>436</v>
      </c>
      <c r="J44" s="1705" t="s">
        <v>437</v>
      </c>
      <c r="K44" s="1705" t="s">
        <v>438</v>
      </c>
      <c r="L44" s="1705" t="s">
        <v>413</v>
      </c>
      <c r="Q44" s="632"/>
      <c r="R44" s="717"/>
      <c r="S44" s="2614"/>
      <c r="T44" s="2550"/>
      <c r="U44" s="643"/>
      <c r="V44" s="1820" t="s">
        <v>473</v>
      </c>
      <c r="W44" s="1820" t="s">
        <v>474</v>
      </c>
      <c r="X44" s="1820" t="s">
        <v>473</v>
      </c>
      <c r="Y44" s="1820" t="s">
        <v>474</v>
      </c>
      <c r="Z44" s="1830" t="s">
        <v>441</v>
      </c>
      <c r="AA44" s="2611" t="s">
        <v>442</v>
      </c>
      <c r="AB44" s="2612"/>
      <c r="AC44" s="2620"/>
      <c r="AD44" s="2674"/>
      <c r="AE44" s="2675"/>
      <c r="AF44" s="2675"/>
      <c r="AG44" s="2676"/>
      <c r="AH44" s="2674"/>
      <c r="AI44" s="2675"/>
      <c r="AJ44" s="2675"/>
      <c r="AK44" s="2676"/>
      <c r="AL44" s="2674"/>
      <c r="AM44" s="2675"/>
      <c r="AN44" s="2675"/>
      <c r="AO44" s="2676"/>
      <c r="AP44" s="2674"/>
      <c r="AQ44" s="2675"/>
      <c r="AR44" s="2675"/>
      <c r="AS44" s="2676"/>
      <c r="AT44" s="1820" t="s">
        <v>473</v>
      </c>
      <c r="AU44" s="1820" t="s">
        <v>474</v>
      </c>
      <c r="AV44" s="1820" t="s">
        <v>473</v>
      </c>
      <c r="AW44" s="1820" t="s">
        <v>474</v>
      </c>
      <c r="AX44" s="1830" t="s">
        <v>441</v>
      </c>
      <c r="AY44" s="2611" t="s">
        <v>442</v>
      </c>
      <c r="AZ44" s="2612"/>
      <c r="BA44" s="2620"/>
      <c r="BB44" s="2623"/>
      <c r="BC44" s="2468"/>
      <c r="BI44" s="1496">
        <v>14</v>
      </c>
    </row>
    <row s="17832" customFormat="1" customHeight="1" ht="0">
      <c r="A45" s="1711"/>
      <c r="B45" s="1711"/>
      <c r="C45" s="1711"/>
      <c r="D45" s="1711"/>
      <c r="E45" s="1711"/>
      <c r="F45" s="1711"/>
      <c r="G45" s="1711"/>
      <c r="H45" s="1711"/>
      <c r="I45" s="1711"/>
      <c r="J45" s="1711"/>
      <c r="K45" s="1711"/>
      <c r="L45" s="1705"/>
      <c r="M45" s="1703"/>
      <c r="N45" s="1703"/>
      <c r="O45" s="1703"/>
      <c r="P45" s="851"/>
      <c r="Q45" s="1595"/>
      <c r="R45" s="1595">
        <v>1</v>
      </c>
      <c r="S45" s="1618" t="s">
        <v>106</v>
      </c>
      <c r="T45" s="1596" t="s">
        <v>107</v>
      </c>
      <c r="U45" s="1586" t="str">
        <f>OFFSET(U45,0,-1)</f>
        <v>2</v>
      </c>
      <c r="V45" s="1823">
        <f>OFFSET(V45,0,-1)+1</f>
        <v>3</v>
      </c>
      <c r="W45" s="1823">
        <f>OFFSET(W45,0,-1)+1</f>
        <v>4</v>
      </c>
      <c r="X45" s="1823">
        <f>OFFSET(X45,0,-1)+1</f>
        <v>5</v>
      </c>
      <c r="Y45" s="1823">
        <f>OFFSET(Y45,0,-1)+1</f>
        <v>6</v>
      </c>
      <c r="Z45" s="1823">
        <f>OFFSET(Z45,0,-1)+1</f>
        <v>7</v>
      </c>
      <c r="AA45" s="2613">
        <f>OFFSET(AA45,0,-1)+1</f>
        <v>8</v>
      </c>
      <c r="AB45" s="2613"/>
      <c r="AC45" s="1823">
        <f>OFFSET(AC45,0,-2)+1</f>
        <v>9</v>
      </c>
      <c r="AD45" s="1823">
        <f>OFFSET(AD45,0,-1)+1</f>
        <v>10</v>
      </c>
      <c r="AE45" s="1823"/>
      <c r="AF45" s="1823"/>
      <c r="AG45" s="1823"/>
      <c r="AH45" s="1823"/>
      <c r="AI45" s="1823"/>
      <c r="AJ45" s="1823"/>
      <c r="AK45" s="1823"/>
      <c r="AL45" s="1823"/>
      <c r="AM45" s="1823"/>
      <c r="AN45" s="1823"/>
      <c r="AO45" s="1823"/>
      <c r="AP45" s="1823"/>
      <c r="AQ45" s="1823"/>
      <c r="AR45" s="1823"/>
      <c r="AS45" s="1823"/>
      <c r="AT45" s="1823"/>
      <c r="AU45" s="1823"/>
      <c r="AV45" s="1823"/>
      <c r="AW45" s="1823">
        <f>OFFSET(AW45,0,-1)+1</f>
        <v>1</v>
      </c>
      <c r="AX45" s="1823">
        <f>OFFSET(AX45,0,-1)+1</f>
        <v>2</v>
      </c>
      <c r="AY45" s="2613">
        <f>OFFSET(AY45,0,-1)+1</f>
        <v>3</v>
      </c>
      <c r="AZ45" s="2613"/>
      <c r="BA45" s="1823">
        <f>OFFSET(BA45,0,-2)+1</f>
        <v>4</v>
      </c>
      <c r="BB45" s="1586">
        <f>OFFSET(BB45,0,-1)</f>
        <v>4</v>
      </c>
      <c r="BC45" s="1823">
        <f>OFFSET(BC45,0,-1)+1</f>
        <v>5</v>
      </c>
      <c r="BD45" s="852"/>
      <c r="BE45" s="852"/>
      <c r="BF45" s="852"/>
      <c r="BG45" s="852"/>
      <c r="BH45" s="852"/>
      <c r="BI45" s="837">
        <v>0</v>
      </c>
    </row>
    <row customHeight="1" ht="22.049999999999997">
      <c r="A46" s="1704" t="s">
        <v>256</v>
      </c>
      <c r="B46" s="1704"/>
      <c r="C46" s="1704"/>
      <c r="D46" s="1704"/>
      <c r="E46" s="2599">
        <v>1</v>
      </c>
      <c r="F46" s="1704"/>
      <c r="G46" s="1704"/>
      <c r="H46" s="1704"/>
      <c r="I46" s="1704"/>
      <c r="J46" s="1704"/>
      <c r="K46" s="1704"/>
      <c r="L46" s="1705"/>
      <c r="M46" s="1706"/>
      <c r="N46" s="1706"/>
      <c r="O46" s="1706"/>
      <c r="P46" s="1750"/>
      <c r="Q46" s="1214"/>
      <c r="R46" s="696"/>
      <c r="S46" s="1834">
        <f>INDEX(PT_DIFFERENTIATION_NUM_NTAR,MATCH(A46,PT_DIFFERENTIATION_NTAR_ID,0))</f>
        <v>0</v>
      </c>
      <c r="T46" s="639" t="s">
        <v>120</v>
      </c>
      <c r="U46" s="641"/>
      <c r="V46" s="2584"/>
      <c r="W46" s="2584"/>
      <c r="X46" s="2584"/>
      <c r="Y46" s="2584"/>
      <c r="Z46" s="2584"/>
      <c r="AA46" s="2584"/>
      <c r="AB46" s="2584"/>
      <c r="AC46" s="2585"/>
      <c r="AD46" s="2583" t="str">
        <f>INDEX(PT_DIFFERENTIATION_NTAR,MATCH(A46,PT_DIFFERENTIATION_NTAR_ID,0))</f>
        <v/>
      </c>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2584"/>
      <c r="BB46" s="2585"/>
      <c r="BC46"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1"/>
      <c r="BF46" s="841" t="str">
        <f>IF(T46="","",T46)</f>
        <v>Наименование тарифа</v>
      </c>
      <c r="BG46" s="841"/>
      <c r="BH46" s="841"/>
      <c r="BI46" s="1496">
        <v>21</v>
      </c>
    </row>
    <row customHeight="1" ht="22.049999999999997">
      <c r="A47" s="1704" t="s">
        <v>256</v>
      </c>
      <c r="B47" s="1704" t="s">
        <v>257</v>
      </c>
      <c r="C47" s="1704"/>
      <c r="D47" s="1704"/>
      <c r="E47" s="2600"/>
      <c r="F47" s="2599">
        <v>1</v>
      </c>
      <c r="G47" s="1704"/>
      <c r="H47" s="1704"/>
      <c r="I47" s="1704"/>
      <c r="J47" s="1704"/>
      <c r="K47" s="1704"/>
      <c r="L47" s="1705"/>
      <c r="M47" s="1706"/>
      <c r="N47" s="1706"/>
      <c r="O47" s="1706"/>
      <c r="P47" s="1751"/>
      <c r="Q47" s="1752"/>
      <c r="R47" s="694"/>
      <c r="S47" s="1834" t="str">
        <f>INDEX(PT_DIFFERENTIATION_NUM_TER,MATCH(B47,PT_DIFFERENTIATION_TER_ID,0))</f>
        <v>.</v>
      </c>
      <c r="T47" s="649" t="s">
        <v>392</v>
      </c>
      <c r="U47" s="641"/>
      <c r="V47" s="2584"/>
      <c r="W47" s="2584"/>
      <c r="X47" s="2584"/>
      <c r="Y47" s="2584"/>
      <c r="Z47" s="2584"/>
      <c r="AA47" s="2584"/>
      <c r="AB47" s="2584"/>
      <c r="AC47" s="2585"/>
      <c r="AD47" s="2583" t="str">
        <f>INDEX(PT_DIFFERENTIATION_TER,MATCH(B47,PT_DIFFERENTIATION_TER_ID,0))</f>
        <v/>
      </c>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2584"/>
      <c r="BB47" s="2585"/>
      <c r="BC47" s="1599" t="s">
        <v>393</v>
      </c>
      <c r="BE47" s="841"/>
      <c r="BF47" s="841" t="str">
        <f>IF(T47="","",T47)</f>
        <v>Территория действия тарифа</v>
      </c>
      <c r="BG47" s="841"/>
      <c r="BH47" s="841"/>
      <c r="BI47" s="1496">
        <v>21</v>
      </c>
    </row>
    <row customHeight="1" ht="35.699999999999996">
      <c r="A48" s="1704" t="s">
        <v>256</v>
      </c>
      <c r="B48" s="1704" t="s">
        <v>257</v>
      </c>
      <c r="C48" s="1704" t="s">
        <v>258</v>
      </c>
      <c r="D48" s="1704"/>
      <c r="E48" s="2600"/>
      <c r="F48" s="2600"/>
      <c r="G48" s="2599">
        <v>1</v>
      </c>
      <c r="H48" s="1704"/>
      <c r="I48" s="1704"/>
      <c r="J48" s="1704"/>
      <c r="K48" s="1704"/>
      <c r="L48" s="1705"/>
      <c r="M48" s="1706"/>
      <c r="N48" s="1706"/>
      <c r="O48" s="1706"/>
      <c r="P48" s="1753"/>
      <c r="Q48" s="1752"/>
      <c r="R48" s="694"/>
      <c r="S48" s="1834" t="str">
        <f>INDEX(PT_DIFFERENTIATION_NUM_CS,MATCH(C48,PT_DIFFERENTIATION_CS_ID,0))</f>
        <v>..</v>
      </c>
      <c r="T48" s="650" t="s">
        <v>525</v>
      </c>
      <c r="U48" s="641"/>
      <c r="V48" s="2584"/>
      <c r="W48" s="2584"/>
      <c r="X48" s="2584"/>
      <c r="Y48" s="2584"/>
      <c r="Z48" s="2584"/>
      <c r="AA48" s="2584"/>
      <c r="AB48" s="2584"/>
      <c r="AC48" s="2585"/>
      <c r="AD48" s="2583" t="str">
        <f>INDEX(PT_DIFFERENTIATION_CS,MATCH(C48,PT_DIFFERENTIATION_CS_ID,0))</f>
        <v/>
      </c>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2584"/>
      <c r="BB48" s="2585"/>
      <c r="BC48" s="1599" t="s">
        <v>526</v>
      </c>
      <c r="BE48" s="841"/>
      <c r="BF48" s="841" t="str">
        <f>IF(T48="","",T48)</f>
        <v>Наименование централизованной системы горячего водоснабжения</v>
      </c>
      <c r="BG48" s="841"/>
      <c r="BH48" s="841"/>
      <c r="BI48" s="1496">
        <v>34</v>
      </c>
    </row>
    <row s="17316" customFormat="1" customHeight="1" ht="0">
      <c r="A49" s="1684" t="s">
        <v>256</v>
      </c>
      <c r="B49" s="1684" t="s">
        <v>257</v>
      </c>
      <c r="C49" s="1684" t="s">
        <v>258</v>
      </c>
      <c r="D49" s="1684" t="s">
        <v>539</v>
      </c>
      <c r="E49" s="2600"/>
      <c r="F49" s="2600"/>
      <c r="G49" s="2600"/>
      <c r="H49" s="2599">
        <v>1</v>
      </c>
      <c r="I49" s="1684"/>
      <c r="J49" s="1684"/>
      <c r="K49" s="1684"/>
      <c r="L49" s="1687"/>
      <c r="M49" s="1656"/>
      <c r="N49" s="1656"/>
      <c r="O49" s="1656"/>
      <c r="P49" s="1838"/>
      <c r="Q49" s="1839"/>
      <c r="R49" s="698"/>
      <c r="S49" s="1383"/>
      <c r="T49" s="1840"/>
      <c r="U49" s="1725"/>
      <c r="V49" s="2638"/>
      <c r="W49" s="2638"/>
      <c r="X49" s="2638"/>
      <c r="Y49" s="2638"/>
      <c r="Z49" s="2638"/>
      <c r="AA49" s="2638"/>
      <c r="AB49" s="2638"/>
      <c r="AC49" s="2639"/>
      <c r="AD49" s="2637"/>
      <c r="AE49" s="2638"/>
      <c r="AF49" s="2638"/>
      <c r="AG49" s="2638"/>
      <c r="AH49" s="2638"/>
      <c r="AI49" s="2638"/>
      <c r="AJ49" s="2638"/>
      <c r="AK49" s="2638"/>
      <c r="AL49" s="2638"/>
      <c r="AM49" s="2638"/>
      <c r="AN49" s="2638"/>
      <c r="AO49" s="2638"/>
      <c r="AP49" s="2638"/>
      <c r="AQ49" s="2638"/>
      <c r="AR49" s="2638"/>
      <c r="AS49" s="2638"/>
      <c r="AT49" s="2638"/>
      <c r="AU49" s="2638"/>
      <c r="AV49" s="2638"/>
      <c r="AW49" s="2638"/>
      <c r="AX49" s="2638"/>
      <c r="AY49" s="2638"/>
      <c r="AZ49" s="2638"/>
      <c r="BA49" s="2638"/>
      <c r="BB49" s="2639"/>
      <c r="BC49" s="1726" t="s">
        <v>397</v>
      </c>
      <c r="BE49" s="841"/>
      <c r="BF49" s="841" t="str">
        <f>IF(T49="","",T49)</f>
        <v/>
      </c>
      <c r="BG49" s="841"/>
      <c r="BH49" s="841"/>
      <c r="BI49" s="852">
        <v>0</v>
      </c>
    </row>
    <row s="17316" customFormat="1" customHeight="1" ht="0">
      <c r="A50" s="1684" t="s">
        <v>256</v>
      </c>
      <c r="B50" s="1684" t="s">
        <v>257</v>
      </c>
      <c r="C50" s="1684" t="s">
        <v>258</v>
      </c>
      <c r="D50" s="1684" t="s">
        <v>539</v>
      </c>
      <c r="E50" s="2600"/>
      <c r="F50" s="2600"/>
      <c r="G50" s="2600"/>
      <c r="H50" s="2600"/>
      <c r="I50" s="2597" t="str">
        <f>S49&amp;".1"</f>
        <v>.1</v>
      </c>
      <c r="J50" s="1684"/>
      <c r="K50" s="1684"/>
      <c r="L50" s="1687" t="s">
        <v>398</v>
      </c>
      <c r="M50" s="851"/>
      <c r="N50" s="851"/>
      <c r="O50" s="851"/>
      <c r="P50" s="2598">
        <v>1</v>
      </c>
      <c r="Q50" s="1822"/>
      <c r="R50" s="697"/>
      <c r="S50" s="1383"/>
      <c r="T50" s="1724"/>
      <c r="U50" s="1725"/>
      <c r="V50" s="2638"/>
      <c r="W50" s="2638"/>
      <c r="X50" s="2638"/>
      <c r="Y50" s="2638"/>
      <c r="Z50" s="2638"/>
      <c r="AA50" s="2638"/>
      <c r="AB50" s="2638"/>
      <c r="AC50" s="2639"/>
      <c r="AD50" s="2637"/>
      <c r="AE50" s="2638"/>
      <c r="AF50" s="2638"/>
      <c r="AG50" s="2638"/>
      <c r="AH50" s="2638"/>
      <c r="AI50" s="2638"/>
      <c r="AJ50" s="2638"/>
      <c r="AK50" s="2638"/>
      <c r="AL50" s="2638"/>
      <c r="AM50" s="2638"/>
      <c r="AN50" s="2638"/>
      <c r="AO50" s="2638"/>
      <c r="AP50" s="2638"/>
      <c r="AQ50" s="2638"/>
      <c r="AR50" s="2638"/>
      <c r="AS50" s="2638"/>
      <c r="AT50" s="2638"/>
      <c r="AU50" s="2638"/>
      <c r="AV50" s="2638"/>
      <c r="AW50" s="2638"/>
      <c r="AX50" s="2638"/>
      <c r="AY50" s="2638"/>
      <c r="AZ50" s="2638"/>
      <c r="BA50" s="2638"/>
      <c r="BB50" s="2639"/>
      <c r="BC50" s="1726"/>
      <c r="BE50" s="841"/>
      <c r="BF50" s="841" t="str">
        <f>IF(T50="","",T50)</f>
        <v/>
      </c>
      <c r="BG50" s="841"/>
      <c r="BH50" s="841"/>
      <c r="BI50" s="852">
        <v>0</v>
      </c>
    </row>
    <row s="17316" customFormat="1" customHeight="1" ht="0">
      <c r="A51" s="1684" t="s">
        <v>256</v>
      </c>
      <c r="B51" s="1684" t="s">
        <v>257</v>
      </c>
      <c r="C51" s="1684" t="s">
        <v>258</v>
      </c>
      <c r="D51" s="1684" t="s">
        <v>539</v>
      </c>
      <c r="E51" s="2600"/>
      <c r="F51" s="2600"/>
      <c r="G51" s="2600"/>
      <c r="H51" s="2600"/>
      <c r="I51" s="2627"/>
      <c r="J51" s="2597" t="str">
        <f>S49&amp;".1"</f>
        <v>.1</v>
      </c>
      <c r="K51" s="1684"/>
      <c r="L51" s="1687"/>
      <c r="M51" s="851"/>
      <c r="N51" s="851"/>
      <c r="O51" s="851"/>
      <c r="P51" s="2598"/>
      <c r="Q51" s="2598">
        <v>1</v>
      </c>
      <c r="R51" s="698"/>
      <c r="S51" s="1383"/>
      <c r="T51" s="1740"/>
      <c r="U51" s="1725"/>
      <c r="V51" s="2638"/>
      <c r="W51" s="2638"/>
      <c r="X51" s="2638"/>
      <c r="Y51" s="2638"/>
      <c r="Z51" s="2638"/>
      <c r="AA51" s="2638"/>
      <c r="AB51" s="2638"/>
      <c r="AC51" s="2639"/>
      <c r="AD51" s="2637"/>
      <c r="AE51" s="2638"/>
      <c r="AF51" s="2638"/>
      <c r="AG51" s="2638"/>
      <c r="AH51" s="2638"/>
      <c r="AI51" s="2638"/>
      <c r="AJ51" s="2638"/>
      <c r="AK51" s="2638"/>
      <c r="AL51" s="2638"/>
      <c r="AM51" s="2638"/>
      <c r="AN51" s="2705"/>
      <c r="AO51" s="2705"/>
      <c r="AP51" s="2638"/>
      <c r="AQ51" s="2638"/>
      <c r="AR51" s="2638"/>
      <c r="AS51" s="2638"/>
      <c r="AT51" s="2638"/>
      <c r="AU51" s="2638"/>
      <c r="AV51" s="2638"/>
      <c r="AW51" s="2638"/>
      <c r="AX51" s="2638"/>
      <c r="AY51" s="2638"/>
      <c r="AZ51" s="2638"/>
      <c r="BA51" s="2638"/>
      <c r="BB51" s="2639"/>
      <c r="BC51" s="1726"/>
      <c r="BE51" s="841"/>
      <c r="BF51" s="841" t="str">
        <f>IF(T51="","",T51)</f>
        <v/>
      </c>
      <c r="BG51" s="841"/>
      <c r="BH51" s="841"/>
      <c r="BI51" s="852">
        <v>0</v>
      </c>
    </row>
    <row customHeight="1" ht="11.549999999999999">
      <c r="A52" s="1704" t="s">
        <v>256</v>
      </c>
      <c r="B52" s="1704" t="s">
        <v>257</v>
      </c>
      <c r="C52" s="1704" t="s">
        <v>258</v>
      </c>
      <c r="D52" s="1704" t="s">
        <v>539</v>
      </c>
      <c r="E52" s="2600"/>
      <c r="F52" s="2600"/>
      <c r="G52" s="2600"/>
      <c r="H52" s="2600"/>
      <c r="I52" s="2627"/>
      <c r="J52" s="2627"/>
      <c r="K52" s="2597" t="str">
        <f>S48&amp;".1"</f>
        <v>...1</v>
      </c>
      <c r="L52" s="1705"/>
      <c r="P52" s="2598"/>
      <c r="Q52" s="2598"/>
      <c r="R52" s="698">
        <v>1</v>
      </c>
      <c r="S52" s="2682" t="str">
        <f>$K52</f>
        <v>...1</v>
      </c>
      <c r="T52" s="2701"/>
      <c r="U52" s="641"/>
      <c r="V52" s="1092"/>
      <c r="W52" s="1598"/>
      <c r="X52" s="1092"/>
      <c r="Y52" s="1598"/>
      <c r="Z52" s="2075"/>
      <c r="AA52" s="1810" t="s">
        <v>65</v>
      </c>
      <c r="AB52" s="2075"/>
      <c r="AC52" s="1810" t="s">
        <v>65</v>
      </c>
      <c r="AD52" s="2526" t="s">
        <v>65</v>
      </c>
      <c r="AE52" s="2667"/>
      <c r="AF52" s="2546">
        <v>1</v>
      </c>
      <c r="AG52" s="2704"/>
      <c r="AH52" s="2448" t="s">
        <v>65</v>
      </c>
      <c r="AI52" s="2667"/>
      <c r="AJ52" s="2546">
        <v>1</v>
      </c>
      <c r="AK52" s="2668" t="s">
        <v>22</v>
      </c>
      <c r="AL52" s="2448" t="s">
        <v>65</v>
      </c>
      <c r="AM52" s="2533"/>
      <c r="AN52" s="2546">
        <v>1</v>
      </c>
      <c r="AO52" s="2698"/>
      <c r="AP52" s="2699" t="s">
        <v>65</v>
      </c>
      <c r="AQ52" s="652"/>
      <c r="AR52" s="1827">
        <v>1</v>
      </c>
      <c r="AS52" s="1833" t="s">
        <v>22</v>
      </c>
      <c r="AT52" s="1092"/>
      <c r="AU52" s="1598"/>
      <c r="AV52" s="1092"/>
      <c r="AW52" s="1598"/>
      <c r="AX52" s="2075"/>
      <c r="AY52" s="1810" t="s">
        <v>65</v>
      </c>
      <c r="AZ52" s="2075"/>
      <c r="BA52" s="1810" t="s">
        <v>65</v>
      </c>
      <c r="BB52" s="1689"/>
      <c r="BC52" s="2594" t="s">
        <v>496</v>
      </c>
      <c r="BE52" s="841"/>
      <c r="BF52" s="841" t="str">
        <f>IF(T52="","",T52)</f>
        <v/>
      </c>
      <c r="BG52" s="841"/>
      <c r="BH52" s="841"/>
      <c r="BI52" s="1496">
        <v>11</v>
      </c>
    </row>
    <row customHeight="1" ht="11.549999999999999">
      <c r="A53" s="1704"/>
      <c r="B53" s="1704"/>
      <c r="C53" s="1704"/>
      <c r="D53" s="1704"/>
      <c r="E53" s="2600"/>
      <c r="F53" s="2600"/>
      <c r="G53" s="2600"/>
      <c r="H53" s="2600"/>
      <c r="I53" s="2627"/>
      <c r="J53" s="2627"/>
      <c r="K53" s="2597"/>
      <c r="L53" s="1705"/>
      <c r="P53" s="2598"/>
      <c r="Q53" s="2598"/>
      <c r="R53" s="698"/>
      <c r="S53" s="2683"/>
      <c r="T53" s="2702"/>
      <c r="U53" s="641"/>
      <c r="V53" s="1734"/>
      <c r="W53" s="1837"/>
      <c r="X53" s="1734"/>
      <c r="Y53" s="1837"/>
      <c r="Z53" s="1734"/>
      <c r="AA53" s="1734"/>
      <c r="AB53" s="1734"/>
      <c r="AC53" s="1734"/>
      <c r="AD53" s="2527"/>
      <c r="AE53" s="2667"/>
      <c r="AF53" s="2546"/>
      <c r="AG53" s="2704"/>
      <c r="AH53" s="2448"/>
      <c r="AI53" s="2667"/>
      <c r="AJ53" s="2546"/>
      <c r="AK53" s="2668"/>
      <c r="AL53" s="2448"/>
      <c r="AM53" s="2541"/>
      <c r="AN53" s="2546"/>
      <c r="AO53" s="2698"/>
      <c r="AP53" s="2700"/>
      <c r="AQ53" s="657"/>
      <c r="AR53" s="757"/>
      <c r="AS53" s="757" t="s">
        <v>497</v>
      </c>
      <c r="AT53" s="1734"/>
      <c r="AU53" s="1837"/>
      <c r="AV53" s="1734"/>
      <c r="AW53" s="1837"/>
      <c r="AX53" s="1734"/>
      <c r="AY53" s="1734"/>
      <c r="AZ53" s="1734"/>
      <c r="BA53" s="1734"/>
      <c r="BB53" s="1738"/>
      <c r="BC53" s="2595"/>
      <c r="BE53" s="841"/>
      <c r="BF53" s="841"/>
      <c r="BG53" s="841"/>
      <c r="BH53" s="841"/>
      <c r="BI53" s="1496">
        <v>11</v>
      </c>
    </row>
    <row customHeight="1" ht="11.549999999999999">
      <c r="A54" s="1704" t="s">
        <v>256</v>
      </c>
      <c r="B54" s="1704"/>
      <c r="C54" s="1704"/>
      <c r="D54" s="1704"/>
      <c r="E54" s="2600"/>
      <c r="F54" s="2600"/>
      <c r="G54" s="2600"/>
      <c r="H54" s="2600"/>
      <c r="I54" s="2627"/>
      <c r="J54" s="2627"/>
      <c r="K54" s="2597"/>
      <c r="L54" s="1705"/>
      <c r="P54" s="2598"/>
      <c r="Q54" s="2598"/>
      <c r="R54" s="698"/>
      <c r="S54" s="2683"/>
      <c r="T54" s="2702"/>
      <c r="U54" s="641"/>
      <c r="V54" s="1734"/>
      <c r="W54" s="1837"/>
      <c r="X54" s="1734"/>
      <c r="Y54" s="1837"/>
      <c r="Z54" s="1734"/>
      <c r="AA54" s="1734"/>
      <c r="AB54" s="1734"/>
      <c r="AC54" s="1734"/>
      <c r="AD54" s="2527"/>
      <c r="AE54" s="2667"/>
      <c r="AF54" s="2546"/>
      <c r="AG54" s="2704"/>
      <c r="AH54" s="2448"/>
      <c r="AI54" s="2667"/>
      <c r="AJ54" s="2546"/>
      <c r="AK54" s="2668"/>
      <c r="AL54" s="2448"/>
      <c r="AM54" s="657"/>
      <c r="AN54" s="1841"/>
      <c r="AO54" s="1841" t="s">
        <v>498</v>
      </c>
      <c r="AP54" s="757"/>
      <c r="AQ54" s="757"/>
      <c r="AR54" s="757"/>
      <c r="AS54" s="1734"/>
      <c r="AT54" s="1734"/>
      <c r="AU54" s="1837"/>
      <c r="AV54" s="1734"/>
      <c r="AW54" s="1837"/>
      <c r="AX54" s="1734"/>
      <c r="AY54" s="1734"/>
      <c r="AZ54" s="1734"/>
      <c r="BA54" s="1734"/>
      <c r="BB54" s="1738"/>
      <c r="BC54" s="2595"/>
      <c r="BE54" s="841"/>
      <c r="BF54" s="841"/>
      <c r="BG54" s="841"/>
      <c r="BH54" s="841"/>
      <c r="BI54" s="1496">
        <v>11</v>
      </c>
    </row>
    <row customHeight="1" ht="11.549999999999999">
      <c r="A55" s="1704" t="s">
        <v>256</v>
      </c>
      <c r="B55" s="1704"/>
      <c r="C55" s="1704"/>
      <c r="D55" s="1704"/>
      <c r="E55" s="2600"/>
      <c r="F55" s="2600"/>
      <c r="G55" s="2600"/>
      <c r="H55" s="2600"/>
      <c r="I55" s="2627"/>
      <c r="J55" s="2627"/>
      <c r="K55" s="2597"/>
      <c r="L55" s="1705"/>
      <c r="P55" s="2598"/>
      <c r="Q55" s="2598"/>
      <c r="R55" s="698"/>
      <c r="S55" s="2683"/>
      <c r="T55" s="2702"/>
      <c r="U55" s="641"/>
      <c r="V55" s="1734"/>
      <c r="W55" s="1837"/>
      <c r="X55" s="1734"/>
      <c r="Y55" s="1837"/>
      <c r="Z55" s="1734"/>
      <c r="AA55" s="1734"/>
      <c r="AB55" s="1734"/>
      <c r="AC55" s="1734"/>
      <c r="AD55" s="2527"/>
      <c r="AE55" s="2667"/>
      <c r="AF55" s="2546"/>
      <c r="AG55" s="2704"/>
      <c r="AH55" s="2448"/>
      <c r="AI55" s="635"/>
      <c r="AJ55" s="756"/>
      <c r="AK55" s="654" t="s">
        <v>499</v>
      </c>
      <c r="AL55" s="1734"/>
      <c r="AM55" s="1734"/>
      <c r="AN55" s="1734"/>
      <c r="AO55" s="1734"/>
      <c r="AP55" s="1734"/>
      <c r="AQ55" s="1734"/>
      <c r="AR55" s="1734"/>
      <c r="AS55" s="1734"/>
      <c r="AT55" s="1734"/>
      <c r="AU55" s="1837"/>
      <c r="AV55" s="1734"/>
      <c r="AW55" s="1837"/>
      <c r="AX55" s="1734"/>
      <c r="AY55" s="1734"/>
      <c r="AZ55" s="1734"/>
      <c r="BA55" s="1734"/>
      <c r="BB55" s="1738"/>
      <c r="BC55" s="2595"/>
      <c r="BE55" s="841"/>
      <c r="BF55" s="841"/>
      <c r="BG55" s="841"/>
      <c r="BH55" s="841"/>
      <c r="BI55" s="1496">
        <v>11</v>
      </c>
    </row>
    <row customHeight="1" ht="11.549999999999999">
      <c r="A56" s="1704" t="s">
        <v>256</v>
      </c>
      <c r="B56" s="1704" t="s">
        <v>257</v>
      </c>
      <c r="C56" s="1704" t="s">
        <v>258</v>
      </c>
      <c r="D56" s="1704" t="s">
        <v>539</v>
      </c>
      <c r="E56" s="2600"/>
      <c r="F56" s="2600"/>
      <c r="G56" s="2600"/>
      <c r="H56" s="2600"/>
      <c r="I56" s="2627"/>
      <c r="J56" s="2627"/>
      <c r="K56" s="2597"/>
      <c r="L56" s="1705"/>
      <c r="P56" s="2598"/>
      <c r="Q56" s="2598"/>
      <c r="R56" s="698"/>
      <c r="S56" s="2684"/>
      <c r="T56" s="2703"/>
      <c r="U56" s="641"/>
      <c r="V56" s="1734"/>
      <c r="W56" s="1735" t="str">
        <f>Z52&amp;"-"&amp;AB52</f>
        <v>-</v>
      </c>
      <c r="X56" s="1734"/>
      <c r="Y56" s="1735" t="str">
        <f>AB52&amp;"-"&amp;AD52</f>
        <v>-да</v>
      </c>
      <c r="Z56" s="1734"/>
      <c r="AA56" s="1734"/>
      <c r="AB56" s="1734"/>
      <c r="AC56" s="1734"/>
      <c r="AD56" s="2453"/>
      <c r="AE56" s="653"/>
      <c r="AF56" s="655"/>
      <c r="AG56" s="757" t="s">
        <v>500</v>
      </c>
      <c r="AH56" s="1734"/>
      <c r="AI56" s="1734"/>
      <c r="AJ56" s="1734"/>
      <c r="AK56" s="1734"/>
      <c r="AL56" s="1734"/>
      <c r="AM56" s="1734"/>
      <c r="AN56" s="1734"/>
      <c r="AO56" s="1734"/>
      <c r="AP56" s="1734"/>
      <c r="AQ56" s="1734"/>
      <c r="AR56" s="1734"/>
      <c r="AS56" s="1734"/>
      <c r="AT56" s="1734"/>
      <c r="AU56" s="1735" t="str">
        <f>AX52&amp;"-"&amp;AZ52</f>
        <v>-</v>
      </c>
      <c r="AV56" s="1734"/>
      <c r="AW56" s="1735" t="str">
        <f>AZ52&amp;"-"&amp;BB52</f>
        <v>-</v>
      </c>
      <c r="AX56" s="1734"/>
      <c r="AY56" s="1734"/>
      <c r="AZ56" s="1734"/>
      <c r="BA56" s="1734"/>
      <c r="BB56" s="1737" t="str">
        <f>BE52&amp;"-"&amp;BG52</f>
        <v>-</v>
      </c>
      <c r="BC56" s="2595"/>
      <c r="BE56" s="841"/>
      <c r="BF56" s="841" t="str">
        <f>IF(T56="","",T56)</f>
        <v/>
      </c>
      <c r="BG56" s="841"/>
      <c r="BH56" s="841"/>
      <c r="BI56" s="1496">
        <v>11</v>
      </c>
    </row>
    <row customHeight="1" ht="11.549999999999999">
      <c r="A57" s="1704" t="s">
        <v>256</v>
      </c>
      <c r="B57" s="1704" t="s">
        <v>257</v>
      </c>
      <c r="C57" s="1704" t="s">
        <v>258</v>
      </c>
      <c r="D57" s="1704" t="s">
        <v>539</v>
      </c>
      <c r="E57" s="2600"/>
      <c r="F57" s="2600"/>
      <c r="G57" s="2600"/>
      <c r="H57" s="2600"/>
      <c r="I57" s="2627"/>
      <c r="J57" s="2597"/>
      <c r="K57" s="1704"/>
      <c r="L57" s="1705"/>
      <c r="P57" s="2598"/>
      <c r="Q57" s="2598"/>
      <c r="R57" s="697"/>
      <c r="S57" s="1619"/>
      <c r="T57" s="628" t="s">
        <v>463</v>
      </c>
      <c r="U57" s="708"/>
      <c r="V57" s="708"/>
      <c r="W57" s="708"/>
      <c r="X57" s="708"/>
      <c r="Y57" s="708"/>
      <c r="Z57" s="708"/>
      <c r="AA57" s="708"/>
      <c r="AB57" s="708"/>
      <c r="AC57" s="665"/>
      <c r="AD57" s="1846"/>
      <c r="AE57" s="708"/>
      <c r="AF57" s="708"/>
      <c r="AG57" s="708"/>
      <c r="AH57" s="708"/>
      <c r="AI57" s="708"/>
      <c r="AJ57" s="708"/>
      <c r="AK57" s="708"/>
      <c r="AL57" s="708"/>
      <c r="AM57" s="708"/>
      <c r="AN57" s="708"/>
      <c r="AO57" s="708"/>
      <c r="AP57" s="708"/>
      <c r="AQ57" s="708"/>
      <c r="AR57" s="708"/>
      <c r="AS57" s="708"/>
      <c r="AT57" s="708"/>
      <c r="AU57" s="708"/>
      <c r="AV57" s="708"/>
      <c r="AW57" s="708"/>
      <c r="AX57" s="708"/>
      <c r="AY57" s="708"/>
      <c r="AZ57" s="708"/>
      <c r="BA57" s="708"/>
      <c r="BB57" s="665"/>
      <c r="BC57" s="2596"/>
      <c r="BE57" s="841"/>
      <c r="BF57" s="841" t="str">
        <f>IF(T57="","",T57)</f>
        <v>Добавить строку</v>
      </c>
      <c r="BG57" s="841"/>
      <c r="BH57" s="841"/>
      <c r="BI57" s="1496">
        <v>11</v>
      </c>
    </row>
    <row s="17316" customFormat="1" customHeight="1" ht="0">
      <c r="A58" s="1684" t="s">
        <v>256</v>
      </c>
      <c r="B58" s="1684" t="s">
        <v>257</v>
      </c>
      <c r="C58" s="1684" t="s">
        <v>258</v>
      </c>
      <c r="D58" s="1684" t="s">
        <v>539</v>
      </c>
      <c r="E58" s="2600"/>
      <c r="F58" s="2600"/>
      <c r="G58" s="2600"/>
      <c r="H58" s="2600"/>
      <c r="I58" s="2597"/>
      <c r="J58" s="1684"/>
      <c r="K58" s="1684"/>
      <c r="L58" s="1687"/>
      <c r="M58" s="851"/>
      <c r="N58" s="851"/>
      <c r="O58" s="851"/>
      <c r="P58" s="2598"/>
      <c r="Q58" s="1822"/>
      <c r="R58" s="697"/>
      <c r="S58" s="1727"/>
      <c r="T58" s="1728"/>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1729"/>
      <c r="BB58" s="1729"/>
      <c r="BC58" s="1730"/>
      <c r="BE58" s="841"/>
      <c r="BF58" s="841" t="str">
        <f>IF(T58="","",T58)</f>
        <v/>
      </c>
      <c r="BG58" s="841"/>
      <c r="BH58" s="841"/>
      <c r="BI58" s="852">
        <v>0</v>
      </c>
    </row>
    <row s="17316" customFormat="1" customHeight="1" ht="0">
      <c r="A59" s="1684" t="s">
        <v>256</v>
      </c>
      <c r="B59" s="1684" t="s">
        <v>257</v>
      </c>
      <c r="C59" s="1684" t="s">
        <v>258</v>
      </c>
      <c r="D59" s="1684" t="s">
        <v>539</v>
      </c>
      <c r="E59" s="2600"/>
      <c r="F59" s="2600"/>
      <c r="G59" s="2600"/>
      <c r="H59" s="2599"/>
      <c r="I59" s="1684"/>
      <c r="J59" s="1684"/>
      <c r="K59" s="1684"/>
      <c r="L59" s="1687"/>
      <c r="M59" s="1656"/>
      <c r="N59" s="1656"/>
      <c r="O59" s="859"/>
      <c r="P59" s="721"/>
      <c r="Q59" s="1685"/>
      <c r="R59" s="1742"/>
      <c r="S59" s="1727"/>
      <c r="T59" s="1728"/>
      <c r="U59" s="1729"/>
      <c r="V59" s="1729"/>
      <c r="W59" s="1729"/>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729"/>
      <c r="AS59" s="1729"/>
      <c r="AT59" s="1729"/>
      <c r="AU59" s="1729"/>
      <c r="AV59" s="1729"/>
      <c r="AW59" s="1729"/>
      <c r="AX59" s="1729"/>
      <c r="AY59" s="1729"/>
      <c r="AZ59" s="1729"/>
      <c r="BA59" s="1729"/>
      <c r="BB59" s="1729"/>
      <c r="BC59" s="1730"/>
      <c r="BE59" s="841"/>
      <c r="BF59" s="841" t="str">
        <f>IF(T59="","",T59)</f>
        <v/>
      </c>
      <c r="BG59" s="841"/>
      <c r="BH59" s="841"/>
      <c r="BI59" s="852">
        <v>0</v>
      </c>
    </row>
    <row s="17316" customFormat="1" customHeight="1" ht="0">
      <c r="A60" s="1684" t="s">
        <v>256</v>
      </c>
      <c r="B60" s="1684" t="s">
        <v>257</v>
      </c>
      <c r="C60" s="1684" t="s">
        <v>258</v>
      </c>
      <c r="D60" s="1655"/>
      <c r="E60" s="2600"/>
      <c r="F60" s="2600"/>
      <c r="G60" s="2599"/>
      <c r="H60" s="1655"/>
      <c r="I60" s="1655"/>
      <c r="J60" s="1655"/>
      <c r="K60" s="1655"/>
      <c r="L60" s="1835"/>
      <c r="M60" s="1656"/>
      <c r="N60" s="1656"/>
      <c r="P60" s="1657"/>
      <c r="Q60" s="1658"/>
      <c r="R60" s="1657"/>
      <c r="S60" s="1663"/>
      <c r="T60" s="1666"/>
      <c r="U60" s="1665"/>
      <c r="V60" s="1665"/>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V60" s="1665"/>
      <c r="AW60" s="1665"/>
      <c r="AX60" s="1665"/>
      <c r="AY60" s="1665"/>
      <c r="AZ60" s="1665"/>
      <c r="BA60" s="1665"/>
      <c r="BB60" s="1665"/>
      <c r="BC60" s="1665"/>
      <c r="BE60" s="1130"/>
      <c r="BF60" s="1130" t="str">
        <f>IF(T60="","",T60)</f>
        <v/>
      </c>
      <c r="BG60" s="1130"/>
      <c r="BH60" s="1130"/>
      <c r="BI60" s="859">
        <v>0</v>
      </c>
    </row>
    <row s="17316" customFormat="1" customHeight="1" ht="0">
      <c r="A61" s="1684" t="s">
        <v>256</v>
      </c>
      <c r="B61" s="1684" t="s">
        <v>257</v>
      </c>
      <c r="C61" s="1655"/>
      <c r="D61" s="1655"/>
      <c r="E61" s="2600"/>
      <c r="F61" s="2599"/>
      <c r="G61" s="1655"/>
      <c r="H61" s="1655"/>
      <c r="I61" s="1655"/>
      <c r="J61" s="1655"/>
      <c r="K61" s="1655"/>
      <c r="L61" s="1835"/>
      <c r="M61" s="1662"/>
      <c r="N61" s="1662"/>
      <c r="P61" s="1657"/>
      <c r="Q61" s="1658"/>
      <c r="R61" s="1657"/>
      <c r="S61" s="1663"/>
      <c r="T61" s="1666" t="s">
        <v>410</v>
      </c>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E61" s="1130"/>
      <c r="BF61" s="1130" t="str">
        <f>IF(T61="","",T61)</f>
        <v>Добавить централизованную систему для дифференциации</v>
      </c>
      <c r="BG61" s="1130"/>
      <c r="BH61" s="1130"/>
      <c r="BI61" s="859">
        <v>0</v>
      </c>
    </row>
    <row s="17316" customFormat="1" customHeight="1" ht="0">
      <c r="A62" s="1684" t="s">
        <v>256</v>
      </c>
      <c r="B62" s="1684"/>
      <c r="C62" s="1684"/>
      <c r="D62" s="1684"/>
      <c r="E62" s="2599"/>
      <c r="F62" s="1684"/>
      <c r="G62" s="1684"/>
      <c r="H62" s="1684"/>
      <c r="I62" s="1684"/>
      <c r="J62" s="1684"/>
      <c r="K62" s="1684"/>
      <c r="L62" s="1687"/>
      <c r="M62" s="1662"/>
      <c r="N62" s="1662"/>
      <c r="O62" s="859"/>
      <c r="P62" s="721"/>
      <c r="Q62" s="1685"/>
      <c r="R62" s="721"/>
      <c r="S62" s="1663"/>
      <c r="T62" s="1666" t="s">
        <v>411</v>
      </c>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V62" s="1665"/>
      <c r="AW62" s="1665"/>
      <c r="AX62" s="1665"/>
      <c r="AY62" s="1665"/>
      <c r="AZ62" s="1665"/>
      <c r="BA62" s="1665"/>
      <c r="BB62" s="1665"/>
      <c r="BC62" s="1665"/>
      <c r="BE62" s="841"/>
      <c r="BF62" s="841" t="str">
        <f>IF(T62="","",T62)</f>
        <v>Добавить территорию для дифференциации</v>
      </c>
      <c r="BG62" s="841"/>
      <c r="BH62" s="841"/>
      <c r="BI62" s="852">
        <v>0</v>
      </c>
    </row>
    <row s="17316" customFormat="1" customHeight="1" ht="0">
      <c r="A63" s="1655"/>
      <c r="B63" s="1655"/>
      <c r="C63" s="1655"/>
      <c r="D63" s="1655"/>
      <c r="E63" s="1684"/>
      <c r="F63" s="1655"/>
      <c r="G63" s="1655"/>
      <c r="H63" s="1655"/>
      <c r="I63" s="1655"/>
      <c r="J63" s="1655"/>
      <c r="K63" s="1655"/>
      <c r="L63" s="1835"/>
      <c r="M63" s="1662"/>
      <c r="N63" s="1662"/>
      <c r="P63" s="1657"/>
      <c r="Q63" s="1658"/>
      <c r="R63" s="1657"/>
      <c r="S63" s="1663"/>
      <c r="T63" s="1666" t="s">
        <v>443</v>
      </c>
      <c r="U63" s="1665"/>
      <c r="V63" s="1665"/>
      <c r="W63" s="1665"/>
      <c r="X63" s="1665"/>
      <c r="Y63" s="1665"/>
      <c r="Z63" s="1665"/>
      <c r="AA63" s="1665"/>
      <c r="AB63" s="1665"/>
      <c r="AC63" s="1665"/>
      <c r="AD63" s="1665"/>
      <c r="AE63" s="1665"/>
      <c r="AF63" s="1665"/>
      <c r="AG63" s="1665"/>
      <c r="AH63" s="1665"/>
      <c r="AI63" s="1665"/>
      <c r="AJ63" s="1665"/>
      <c r="AK63" s="1665"/>
      <c r="AL63" s="1665"/>
      <c r="AM63" s="1665"/>
      <c r="AN63" s="1665"/>
      <c r="AO63" s="1665"/>
      <c r="AP63" s="1665"/>
      <c r="AQ63" s="1665"/>
      <c r="AR63" s="1665"/>
      <c r="AS63" s="1665"/>
      <c r="AT63" s="1665"/>
      <c r="AU63" s="1665"/>
      <c r="AV63" s="1665"/>
      <c r="AW63" s="1665"/>
      <c r="AX63" s="1665"/>
      <c r="AY63" s="1665"/>
      <c r="AZ63" s="1665"/>
      <c r="BA63" s="1665"/>
      <c r="BB63" s="1665"/>
      <c r="BC63" s="1665"/>
      <c r="BE63" s="1130"/>
      <c r="BF63" s="1130" t="str">
        <f>IF(T63="","",T63)</f>
        <v>Добавить наименование тарифа</v>
      </c>
      <c r="BG63" s="1130"/>
      <c r="BH63" s="1130"/>
      <c r="BI63" s="859">
        <v>0</v>
      </c>
    </row>
    <row customHeight="1" ht="11.549999999999999">
      <c r="M64" s="1501"/>
      <c r="N64" s="1501"/>
      <c r="O64" s="878"/>
      <c r="P64" s="1501"/>
      <c r="Q64" s="1501"/>
      <c r="R64" s="1496"/>
      <c r="S64" s="1496"/>
      <c r="BD64" s="1496"/>
      <c r="BE64" s="1496"/>
      <c r="BF64" s="1496"/>
      <c r="BG64" s="1496"/>
      <c r="BH64" s="1496"/>
      <c r="BI64" s="1496">
        <v>11</v>
      </c>
    </row>
    <row customHeight="1" ht="19.95">
      <c r="O65" s="878"/>
      <c r="S65" s="1594"/>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c r="AS65" s="2626"/>
      <c r="AT65" s="2626"/>
      <c r="AU65" s="2626"/>
      <c r="AV65" s="2626"/>
      <c r="AW65" s="2626"/>
      <c r="AX65" s="2626"/>
      <c r="AY65" s="2626"/>
      <c r="AZ65" s="2626"/>
      <c r="BA65" s="2626"/>
      <c r="BB65" s="2626"/>
      <c r="BC65" s="2626"/>
      <c r="BI65" s="1496">
        <v>19</v>
      </c>
    </row>
    <row customHeight="1" ht="14.699999999999998">
      <c r="O66" s="878"/>
      <c r="T66" s="1821"/>
      <c r="U66" s="1821"/>
      <c r="V66" s="1821"/>
      <c r="W66" s="1821"/>
      <c r="X66" s="1821"/>
      <c r="Y66" s="1821"/>
      <c r="Z66" s="1821"/>
      <c r="AA66" s="1821"/>
      <c r="AB66" s="1821"/>
      <c r="AC66" s="1821"/>
      <c r="AD66" s="1821"/>
      <c r="AE66" s="1821"/>
      <c r="AF66" s="1821"/>
      <c r="AG66" s="1821"/>
      <c r="AH66" s="1821"/>
      <c r="AI66" s="1821"/>
      <c r="AJ66" s="1821"/>
      <c r="AK66" s="1821"/>
      <c r="AL66" s="1821"/>
      <c r="AM66" s="1821"/>
      <c r="AN66" s="1821"/>
      <c r="AO66" s="1821"/>
      <c r="AP66" s="1821"/>
      <c r="AQ66" s="1821"/>
      <c r="AR66" s="1821"/>
      <c r="AS66" s="1821"/>
      <c r="AT66" s="1821"/>
      <c r="AU66" s="1821"/>
      <c r="AV66" s="1821"/>
      <c r="AW66" s="1821"/>
      <c r="AX66" s="1821"/>
      <c r="AY66" s="1821"/>
      <c r="AZ66" s="1821"/>
      <c r="BA66" s="1821"/>
      <c r="BB66" s="1821"/>
      <c r="BC66" s="1821"/>
      <c r="BI66" s="1496">
        <v>14</v>
      </c>
    </row>
    <row customHeight="1" ht="19.95">
      <c r="O67" s="878"/>
      <c r="S67" s="1594"/>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AV67" s="2626"/>
      <c r="AW67" s="2626"/>
      <c r="AX67" s="2626"/>
      <c r="AY67" s="2626"/>
      <c r="AZ67" s="2626"/>
      <c r="BA67" s="2626"/>
      <c r="BB67" s="2626"/>
      <c r="BC67" s="2626"/>
      <c r="BI67" s="1496">
        <v>19</v>
      </c>
    </row>
    <row customHeight="1" ht="14.699999999999998">
      <c r="O68" s="878"/>
      <c r="BI68" s="1496">
        <v>14</v>
      </c>
    </row>
    <row customHeight="1" ht="14.25" hidden="1">
      <c r="A69" s="1501" t="s">
        <v>82</v>
      </c>
      <c r="B69" s="1501">
        <v>0</v>
      </c>
      <c r="C69" s="1501">
        <v>0</v>
      </c>
      <c r="D69" s="1501">
        <v>0</v>
      </c>
      <c r="E69" s="1501">
        <v>0</v>
      </c>
      <c r="F69" s="1501">
        <v>0</v>
      </c>
      <c r="G69" s="1501">
        <v>0</v>
      </c>
      <c r="H69" s="1501">
        <v>0</v>
      </c>
      <c r="I69" s="1501">
        <v>0</v>
      </c>
      <c r="J69" s="1501">
        <v>0</v>
      </c>
      <c r="K69" s="1501">
        <v>0</v>
      </c>
      <c r="L69" s="1819">
        <v>0</v>
      </c>
      <c r="M69" s="1703">
        <v>0</v>
      </c>
      <c r="N69" s="1703">
        <v>0</v>
      </c>
      <c r="O69" s="1703">
        <v>0</v>
      </c>
      <c r="P69" s="1703">
        <v>0</v>
      </c>
      <c r="Q69" s="1712">
        <v>0</v>
      </c>
      <c r="R69" s="685">
        <v>3</v>
      </c>
      <c r="S69" s="922">
        <v>12</v>
      </c>
      <c r="T69" s="1496">
        <v>31</v>
      </c>
      <c r="U69" s="1496">
        <v>0</v>
      </c>
      <c r="V69" s="1496">
        <v>0</v>
      </c>
      <c r="W69" s="1496">
        <v>0</v>
      </c>
      <c r="X69" s="1496">
        <v>0</v>
      </c>
      <c r="Y69" s="1496">
        <v>0</v>
      </c>
      <c r="Z69" s="1496">
        <v>0</v>
      </c>
      <c r="AA69" s="1496">
        <v>0</v>
      </c>
      <c r="AB69" s="1496">
        <v>0</v>
      </c>
      <c r="AC69" s="1496">
        <v>0</v>
      </c>
      <c r="AD69" s="1496">
        <v>3</v>
      </c>
      <c r="AE69" s="1496">
        <v>3</v>
      </c>
      <c r="AF69" s="1496">
        <v>3</v>
      </c>
      <c r="AG69" s="1496">
        <v>24</v>
      </c>
      <c r="AH69" s="1496">
        <v>3</v>
      </c>
      <c r="AI69" s="1496">
        <v>3</v>
      </c>
      <c r="AJ69" s="1496">
        <v>3</v>
      </c>
      <c r="AK69" s="1496">
        <v>24</v>
      </c>
      <c r="AL69" s="1496">
        <v>3</v>
      </c>
      <c r="AM69" s="1496">
        <v>3</v>
      </c>
      <c r="AN69" s="1496">
        <v>3</v>
      </c>
      <c r="AO69" s="1496">
        <v>18</v>
      </c>
      <c r="AP69" s="1496">
        <v>3</v>
      </c>
      <c r="AQ69" s="1496">
        <v>3</v>
      </c>
      <c r="AR69" s="1496">
        <v>3</v>
      </c>
      <c r="AS69" s="1496">
        <v>18</v>
      </c>
      <c r="AT69" s="1496">
        <v>21</v>
      </c>
      <c r="AU69" s="1496">
        <v>21</v>
      </c>
      <c r="AV69" s="1496">
        <v>21</v>
      </c>
      <c r="AW69" s="1496">
        <v>21</v>
      </c>
      <c r="AX69" s="1496">
        <v>11</v>
      </c>
      <c r="AY69" s="1496">
        <v>3</v>
      </c>
      <c r="AZ69" s="1496">
        <v>11</v>
      </c>
      <c r="BA69" s="1496">
        <v>0</v>
      </c>
      <c r="BB69" s="1496">
        <v>4</v>
      </c>
      <c r="BC69" s="1496">
        <v>115</v>
      </c>
      <c r="BD69" s="852">
        <v>10</v>
      </c>
      <c r="BE69" s="852">
        <v>10</v>
      </c>
      <c r="BF69" s="852">
        <v>10</v>
      </c>
      <c r="BG69" s="852">
        <v>10</v>
      </c>
      <c r="BH69" s="852">
        <v>10</v>
      </c>
      <c r="BI69" s="1496">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9A1883-161B-C3D4-6589-B07044D4DE8A}"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18498" width="10.7109375" hidden="1" customWidth="1"/>
    <col min="2" max="2" style="17315" width="16.8515625" hidden="1" customWidth="1"/>
    <col min="3" max="3" style="17316" width="5.57421875" hidden="1" customWidth="1"/>
    <col min="4" max="4" style="17239" width="3.00390625" customWidth="1"/>
    <col min="5" max="5" style="17239" width="7.00390625" customWidth="1"/>
    <col min="6" max="6" style="17239" width="54.00390625" customWidth="1"/>
    <col min="7" max="7" style="17239" width="10.00390625" customWidth="1"/>
    <col min="8" max="8" style="17239" width="40.7109375" hidden="1" customWidth="1"/>
    <col min="9" max="9" style="17239" width="40.7109375" customWidth="1"/>
    <col min="10" max="10" style="17239" width="102.00390625" customWidth="1"/>
    <col min="11" max="11" style="17315" width="9.00390625" customWidth="1"/>
    <col min="12" max="12" style="17316" width="5.00390625" customWidth="1"/>
    <col min="13" max="13" style="17316" width="3.00390625" customWidth="1"/>
    <col min="14" max="17" style="17315" width="3.00390625" customWidth="1"/>
    <col min="18" max="18" style="17316" width="10.00390625" customWidth="1"/>
    <col min="19" max="19" style="17315" width="34.00390625" customWidth="1"/>
    <col min="20" max="20" style="17315" width="9.00390625" customWidth="1"/>
    <col min="21" max="21" style="18499" width="8.00390625" customWidth="1"/>
    <col min="22" max="26" style="17315" width="8.00390625" customWidth="1"/>
    <col min="27" max="31" style="17203" width="8.00390625" customWidth="1"/>
    <col min="32" max="32" style="17239" width="9.140625" hidden="1"/>
  </cols>
  <sheetData>
    <row customHeight="1" ht="22.5" hidden="1">
      <c r="AF1" s="1972" t="s">
        <v>14</v>
      </c>
    </row>
    <row customHeight="1" ht="23.25" hidden="1">
      <c r="B2" s="2440"/>
      <c r="C2" s="1508" t="s">
        <v>540</v>
      </c>
      <c r="D2" s="1979"/>
      <c r="E2" s="887">
        <f>B2</f>
        <v>0</v>
      </c>
      <c r="F2" s="888"/>
      <c r="G2" s="1987" t="s">
        <v>541</v>
      </c>
      <c r="H2" s="1987" t="s">
        <v>541</v>
      </c>
      <c r="I2" s="1987" t="s">
        <v>541</v>
      </c>
      <c r="J2" s="630" t="s">
        <v>542</v>
      </c>
      <c r="K2" s="884"/>
      <c r="AF2" s="1972">
        <v>0</v>
      </c>
    </row>
    <row s="17316" customFormat="1" customHeight="1" ht="0.75" hidden="1">
      <c r="B3" s="2440"/>
      <c r="C3" s="1508"/>
      <c r="D3" s="889"/>
      <c r="E3" s="890"/>
      <c r="F3" s="891" t="s">
        <v>543</v>
      </c>
      <c r="G3" s="892"/>
      <c r="H3" s="892">
        <f>H4*H5+H7</f>
        <v>0</v>
      </c>
      <c r="I3" s="892">
        <f>I4*I5+I6</f>
        <v>0</v>
      </c>
      <c r="J3" s="893"/>
      <c r="AF3" s="1977">
        <v>0</v>
      </c>
    </row>
    <row customHeight="1" ht="23.25" hidden="1">
      <c r="B4" s="2440"/>
      <c r="C4" s="1508"/>
      <c r="D4" s="1979"/>
      <c r="E4" s="887" t="str">
        <f>B2&amp;".1"</f>
        <v>.1</v>
      </c>
      <c r="F4" s="894" t="s">
        <v>544</v>
      </c>
      <c r="G4" s="895"/>
      <c r="H4" s="882"/>
      <c r="I4" s="882"/>
      <c r="J4" s="630" t="s">
        <v>545</v>
      </c>
      <c r="K4" s="884"/>
      <c r="AF4" s="1972">
        <v>0</v>
      </c>
    </row>
    <row customHeight="1" ht="18.75" hidden="1">
      <c r="B5" s="2440"/>
      <c r="C5" s="1508"/>
      <c r="D5" s="1979"/>
      <c r="E5" s="887" t="str">
        <f>B2&amp;".2"</f>
        <v>.2</v>
      </c>
      <c r="F5" s="894" t="s">
        <v>546</v>
      </c>
      <c r="G5" s="1987" t="s">
        <v>547</v>
      </c>
      <c r="H5" s="882"/>
      <c r="I5" s="882"/>
      <c r="J5" s="630"/>
      <c r="K5" s="884"/>
      <c r="AF5" s="1972">
        <v>0</v>
      </c>
    </row>
    <row customHeight="1" ht="18.75" hidden="1">
      <c r="B6" s="2440"/>
      <c r="C6" s="1508"/>
      <c r="D6" s="1979"/>
      <c r="E6" s="887" t="str">
        <f>B2&amp;".3"</f>
        <v>.3</v>
      </c>
      <c r="F6" s="894" t="s">
        <v>548</v>
      </c>
      <c r="G6" s="1987" t="s">
        <v>547</v>
      </c>
      <c r="H6" s="882"/>
      <c r="I6" s="882"/>
      <c r="J6" s="630"/>
      <c r="K6" s="884"/>
      <c r="AF6" s="1972">
        <v>0</v>
      </c>
    </row>
    <row customHeight="1" ht="18.75" hidden="1">
      <c r="B7" s="2440"/>
      <c r="C7" s="1508"/>
      <c r="D7" s="1979"/>
      <c r="E7" s="887" t="str">
        <f>B2&amp;".4"</f>
        <v>.4</v>
      </c>
      <c r="F7" s="894" t="s">
        <v>549</v>
      </c>
      <c r="G7" s="1987" t="s">
        <v>541</v>
      </c>
      <c r="H7" s="896"/>
      <c r="I7" s="896"/>
      <c r="J7" s="630"/>
      <c r="K7" s="884"/>
      <c r="AF7" s="1972">
        <v>0</v>
      </c>
    </row>
    <row s="17315" customFormat="1" customHeight="1" ht="11.25" hidden="1">
      <c r="A8" s="1328"/>
      <c r="C8" s="1977"/>
      <c r="D8" s="878"/>
      <c r="H8" s="1501">
        <v>4</v>
      </c>
      <c r="I8" s="1501">
        <v>4</v>
      </c>
      <c r="L8" s="1977"/>
      <c r="M8" s="1977"/>
      <c r="R8" s="1977"/>
      <c r="AF8" s="1501">
        <v>0</v>
      </c>
    </row>
    <row s="17315" customFormat="1" customHeight="1" ht="22.5" hidden="1">
      <c r="A9" s="1328"/>
      <c r="C9" s="1977"/>
      <c r="D9" s="879"/>
      <c r="E9" s="1989"/>
      <c r="F9" s="881"/>
      <c r="G9" s="1987" t="s">
        <v>547</v>
      </c>
      <c r="H9" s="882"/>
      <c r="I9" s="882"/>
      <c r="J9" s="883" t="s">
        <v>550</v>
      </c>
      <c r="K9" s="884"/>
      <c r="L9" s="1977"/>
      <c r="M9" s="1977"/>
      <c r="R9" s="1977"/>
      <c r="U9" s="885"/>
      <c r="AA9" s="1973"/>
      <c r="AB9" s="1973"/>
      <c r="AC9" s="1973"/>
      <c r="AD9" s="1973"/>
      <c r="AE9" s="1973"/>
      <c r="AF9" s="1501">
        <v>0</v>
      </c>
    </row>
    <row customHeight="1" ht="11.25" hidden="1">
      <c r="AF10" s="1972">
        <v>0</v>
      </c>
    </row>
    <row customHeight="1" ht="18.75" hidden="1">
      <c r="D11" s="1979"/>
      <c r="E11" s="887"/>
      <c r="F11" s="881"/>
      <c r="G11" s="1987" t="s">
        <v>551</v>
      </c>
      <c r="H11" s="882"/>
      <c r="I11" s="882"/>
      <c r="J11" s="630" t="s">
        <v>552</v>
      </c>
      <c r="K11" s="884"/>
      <c r="AF11" s="1972">
        <v>0</v>
      </c>
    </row>
    <row customHeight="1" ht="11.25" hidden="1">
      <c r="AF12" s="1972">
        <v>0</v>
      </c>
    </row>
    <row customHeight="1" ht="22.5" hidden="1">
      <c r="D13" s="1979"/>
      <c r="E13" s="887"/>
      <c r="F13" s="881"/>
      <c r="G13" s="1310" t="s">
        <v>553</v>
      </c>
      <c r="H13" s="886"/>
      <c r="I13" s="886"/>
      <c r="J13" s="1086" t="s">
        <v>554</v>
      </c>
      <c r="K13" s="884"/>
      <c r="AF13" s="1972">
        <v>0</v>
      </c>
    </row>
    <row customHeight="1" ht="11.25" hidden="1">
      <c r="AF14" s="1972">
        <v>0</v>
      </c>
    </row>
    <row customHeight="1" ht="22.5" hidden="1">
      <c r="D15" s="1979"/>
      <c r="E15" s="887"/>
      <c r="F15" s="881"/>
      <c r="G15" s="1987" t="s">
        <v>555</v>
      </c>
      <c r="H15" s="886"/>
      <c r="I15" s="886"/>
      <c r="J15" s="630" t="s">
        <v>556</v>
      </c>
      <c r="K15" s="884"/>
      <c r="AF15" s="1972">
        <v>0</v>
      </c>
    </row>
    <row customHeight="1" ht="11.25" hidden="1">
      <c r="AF16" s="1972">
        <v>0</v>
      </c>
    </row>
    <row customHeight="1" ht="22.5" hidden="1">
      <c r="D17" s="1979"/>
      <c r="E17" s="887"/>
      <c r="F17" s="881"/>
      <c r="G17" s="1987" t="s">
        <v>557</v>
      </c>
      <c r="H17" s="886"/>
      <c r="I17" s="886"/>
      <c r="J17" s="630" t="s">
        <v>558</v>
      </c>
      <c r="K17" s="884"/>
      <c r="AF17" s="1972">
        <v>0</v>
      </c>
    </row>
    <row customHeight="1" ht="11.25" hidden="1">
      <c r="AF18" s="1972">
        <v>0</v>
      </c>
    </row>
    <row s="17203" customFormat="1" customHeight="1" ht="11.25" hidden="1">
      <c r="A19" s="1328"/>
      <c r="B19" s="1501"/>
      <c r="C19" s="1977"/>
      <c r="D19" s="703"/>
      <c r="J19" s="1973">
        <v>4</v>
      </c>
      <c r="K19" s="1501"/>
      <c r="L19" s="1977"/>
      <c r="M19" s="1977"/>
      <c r="N19" s="1501"/>
      <c r="O19" s="1501"/>
      <c r="P19" s="1501"/>
      <c r="Q19" s="1501"/>
      <c r="R19" s="1977"/>
      <c r="S19" s="1501"/>
      <c r="T19" s="1501"/>
      <c r="U19" s="885"/>
      <c r="V19" s="1501"/>
      <c r="W19" s="1501"/>
      <c r="X19" s="1501"/>
      <c r="Y19" s="1501"/>
      <c r="Z19" s="1501"/>
      <c r="AF19" s="1973">
        <v>0</v>
      </c>
    </row>
    <row customHeight="1" ht="11.549999999999999">
      <c r="AF20" s="1972">
        <v>11</v>
      </c>
    </row>
    <row customHeight="1" ht="25.2">
      <c r="E21" s="258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89"/>
      <c r="G21" s="2589"/>
      <c r="H21" s="2589"/>
      <c r="I21" s="2589"/>
      <c r="J21" s="897"/>
      <c r="AF21" s="1972">
        <v>24</v>
      </c>
    </row>
    <row customHeight="1" ht="25.2">
      <c r="E22" s="2590" t="str">
        <f>IF(org=0,"Не определено",org)</f>
        <v>АО "ДГК"</v>
      </c>
      <c r="F22" s="2590"/>
      <c r="G22" s="2590"/>
      <c r="H22" s="2590"/>
      <c r="I22" s="2590"/>
      <c r="AF22" s="1972">
        <v>24</v>
      </c>
    </row>
    <row customHeight="1" ht="11.549999999999999">
      <c r="E23" s="1476"/>
      <c r="F23" s="1476"/>
      <c r="G23" s="1476"/>
      <c r="H23" s="1476"/>
      <c r="I23" s="1476"/>
      <c r="AF23" s="1972">
        <v>11</v>
      </c>
    </row>
    <row s="17316" customFormat="1" customHeight="1" ht="1.05">
      <c r="A24" s="1508"/>
      <c r="D24" s="1983"/>
      <c r="H24" s="1230"/>
      <c r="I24" s="1230" t="s">
        <v>114</v>
      </c>
      <c r="AF24" s="1977">
        <v>1</v>
      </c>
    </row>
    <row customHeight="1" ht="11.549999999999999">
      <c r="E25" s="1052"/>
      <c r="F25" s="2708" t="s">
        <v>102</v>
      </c>
      <c r="G25" s="2709"/>
      <c r="H25" s="1993" t="str">
        <f>IF(H24="","",INDEX(DIFFERENTIATION_UNMERGE_VD,MATCH(H24,DIFFERENTIATION_ID_DIFF,0)))</f>
        <v/>
      </c>
      <c r="I25" s="1993">
        <f>IF(I24="","",INDEX(DIFFERENTIATION_UNMERGE_VD,MATCH(I24,DIFFERENTIATION_ID_DIFF,0)))</f>
        <v>0</v>
      </c>
      <c r="J25" s="2468"/>
      <c r="AF25" s="1972">
        <v>11</v>
      </c>
    </row>
    <row customHeight="1" ht="11.549999999999999">
      <c r="E26" s="1052"/>
      <c r="F26" s="2708" t="s">
        <v>559</v>
      </c>
      <c r="G26" s="2709"/>
      <c r="H26" s="1993" t="str">
        <f>IF(H24="","",INDEX(DIFFERENTIATION_UNMERGE_AREA,MATCH(H24,DIFFERENTIATION_ID_DIFF,0)))</f>
        <v/>
      </c>
      <c r="I26" s="1993" t="str">
        <f>IF(I24="","",INDEX(DIFFERENTIATION_UNMERGE_AREA,MATCH(I24,DIFFERENTIATION_ID_DIFF,0)))</f>
        <v/>
      </c>
      <c r="J26" s="2468"/>
      <c r="AF26" s="1972">
        <v>11</v>
      </c>
    </row>
    <row customHeight="1" ht="11.549999999999999">
      <c r="E27" s="1052"/>
      <c r="F27" s="2708" t="s">
        <v>560</v>
      </c>
      <c r="G27" s="2709"/>
      <c r="H27" s="1993" t="str">
        <f>IF(H24="","",INDEX(DIFFERENTIATION_UNMERGE_SYSTEM,MATCH(H24,DIFFERENTIATION_ID_DIFF,0)))</f>
        <v/>
      </c>
      <c r="I27" s="1993" t="str">
        <f>IF(I24="","",INDEX(DIFFERENTIATION_UNMERGE_SYSTEM,MATCH(I24,DIFFERENTIATION_ID_DIFF,0)))</f>
        <v>без дифференциации</v>
      </c>
      <c r="J27" s="2468"/>
      <c r="AF27" s="1972">
        <v>11</v>
      </c>
    </row>
    <row customHeight="1" ht="11.549999999999999">
      <c r="E28" s="2710" t="s">
        <v>295</v>
      </c>
      <c r="F28" s="2711"/>
      <c r="G28" s="2711"/>
      <c r="H28" s="1986"/>
      <c r="I28" s="1986"/>
      <c r="J28" s="2468"/>
      <c r="AF28" s="1972">
        <v>11</v>
      </c>
    </row>
    <row customHeight="1" ht="24">
      <c r="E29" s="1987" t="s">
        <v>88</v>
      </c>
      <c r="F29" s="1994" t="s">
        <v>297</v>
      </c>
      <c r="G29" s="1994" t="s">
        <v>561</v>
      </c>
      <c r="H29" s="1994" t="s">
        <v>298</v>
      </c>
      <c r="I29" s="1994" t="s">
        <v>298</v>
      </c>
      <c r="J29" s="2468"/>
      <c r="AF29" s="1972">
        <v>23</v>
      </c>
    </row>
    <row customHeight="1" ht="19.95">
      <c r="D30" s="1979"/>
      <c r="E30" s="887">
        <f>FHD_NUM_P_1</f>
        <v>1</v>
      </c>
      <c r="F30" s="2221" t="str">
        <f>FHD_P_1</f>
        <v>Выручка от регулируемого вида деятельности с распределением по видам деятельности</v>
      </c>
      <c r="G30" s="2219" t="s">
        <v>547</v>
      </c>
      <c r="H30" s="898"/>
      <c r="I30" s="898"/>
      <c r="J30" s="630" t="str">
        <f>FHD_NOTE_P_1</f>
        <v>Указывается выручка от регулируемого вида деятельности с распределением по видам деятельности.</v>
      </c>
      <c r="K30" s="884"/>
      <c r="AF30" s="1972">
        <v>19</v>
      </c>
    </row>
    <row customHeight="1" ht="11.549999999999999">
      <c r="D31" s="1979"/>
      <c r="E31" s="887">
        <f>FHD_NUM_P_2</f>
        <v>2</v>
      </c>
      <c r="F31" s="2221" t="str">
        <f>FHD_P_2</f>
        <v>Себестоимость производимых товаров (оказываемых услуг) по регулируемому виду деятельности, включая:</v>
      </c>
      <c r="G31" s="2219" t="s">
        <v>547</v>
      </c>
      <c r="H31" s="899">
        <f>SUMIF($K33:$K71,$K31,H33:H71)</f>
        <v>0</v>
      </c>
      <c r="I31" s="899">
        <f>SUMIF($K33:$K71,$K31,I33:I71)</f>
        <v>0</v>
      </c>
      <c r="J31" s="630" t="str">
        <f>FHD_NOTE_P_2</f>
        <v>Указывается суммарная себестоимость производимых товаров.</v>
      </c>
      <c r="K31" s="1977" t="s">
        <v>562</v>
      </c>
      <c r="AF31" s="1972">
        <v>11</v>
      </c>
    </row>
    <row customHeight="1" ht="11.549999999999999">
      <c r="D32" s="1979"/>
      <c r="E32" s="887" t="str">
        <f>FHD_NUM_P_3</f>
        <v>2.1</v>
      </c>
      <c r="F32" s="1865" t="str">
        <f>FHD_P_3</f>
        <v>Расходы на приобретаемую тепловую энергию (мощность), теплоноситель</v>
      </c>
      <c r="G32" s="2219" t="s">
        <v>547</v>
      </c>
      <c r="H32" s="898"/>
      <c r="I32" s="898"/>
      <c r="J32" s="630" t="str">
        <f>FHD_NOTE_P_3</f>
        <v/>
      </c>
      <c r="K32" s="1977" t="str">
        <f>IF((LEN(E32)-LEN(SUBSTITUTE(E32,".","")))/LEN(".")=1,"p","")</f>
        <v>p</v>
      </c>
      <c r="AF32" s="1972">
        <v>11</v>
      </c>
    </row>
    <row customHeight="1" ht="11.25">
      <c r="A33" s="2712" t="s">
        <v>563</v>
      </c>
      <c r="D33" s="1979"/>
      <c r="E33" s="887" t="str">
        <f>FHD_NUM_P_4</f>
        <v>2.2</v>
      </c>
      <c r="F33" s="1865"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219" t="s">
        <v>547</v>
      </c>
      <c r="H33" s="899">
        <f>SUMIF($F34:$F40,$F3,H34:H40)</f>
        <v>0</v>
      </c>
      <c r="I33" s="899">
        <f>SUMIF($F34:$F40,$F3,I34:I40)</f>
        <v>0</v>
      </c>
      <c r="J33" s="630" t="str">
        <f>FHD_NOTE_P_4</f>
        <v>Указываются суммарные расходы на приобретение топлива всех видов.</v>
      </c>
      <c r="K33" s="1977" t="str">
        <f>IF((LEN(E33)-LEN(SUBSTITUTE(E33,".","")))/LEN(".")=1,"p","")</f>
        <v>p</v>
      </c>
      <c r="AF33" s="1972">
        <v>0</v>
      </c>
    </row>
    <row s="17832" customFormat="1" customHeight="1" ht="0.75">
      <c r="A34" s="2712"/>
      <c r="B34" s="2713" t="str">
        <f>E33&amp;".0"</f>
        <v>2.2.0</v>
      </c>
      <c r="C34" s="1508"/>
      <c r="D34" s="901"/>
      <c r="E34" s="902"/>
      <c r="F34" s="903"/>
      <c r="G34" s="904"/>
      <c r="H34" s="838"/>
      <c r="I34" s="838"/>
      <c r="J34" s="905"/>
      <c r="K34" s="1977" t="str">
        <f>IF((LEN(E34)-LEN(SUBSTITUTE(E34,".","")))/LEN(".")=1,"p","")</f>
        <v/>
      </c>
      <c r="L34" s="1977"/>
      <c r="M34" s="1977"/>
      <c r="N34" s="1977"/>
      <c r="O34" s="1977"/>
      <c r="P34" s="1977"/>
      <c r="Q34" s="1977"/>
      <c r="R34" s="1977"/>
      <c r="S34" s="1977"/>
      <c r="T34" s="1977"/>
      <c r="U34" s="906"/>
      <c r="V34" s="1977"/>
      <c r="W34" s="1977"/>
      <c r="X34" s="1977"/>
      <c r="Y34" s="1977"/>
      <c r="Z34" s="1977"/>
      <c r="AA34" s="907"/>
      <c r="AB34" s="907"/>
      <c r="AC34" s="907"/>
      <c r="AD34" s="907"/>
      <c r="AE34" s="907"/>
      <c r="AF34" s="1982">
        <v>0</v>
      </c>
    </row>
    <row s="17832" customFormat="1" customHeight="1" ht="0.75">
      <c r="A35" s="2712"/>
      <c r="B35" s="2713"/>
      <c r="C35" s="1508"/>
      <c r="D35" s="901"/>
      <c r="E35" s="908"/>
      <c r="F35" s="909"/>
      <c r="G35" s="904"/>
      <c r="H35" s="910"/>
      <c r="I35" s="910"/>
      <c r="J35" s="905"/>
      <c r="K35" s="1977" t="str">
        <f>IF((LEN(E35)-LEN(SUBSTITUTE(E35,".","")))/LEN(".")=1,"p","")</f>
        <v/>
      </c>
      <c r="L35" s="1977"/>
      <c r="M35" s="1977"/>
      <c r="N35" s="1977"/>
      <c r="O35" s="1977"/>
      <c r="P35" s="1977"/>
      <c r="Q35" s="1977"/>
      <c r="R35" s="1977"/>
      <c r="S35" s="1977"/>
      <c r="T35" s="1977"/>
      <c r="U35" s="906"/>
      <c r="V35" s="1977"/>
      <c r="W35" s="1977"/>
      <c r="X35" s="1977"/>
      <c r="Y35" s="1977"/>
      <c r="Z35" s="1977"/>
      <c r="AA35" s="907"/>
      <c r="AB35" s="907"/>
      <c r="AC35" s="907"/>
      <c r="AD35" s="907"/>
      <c r="AE35" s="907"/>
      <c r="AF35" s="1982">
        <v>0</v>
      </c>
    </row>
    <row s="17832" customFormat="1" customHeight="1" ht="0.75">
      <c r="A36" s="2712"/>
      <c r="B36" s="2713"/>
      <c r="C36" s="1508"/>
      <c r="D36" s="901"/>
      <c r="E36" s="908"/>
      <c r="F36" s="909"/>
      <c r="G36" s="904"/>
      <c r="H36" s="910"/>
      <c r="I36" s="910"/>
      <c r="J36" s="905"/>
      <c r="K36" s="1977" t="str">
        <f>IF((LEN(E36)-LEN(SUBSTITUTE(E36,".","")))/LEN(".")=1,"p","")</f>
        <v/>
      </c>
      <c r="L36" s="1977"/>
      <c r="M36" s="1977"/>
      <c r="N36" s="1977"/>
      <c r="O36" s="1977"/>
      <c r="P36" s="1977"/>
      <c r="Q36" s="1977"/>
      <c r="R36" s="1977"/>
      <c r="S36" s="1977"/>
      <c r="T36" s="1977"/>
      <c r="U36" s="906"/>
      <c r="V36" s="1977"/>
      <c r="W36" s="1977"/>
      <c r="X36" s="1977"/>
      <c r="Y36" s="1977"/>
      <c r="Z36" s="1977"/>
      <c r="AA36" s="907"/>
      <c r="AB36" s="907"/>
      <c r="AC36" s="907"/>
      <c r="AD36" s="907"/>
      <c r="AE36" s="907"/>
      <c r="AF36" s="1982">
        <v>0</v>
      </c>
    </row>
    <row s="17832" customFormat="1" customHeight="1" ht="0.75">
      <c r="A37" s="2712"/>
      <c r="B37" s="2713"/>
      <c r="C37" s="1508"/>
      <c r="D37" s="901"/>
      <c r="E37" s="908"/>
      <c r="F37" s="909"/>
      <c r="G37" s="904"/>
      <c r="H37" s="910"/>
      <c r="I37" s="910"/>
      <c r="J37" s="905"/>
      <c r="K37" s="1977" t="str">
        <f>IF((LEN(E37)-LEN(SUBSTITUTE(E37,".","")))/LEN(".")=1,"p","")</f>
        <v/>
      </c>
      <c r="L37" s="1977"/>
      <c r="M37" s="1977"/>
      <c r="N37" s="1977"/>
      <c r="O37" s="1977"/>
      <c r="P37" s="1977"/>
      <c r="Q37" s="1977"/>
      <c r="R37" s="1977"/>
      <c r="S37" s="1977"/>
      <c r="T37" s="1977"/>
      <c r="U37" s="906"/>
      <c r="V37" s="1977"/>
      <c r="W37" s="1977"/>
      <c r="X37" s="1977"/>
      <c r="Y37" s="1977"/>
      <c r="Z37" s="1977"/>
      <c r="AA37" s="907"/>
      <c r="AB37" s="907"/>
      <c r="AC37" s="907"/>
      <c r="AD37" s="907"/>
      <c r="AE37" s="907"/>
      <c r="AF37" s="1982">
        <v>0</v>
      </c>
    </row>
    <row s="17832" customFormat="1" customHeight="1" ht="0.75">
      <c r="A38" s="2712"/>
      <c r="B38" s="2713"/>
      <c r="C38" s="1508"/>
      <c r="D38" s="901"/>
      <c r="E38" s="908"/>
      <c r="F38" s="909"/>
      <c r="G38" s="904"/>
      <c r="H38" s="910"/>
      <c r="I38" s="910"/>
      <c r="J38" s="905"/>
      <c r="K38" s="1977" t="str">
        <f>IF((LEN(E38)-LEN(SUBSTITUTE(E38,".","")))/LEN(".")=1,"p","")</f>
        <v/>
      </c>
      <c r="L38" s="1977"/>
      <c r="M38" s="1977"/>
      <c r="N38" s="1977"/>
      <c r="O38" s="1977"/>
      <c r="P38" s="1977"/>
      <c r="Q38" s="1977"/>
      <c r="R38" s="1977"/>
      <c r="S38" s="1977"/>
      <c r="T38" s="1977"/>
      <c r="U38" s="906"/>
      <c r="V38" s="1977"/>
      <c r="W38" s="1977"/>
      <c r="X38" s="1977"/>
      <c r="Y38" s="1977"/>
      <c r="Z38" s="1977"/>
      <c r="AA38" s="907"/>
      <c r="AB38" s="907"/>
      <c r="AC38" s="907"/>
      <c r="AD38" s="907"/>
      <c r="AE38" s="907"/>
      <c r="AF38" s="1982">
        <v>0</v>
      </c>
    </row>
    <row s="17832" customFormat="1" customHeight="1" ht="0.75">
      <c r="A39" s="2712"/>
      <c r="B39" s="2713"/>
      <c r="C39" s="1508"/>
      <c r="D39" s="901"/>
      <c r="E39" s="908"/>
      <c r="F39" s="909"/>
      <c r="G39" s="904"/>
      <c r="H39" s="838"/>
      <c r="I39" s="838"/>
      <c r="J39" s="905"/>
      <c r="K39" s="1977" t="str">
        <f>IF((LEN(E39)-LEN(SUBSTITUTE(E39,".","")))/LEN(".")=1,"p","")</f>
        <v/>
      </c>
      <c r="L39" s="1977"/>
      <c r="M39" s="1977"/>
      <c r="N39" s="1977"/>
      <c r="O39" s="1977"/>
      <c r="P39" s="1977"/>
      <c r="Q39" s="1977"/>
      <c r="R39" s="1977"/>
      <c r="S39" s="1977"/>
      <c r="T39" s="1977"/>
      <c r="U39" s="906"/>
      <c r="V39" s="1977"/>
      <c r="W39" s="1977"/>
      <c r="X39" s="1977"/>
      <c r="Y39" s="1977"/>
      <c r="Z39" s="1977"/>
      <c r="AA39" s="907"/>
      <c r="AB39" s="907"/>
      <c r="AC39" s="907"/>
      <c r="AD39" s="907"/>
      <c r="AE39" s="907"/>
      <c r="AF39" s="1982">
        <v>0</v>
      </c>
    </row>
    <row s="17315" customFormat="1" customHeight="1" ht="15">
      <c r="A40" s="2712"/>
      <c r="C40" s="1977"/>
      <c r="D40" s="1974"/>
      <c r="E40" s="911"/>
      <c r="F40" s="912" t="s">
        <v>564</v>
      </c>
      <c r="G40" s="913"/>
      <c r="H40" s="914"/>
      <c r="I40" s="914"/>
      <c r="J40" s="642"/>
      <c r="K40" s="1977" t="str">
        <f>IF((LEN(E40)-LEN(SUBSTITUTE(E40,".","")))/LEN(".")=1,"p","")</f>
        <v/>
      </c>
      <c r="L40" s="1977"/>
      <c r="M40" s="1977"/>
      <c r="R40" s="1977"/>
      <c r="U40" s="885"/>
      <c r="AA40" s="1973"/>
      <c r="AB40" s="1973"/>
      <c r="AC40" s="1973"/>
      <c r="AD40" s="1973"/>
      <c r="AE40" s="1973"/>
      <c r="AF40" s="1501">
        <v>0</v>
      </c>
    </row>
    <row customHeight="1" ht="11.25" hidden="1">
      <c r="A41" s="2712" t="s">
        <v>565</v>
      </c>
      <c r="D41" s="1979"/>
      <c r="E41" s="887" t="str">
        <f>FHD_NUM_P_5</f>
        <v/>
      </c>
      <c r="F41" s="1865" t="str">
        <f>FHD_P_5</f>
        <v/>
      </c>
      <c r="G41" s="2219" t="s">
        <v>547</v>
      </c>
      <c r="H41" s="898"/>
      <c r="I41" s="898"/>
      <c r="J41" s="630" t="str">
        <f>FHD_NOTE_P_5</f>
        <v/>
      </c>
      <c r="K41" s="1977" t="str">
        <f>IF((LEN(E41)-LEN(SUBSTITUTE(E41,".","")))/LEN(".")=1,"p","")</f>
        <v/>
      </c>
      <c r="AF41" s="1972">
        <v>0</v>
      </c>
    </row>
    <row customHeight="1" ht="11.25" hidden="1">
      <c r="A42" s="2712"/>
      <c r="D42" s="1979"/>
      <c r="E42" s="887" t="str">
        <f>FHD_NUM_P_6</f>
        <v/>
      </c>
      <c r="F42" s="1865" t="str">
        <f>FHD_P_6</f>
        <v/>
      </c>
      <c r="G42" s="2219" t="s">
        <v>547</v>
      </c>
      <c r="H42" s="898"/>
      <c r="I42" s="898"/>
      <c r="J42" s="630" t="str">
        <f>FHD_NOTE_P_6</f>
        <v/>
      </c>
      <c r="K42" s="1977" t="str">
        <f>IF((LEN(E42)-LEN(SUBSTITUTE(E42,".","")))/LEN(".")=1,"p","")</f>
        <v/>
      </c>
      <c r="AF42" s="1972">
        <v>0</v>
      </c>
    </row>
    <row customHeight="1" ht="11.25" hidden="1">
      <c r="A43" s="2712"/>
      <c r="D43" s="1979"/>
      <c r="E43" s="887" t="str">
        <f>FHD_NUM_P_7</f>
        <v/>
      </c>
      <c r="F43" s="1865" t="str">
        <f>FHD_P_7</f>
        <v/>
      </c>
      <c r="G43" s="2219" t="s">
        <v>547</v>
      </c>
      <c r="H43" s="898"/>
      <c r="I43" s="898"/>
      <c r="J43" s="630" t="str">
        <f>FHD_NOTE_P_7</f>
        <v/>
      </c>
      <c r="K43" s="1977" t="str">
        <f>IF((LEN(E43)-LEN(SUBSTITUTE(E43,".","")))/LEN(".")=1,"p","")</f>
        <v/>
      </c>
      <c r="AF43" s="1972">
        <v>0</v>
      </c>
    </row>
    <row customHeight="1" ht="11.549999999999999">
      <c r="D44" s="1979"/>
      <c r="E44" s="887" t="str">
        <f>FHD_NUM_P_8</f>
        <v>2.3</v>
      </c>
      <c r="F44" s="1865" t="str">
        <f>FHD_P_8</f>
        <v>Расходы на приобретаемую электрическую энергию (мощность), используемую в технологическом процессе</v>
      </c>
      <c r="G44" s="2219" t="s">
        <v>547</v>
      </c>
      <c r="H44" s="898"/>
      <c r="I44" s="898"/>
      <c r="J44" s="630" t="str">
        <f>FHD_NOTE_P_8</f>
        <v/>
      </c>
      <c r="K44" s="1977" t="str">
        <f>IF((LEN(E44)-LEN(SUBSTITUTE(E44,".","")))/LEN(".")=1,"p","")</f>
        <v>p</v>
      </c>
      <c r="AF44" s="1972">
        <v>11</v>
      </c>
    </row>
    <row customHeight="1" ht="11.549999999999999">
      <c r="D45" s="1979"/>
      <c r="E45" s="887" t="str">
        <f>FHD_NUM_P_9</f>
        <v>2.3.1</v>
      </c>
      <c r="F45" s="1991" t="str">
        <f>FHD_P_9</f>
        <v>Средневзвешенная стоимость 1 кВт.ч (с учетом мощности)</v>
      </c>
      <c r="G45" s="2219" t="s">
        <v>566</v>
      </c>
      <c r="H45" s="898"/>
      <c r="I45" s="898"/>
      <c r="J45" s="630" t="str">
        <f>FHD_NOTE_P_9</f>
        <v/>
      </c>
      <c r="K45" s="1977" t="str">
        <f>IF((LEN(E45)-LEN(SUBSTITUTE(E45,".","")))/LEN(".")=1,"p","")</f>
        <v/>
      </c>
      <c r="AF45" s="1972">
        <v>11</v>
      </c>
    </row>
    <row s="17315" customFormat="1" customHeight="1" ht="11.549999999999999">
      <c r="A46" s="1328"/>
      <c r="C46" s="1977"/>
      <c r="D46" s="915"/>
      <c r="E46" s="887" t="str">
        <f>FHD_NUM_P_10</f>
        <v>2.3.2</v>
      </c>
      <c r="F46" s="1991" t="str">
        <f>FHD_P_10</f>
        <v>Объём приобретения электрической энергии</v>
      </c>
      <c r="G46" s="2219" t="s">
        <v>567</v>
      </c>
      <c r="H46" s="898"/>
      <c r="I46" s="898"/>
      <c r="J46" s="630" t="str">
        <f>FHD_NOTE_P_10</f>
        <v/>
      </c>
      <c r="K46" s="1977" t="str">
        <f>IF((LEN(E46)-LEN(SUBSTITUTE(E46,".","")))/LEN(".")=1,"p","")</f>
        <v/>
      </c>
      <c r="L46" s="1977"/>
      <c r="M46" s="1977"/>
      <c r="R46" s="1977"/>
      <c r="U46" s="885"/>
      <c r="AA46" s="1973"/>
      <c r="AB46" s="1973"/>
      <c r="AC46" s="1973"/>
      <c r="AD46" s="1973"/>
      <c r="AE46" s="1973"/>
      <c r="AF46" s="1501">
        <v>11</v>
      </c>
    </row>
    <row s="17315" customFormat="1" customHeight="1" ht="11.25">
      <c r="A47" s="1330" t="s">
        <v>568</v>
      </c>
      <c r="C47" s="1977"/>
      <c r="D47" s="916"/>
      <c r="E47" s="887" t="str">
        <f>FHD_NUM_P_11</f>
        <v>2.4</v>
      </c>
      <c r="F47" s="1865" t="str">
        <f>FHD_P_11</f>
        <v>Расходы на приобретение холодной воды, используемой в технологическом процессе</v>
      </c>
      <c r="G47" s="2219" t="s">
        <v>547</v>
      </c>
      <c r="H47" s="898"/>
      <c r="I47" s="898"/>
      <c r="J47" s="630" t="str">
        <f>FHD_NOTE_P_11</f>
        <v/>
      </c>
      <c r="K47" s="1977" t="str">
        <f>IF((LEN(E47)-LEN(SUBSTITUTE(E47,".","")))/LEN(".")=1,"p","")</f>
        <v>p</v>
      </c>
      <c r="L47" s="1977"/>
      <c r="M47" s="1977"/>
      <c r="R47" s="1977"/>
      <c r="U47" s="885"/>
      <c r="AA47" s="1973"/>
      <c r="AB47" s="1973"/>
      <c r="AC47" s="1973"/>
      <c r="AD47" s="1973"/>
      <c r="AE47" s="1973"/>
      <c r="AF47" s="1501">
        <v>0</v>
      </c>
    </row>
    <row s="17315" customFormat="1" customHeight="1" ht="18.75">
      <c r="A48" s="1330" t="s">
        <v>569</v>
      </c>
      <c r="C48" s="1977"/>
      <c r="D48" s="1979"/>
      <c r="E48" s="887" t="str">
        <f>FHD_NUM_P_12</f>
        <v>2.5</v>
      </c>
      <c r="F48" s="1865" t="str">
        <f>FHD_P_12</f>
        <v>Расходы на  химические реагенты, используемые в технологическом процессе</v>
      </c>
      <c r="G48" s="2219" t="s">
        <v>547</v>
      </c>
      <c r="H48" s="918"/>
      <c r="I48" s="918"/>
      <c r="J48" s="630" t="str">
        <f>FHD_NOTE_P_12</f>
        <v/>
      </c>
      <c r="K48" s="1977" t="str">
        <f>IF((LEN(E48)-LEN(SUBSTITUTE(E48,".","")))/LEN(".")=1,"p","")</f>
        <v>p</v>
      </c>
      <c r="L48" s="1977"/>
      <c r="M48" s="1977"/>
      <c r="R48" s="1977"/>
      <c r="U48" s="885"/>
      <c r="AA48" s="1973"/>
      <c r="AB48" s="1973"/>
      <c r="AC48" s="1973"/>
      <c r="AD48" s="1973"/>
      <c r="AE48" s="1973"/>
      <c r="AF48" s="1501">
        <v>18</v>
      </c>
    </row>
    <row s="18437" customFormat="1" customHeight="1" ht="11.549999999999999">
      <c r="A49" s="1329"/>
      <c r="C49" s="1071"/>
      <c r="D49" s="1014"/>
      <c r="E49" s="887" t="str">
        <f>FHD_NUM_P_13</f>
        <v>2.6</v>
      </c>
      <c r="F49" s="186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219" t="s">
        <v>547</v>
      </c>
      <c r="H49" s="898"/>
      <c r="I49" s="898"/>
      <c r="J49" s="630" t="str">
        <f>FHD_NOTE_P_13</f>
        <v/>
      </c>
      <c r="K49" s="1977" t="str">
        <f>IF((LEN(E49)-LEN(SUBSTITUTE(E49,".","")))/LEN(".")=1,"p","")</f>
        <v>p</v>
      </c>
      <c r="L49" s="1071"/>
      <c r="M49" s="1071"/>
      <c r="R49" s="1071"/>
      <c r="U49" s="1072"/>
      <c r="AA49" s="1073"/>
      <c r="AB49" s="1073"/>
      <c r="AC49" s="1073"/>
      <c r="AD49" s="1073"/>
      <c r="AE49" s="1073"/>
      <c r="AF49" s="1070">
        <v>11</v>
      </c>
    </row>
    <row s="18437" customFormat="1" customHeight="1" ht="11.549999999999999">
      <c r="A50" s="1329"/>
      <c r="C50" s="1071"/>
      <c r="D50" s="1014"/>
      <c r="E50" s="887" t="str">
        <f>FHD_NUM_P_14</f>
        <v>2.6.1</v>
      </c>
      <c r="F50" s="1991" t="str">
        <f>FHD_P_14</f>
        <v>Расходы на оплату труда основного производственного персонала</v>
      </c>
      <c r="G50" s="2219" t="s">
        <v>547</v>
      </c>
      <c r="H50" s="898"/>
      <c r="I50" s="898"/>
      <c r="J50" s="630" t="str">
        <f>FHD_NOTE_P_14</f>
        <v/>
      </c>
      <c r="K50" s="1977" t="str">
        <f>IF((LEN(E50)-LEN(SUBSTITUTE(E50,".","")))/LEN(".")=1,"p","")</f>
        <v/>
      </c>
      <c r="L50" s="1071"/>
      <c r="M50" s="1071"/>
      <c r="R50" s="1071"/>
      <c r="U50" s="1072"/>
      <c r="AA50" s="1073"/>
      <c r="AB50" s="1073"/>
      <c r="AC50" s="1073"/>
      <c r="AD50" s="1073"/>
      <c r="AE50" s="1073"/>
      <c r="AF50" s="1070">
        <v>11</v>
      </c>
    </row>
    <row s="18437" customFormat="1" customHeight="1" ht="11.549999999999999">
      <c r="A51" s="1329"/>
      <c r="C51" s="1071"/>
      <c r="D51" s="1014"/>
      <c r="E51" s="887" t="str">
        <f>FHD_NUM_P_15</f>
        <v>2.6.2</v>
      </c>
      <c r="F51" s="1991" t="str">
        <f>FHD_P_15</f>
        <v>Страховые взносы на обязательное социальное страхование, выплачиваемые из фонда оплаты труда основного производственного персонала</v>
      </c>
      <c r="G51" s="2219" t="s">
        <v>547</v>
      </c>
      <c r="H51" s="898"/>
      <c r="I51" s="898"/>
      <c r="J51" s="630" t="str">
        <f>FHD_NOTE_P_15</f>
        <v/>
      </c>
      <c r="K51" s="1977" t="str">
        <f>IF((LEN(E51)-LEN(SUBSTITUTE(E51,".","")))/LEN(".")=1,"p","")</f>
        <v/>
      </c>
      <c r="L51" s="1071"/>
      <c r="M51" s="1071"/>
      <c r="R51" s="1071"/>
      <c r="U51" s="1072"/>
      <c r="AA51" s="1073"/>
      <c r="AB51" s="1073"/>
      <c r="AC51" s="1073"/>
      <c r="AD51" s="1073"/>
      <c r="AE51" s="1073"/>
      <c r="AF51" s="1070">
        <v>11</v>
      </c>
    </row>
    <row s="17315" customFormat="1" customHeight="1" ht="11.549999999999999">
      <c r="A52" s="1328"/>
      <c r="C52" s="1977"/>
      <c r="D52" s="1979"/>
      <c r="E52" s="887" t="str">
        <f>FHD_NUM_P_16</f>
        <v>2.7</v>
      </c>
      <c r="F52" s="186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219" t="s">
        <v>547</v>
      </c>
      <c r="H52" s="898"/>
      <c r="I52" s="898"/>
      <c r="J52" s="630" t="str">
        <f>FHD_NOTE_P_16</f>
        <v/>
      </c>
      <c r="K52" s="1977" t="str">
        <f>IF((LEN(E52)-LEN(SUBSTITUTE(E52,".","")))/LEN(".")=1,"p","")</f>
        <v>p</v>
      </c>
      <c r="L52" s="1977"/>
      <c r="M52" s="1983"/>
      <c r="N52" s="878"/>
      <c r="O52" s="878"/>
      <c r="R52" s="1977"/>
      <c r="U52" s="885"/>
      <c r="AA52" s="1973"/>
      <c r="AB52" s="1973"/>
      <c r="AC52" s="1973"/>
      <c r="AD52" s="1973"/>
      <c r="AE52" s="1973"/>
      <c r="AF52" s="1501">
        <v>11</v>
      </c>
    </row>
    <row s="17315" customFormat="1" customHeight="1" ht="11.549999999999999">
      <c r="A53" s="1328"/>
      <c r="C53" s="1977"/>
      <c r="D53" s="1979"/>
      <c r="E53" s="887" t="str">
        <f>FHD_NUM_P_17</f>
        <v>2.7.1</v>
      </c>
      <c r="F53" s="1991" t="str">
        <f>FHD_P_17</f>
        <v>Расходы на оплату труда административно-управленческого персонала</v>
      </c>
      <c r="G53" s="2219" t="s">
        <v>547</v>
      </c>
      <c r="H53" s="898"/>
      <c r="I53" s="898"/>
      <c r="J53" s="630" t="str">
        <f>FHD_NOTE_P_17</f>
        <v/>
      </c>
      <c r="K53" s="1977" t="str">
        <f>IF((LEN(E53)-LEN(SUBSTITUTE(E53,".","")))/LEN(".")=1,"p","")</f>
        <v/>
      </c>
      <c r="L53" s="1977"/>
      <c r="M53" s="1983"/>
      <c r="N53" s="878"/>
      <c r="O53" s="878"/>
      <c r="R53" s="1977"/>
      <c r="U53" s="885"/>
      <c r="AA53" s="1973"/>
      <c r="AB53" s="1973"/>
      <c r="AC53" s="1973"/>
      <c r="AD53" s="1973"/>
      <c r="AE53" s="1973"/>
      <c r="AF53" s="1501">
        <v>11</v>
      </c>
    </row>
    <row s="17315" customFormat="1" customHeight="1" ht="11.549999999999999">
      <c r="A54" s="1328"/>
      <c r="C54" s="1977"/>
      <c r="D54" s="1979"/>
      <c r="E54" s="887" t="str">
        <f>FHD_NUM_P_18</f>
        <v>2.7.2</v>
      </c>
      <c r="F54" s="199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219" t="s">
        <v>547</v>
      </c>
      <c r="H54" s="898"/>
      <c r="I54" s="898"/>
      <c r="J54" s="630" t="str">
        <f>FHD_NOTE_P_18</f>
        <v/>
      </c>
      <c r="K54" s="1977" t="str">
        <f>IF((LEN(E54)-LEN(SUBSTITUTE(E54,".","")))/LEN(".")=1,"p","")</f>
        <v/>
      </c>
      <c r="L54" s="1977"/>
      <c r="M54" s="1983"/>
      <c r="N54" s="878"/>
      <c r="O54" s="878"/>
      <c r="R54" s="1977"/>
      <c r="U54" s="885"/>
      <c r="AA54" s="1973"/>
      <c r="AB54" s="1973"/>
      <c r="AC54" s="1973"/>
      <c r="AD54" s="1973"/>
      <c r="AE54" s="1973"/>
      <c r="AF54" s="1501">
        <v>11</v>
      </c>
    </row>
    <row s="17315" customFormat="1" customHeight="1" ht="11.549999999999999">
      <c r="A55" s="1328"/>
      <c r="C55" s="1977"/>
      <c r="D55" s="916"/>
      <c r="E55" s="887" t="str">
        <f>FHD_NUM_P_19</f>
        <v>2.8</v>
      </c>
      <c r="F55" s="1865" t="str">
        <f>FHD_P_19</f>
        <v>Расходы на амортизацию основных средств и нематериальных активов</v>
      </c>
      <c r="G55" s="2219" t="s">
        <v>547</v>
      </c>
      <c r="H55" s="898"/>
      <c r="I55" s="898"/>
      <c r="J55" s="630" t="str">
        <f>FHD_NOTE_P_19</f>
        <v/>
      </c>
      <c r="K55" s="1977" t="str">
        <f>IF((LEN(E55)-LEN(SUBSTITUTE(E55,".","")))/LEN(".")=1,"p","")</f>
        <v>p</v>
      </c>
      <c r="L55" s="1977"/>
      <c r="M55" s="1977"/>
      <c r="R55" s="1977"/>
      <c r="U55" s="885"/>
      <c r="AA55" s="1973"/>
      <c r="AB55" s="1973"/>
      <c r="AC55" s="1973"/>
      <c r="AD55" s="1973"/>
      <c r="AE55" s="1973"/>
      <c r="AF55" s="1501">
        <v>11</v>
      </c>
    </row>
    <row s="17315" customFormat="1" customHeight="1" ht="11.549999999999999">
      <c r="A56" s="1328"/>
      <c r="C56" s="1977"/>
      <c r="D56" s="916"/>
      <c r="E56" s="887" t="str">
        <f>FHD_NUM_P_20</f>
        <v>2.8.1</v>
      </c>
      <c r="F56" s="1991" t="str">
        <f>FHD_P_20</f>
        <v>Расходы на амортизацию основных средств</v>
      </c>
      <c r="G56" s="2219" t="s">
        <v>547</v>
      </c>
      <c r="H56" s="898"/>
      <c r="I56" s="898"/>
      <c r="J56" s="630" t="str">
        <f>FHD_NOTE_P_20</f>
        <v/>
      </c>
      <c r="K56" s="1977" t="str">
        <f>IF((LEN(E56)-LEN(SUBSTITUTE(E56,".","")))/LEN(".")=1,"p","")</f>
        <v/>
      </c>
      <c r="L56" s="1977"/>
      <c r="M56" s="1977"/>
      <c r="R56" s="1977"/>
      <c r="U56" s="885"/>
      <c r="AA56" s="1973"/>
      <c r="AB56" s="1973"/>
      <c r="AC56" s="1973"/>
      <c r="AD56" s="1973"/>
      <c r="AE56" s="1973"/>
      <c r="AF56" s="1501">
        <v>11</v>
      </c>
    </row>
    <row s="17315" customFormat="1" customHeight="1" ht="11.549999999999999">
      <c r="A57" s="1328"/>
      <c r="C57" s="1977"/>
      <c r="D57" s="916"/>
      <c r="E57" s="887" t="str">
        <f>FHD_NUM_P_21</f>
        <v>2.8.2</v>
      </c>
      <c r="F57" s="1991" t="str">
        <f>FHD_P_21</f>
        <v>Расходы на амортизацию нематериальных активов</v>
      </c>
      <c r="G57" s="2219" t="s">
        <v>547</v>
      </c>
      <c r="H57" s="898"/>
      <c r="I57" s="898"/>
      <c r="J57" s="630" t="str">
        <f>FHD_NOTE_P_21</f>
        <v/>
      </c>
      <c r="K57" s="1977" t="str">
        <f>IF((LEN(E57)-LEN(SUBSTITUTE(E57,".","")))/LEN(".")=1,"p","")</f>
        <v/>
      </c>
      <c r="L57" s="1977"/>
      <c r="M57" s="1977"/>
      <c r="R57" s="1977"/>
      <c r="U57" s="885"/>
      <c r="AA57" s="1973"/>
      <c r="AB57" s="1973"/>
      <c r="AC57" s="1973"/>
      <c r="AD57" s="1973"/>
      <c r="AE57" s="1973"/>
      <c r="AF57" s="1501">
        <v>11</v>
      </c>
    </row>
    <row s="17315" customFormat="1" customHeight="1" ht="11.549999999999999">
      <c r="A58" s="1328"/>
      <c r="C58" s="1977"/>
      <c r="D58" s="1979"/>
      <c r="E58" s="887" t="str">
        <f>FHD_NUM_P_22</f>
        <v>2.9</v>
      </c>
      <c r="F58" s="1865" t="str">
        <f>FHD_P_22</f>
        <v>Расходы на аренду имущества, используемого для осуществления регулируемого вида деятельности</v>
      </c>
      <c r="G58" s="2219" t="s">
        <v>547</v>
      </c>
      <c r="H58" s="898"/>
      <c r="I58" s="898"/>
      <c r="J58" s="630" t="str">
        <f>FHD_NOTE_P_22</f>
        <v/>
      </c>
      <c r="K58" s="1977" t="str">
        <f>IF((LEN(E58)-LEN(SUBSTITUTE(E58,".","")))/LEN(".")=1,"p","")</f>
        <v>p</v>
      </c>
      <c r="L58" s="1977"/>
      <c r="M58" s="1977"/>
      <c r="R58" s="1977"/>
      <c r="U58" s="885"/>
      <c r="AA58" s="1973"/>
      <c r="AB58" s="1973"/>
      <c r="AC58" s="1973"/>
      <c r="AD58" s="1973"/>
      <c r="AE58" s="1973"/>
      <c r="AF58" s="1501">
        <v>11</v>
      </c>
    </row>
    <row s="17315" customFormat="1" customHeight="1" ht="11.549999999999999">
      <c r="A59" s="1328"/>
      <c r="C59" s="1977"/>
      <c r="D59" s="916"/>
      <c r="E59" s="887" t="str">
        <f>FHD_NUM_P_23</f>
        <v>2.10</v>
      </c>
      <c r="F59" s="1865" t="str">
        <f>FHD_P_23</f>
        <v>Общепроизводственные расходы, в том числе:</v>
      </c>
      <c r="G59" s="2219" t="s">
        <v>547</v>
      </c>
      <c r="H59" s="898"/>
      <c r="I59" s="898"/>
      <c r="J59" s="630" t="str">
        <f>FHD_NOTE_P_23</f>
        <v>Указывается общая сумма общепроизводственных расходов.</v>
      </c>
      <c r="K59" s="1977" t="str">
        <f>IF((LEN(E59)-LEN(SUBSTITUTE(E59,".","")))/LEN(".")=1,"p","")</f>
        <v>p</v>
      </c>
      <c r="L59" s="1977"/>
      <c r="M59" s="1977"/>
      <c r="R59" s="1977"/>
      <c r="U59" s="885"/>
      <c r="AA59" s="1973"/>
      <c r="AB59" s="1973"/>
      <c r="AC59" s="1973"/>
      <c r="AD59" s="1973"/>
      <c r="AE59" s="1973"/>
      <c r="AF59" s="1501">
        <v>11</v>
      </c>
    </row>
    <row s="17315" customFormat="1" customHeight="1" ht="11.549999999999999">
      <c r="A60" s="1328"/>
      <c r="C60" s="1977"/>
      <c r="D60" s="916"/>
      <c r="E60" s="887" t="str">
        <f>FHD_NUM_P_24</f>
        <v>2.10.1</v>
      </c>
      <c r="F60" s="1991" t="str">
        <f>FHD_P_24</f>
        <v>Расходы на текущий ремонт</v>
      </c>
      <c r="G60" s="2219" t="s">
        <v>547</v>
      </c>
      <c r="H60" s="898"/>
      <c r="I60" s="898"/>
      <c r="J60" s="630" t="str">
        <f>FHD_NOTE_P_24</f>
        <v>Указываются расходы на текущий ремонт, отнесенные к общепроизводственным расходам.</v>
      </c>
      <c r="K60" s="1977" t="str">
        <f>IF((LEN(E60)-LEN(SUBSTITUTE(E60,".","")))/LEN(".")=1,"p","")</f>
        <v/>
      </c>
      <c r="L60" s="1977"/>
      <c r="M60" s="1977"/>
      <c r="R60" s="1977"/>
      <c r="U60" s="885"/>
      <c r="AA60" s="1973"/>
      <c r="AB60" s="1973"/>
      <c r="AC60" s="1973"/>
      <c r="AD60" s="1973"/>
      <c r="AE60" s="1973"/>
      <c r="AF60" s="1501">
        <v>11</v>
      </c>
    </row>
    <row s="17315" customFormat="1" customHeight="1" ht="11.549999999999999">
      <c r="A61" s="1328"/>
      <c r="C61" s="1977"/>
      <c r="D61" s="916"/>
      <c r="E61" s="887" t="str">
        <f>FHD_NUM_P_25</f>
        <v>2.10.2</v>
      </c>
      <c r="F61" s="1991" t="str">
        <f>FHD_P_25</f>
        <v>Расходы на капитальный ремонт</v>
      </c>
      <c r="G61" s="2219" t="s">
        <v>547</v>
      </c>
      <c r="H61" s="898"/>
      <c r="I61" s="898"/>
      <c r="J61" s="630" t="str">
        <f>FHD_NOTE_P_25</f>
        <v>Указываются расходы на капитальный ремонт, отнесенные к общепроизводственным расходам.</v>
      </c>
      <c r="K61" s="1977" t="str">
        <f>IF((LEN(E61)-LEN(SUBSTITUTE(E61,".","")))/LEN(".")=1,"p","")</f>
        <v/>
      </c>
      <c r="L61" s="1977"/>
      <c r="M61" s="1977"/>
      <c r="R61" s="1977"/>
      <c r="U61" s="885"/>
      <c r="AA61" s="1973"/>
      <c r="AB61" s="1973"/>
      <c r="AC61" s="1973"/>
      <c r="AD61" s="1973"/>
      <c r="AE61" s="1973"/>
      <c r="AF61" s="1501">
        <v>11</v>
      </c>
    </row>
    <row s="17315" customFormat="1" customHeight="1" ht="11.549999999999999">
      <c r="A62" s="1328"/>
      <c r="C62" s="1977"/>
      <c r="D62" s="1979"/>
      <c r="E62" s="887" t="str">
        <f>FHD_NUM_P_26</f>
        <v>2.11</v>
      </c>
      <c r="F62" s="1865" t="str">
        <f>FHD_P_26</f>
        <v>Общехозяйственные расходы, в том числе:</v>
      </c>
      <c r="G62" s="2219" t="s">
        <v>547</v>
      </c>
      <c r="H62" s="898"/>
      <c r="I62" s="898"/>
      <c r="J62" s="630" t="str">
        <f>FHD_NOTE_P_26</f>
        <v>Указывается общая сумма общехозяйственных расходов.</v>
      </c>
      <c r="K62" s="1977" t="str">
        <f>IF((LEN(E62)-LEN(SUBSTITUTE(E62,".","")))/LEN(".")=1,"p","")</f>
        <v>p</v>
      </c>
      <c r="L62" s="1977"/>
      <c r="M62" s="1977"/>
      <c r="R62" s="1977"/>
      <c r="U62" s="885"/>
      <c r="AA62" s="1973"/>
      <c r="AB62" s="1973"/>
      <c r="AC62" s="1973"/>
      <c r="AD62" s="1973"/>
      <c r="AE62" s="1973"/>
      <c r="AF62" s="1501">
        <v>11</v>
      </c>
    </row>
    <row s="17315" customFormat="1" customHeight="1" ht="11.549999999999999">
      <c r="A63" s="1328"/>
      <c r="C63" s="1977"/>
      <c r="D63" s="1979"/>
      <c r="E63" s="887" t="str">
        <f>FHD_NUM_P_27</f>
        <v>2.11.1</v>
      </c>
      <c r="F63" s="1991" t="str">
        <f>FHD_P_27</f>
        <v>Расходы на текущий ремонт</v>
      </c>
      <c r="G63" s="2219" t="s">
        <v>547</v>
      </c>
      <c r="H63" s="898"/>
      <c r="I63" s="898"/>
      <c r="J63" s="630" t="str">
        <f>FHD_NOTE_P_27</f>
        <v>Указываются расходы на текущий ремонт, отнесенные к общехозяйственным расходам.</v>
      </c>
      <c r="K63" s="1977" t="str">
        <f>IF((LEN(E63)-LEN(SUBSTITUTE(E63,".","")))/LEN(".")=1,"p","")</f>
        <v/>
      </c>
      <c r="L63" s="1977"/>
      <c r="M63" s="1977"/>
      <c r="R63" s="1977"/>
      <c r="U63" s="885"/>
      <c r="AA63" s="1973"/>
      <c r="AB63" s="1973"/>
      <c r="AC63" s="1973"/>
      <c r="AD63" s="1973"/>
      <c r="AE63" s="1973"/>
      <c r="AF63" s="1501">
        <v>11</v>
      </c>
    </row>
    <row s="17315" customFormat="1" customHeight="1" ht="11.549999999999999">
      <c r="A64" s="1328"/>
      <c r="C64" s="1977"/>
      <c r="D64" s="1979"/>
      <c r="E64" s="887" t="str">
        <f>FHD_NUM_P_28</f>
        <v>2.11.2</v>
      </c>
      <c r="F64" s="1991" t="str">
        <f>FHD_P_28</f>
        <v>Расходы на капитальный ремонт</v>
      </c>
      <c r="G64" s="2219" t="s">
        <v>547</v>
      </c>
      <c r="H64" s="898"/>
      <c r="I64" s="898"/>
      <c r="J64" s="630" t="str">
        <f>FHD_NOTE_P_28</f>
        <v>Указываются расходы на капитальный ремонт, отнесенные к общехозяйственным расходам.</v>
      </c>
      <c r="K64" s="1977" t="str">
        <f>IF((LEN(E64)-LEN(SUBSTITUTE(E64,".","")))/LEN(".")=1,"p","")</f>
        <v/>
      </c>
      <c r="L64" s="1977"/>
      <c r="M64" s="1977"/>
      <c r="R64" s="1977"/>
      <c r="U64" s="885"/>
      <c r="AA64" s="1973"/>
      <c r="AB64" s="1973"/>
      <c r="AC64" s="1973"/>
      <c r="AD64" s="1973"/>
      <c r="AE64" s="1973"/>
      <c r="AF64" s="1501">
        <v>11</v>
      </c>
    </row>
    <row s="17315" customFormat="1" customHeight="1" ht="11.549999999999999">
      <c r="A65" s="1328"/>
      <c r="C65" s="1977"/>
      <c r="D65" s="1979"/>
      <c r="E65" s="887" t="str">
        <f>FHD_NUM_P_29</f>
        <v>2.12</v>
      </c>
      <c r="F65" s="1865" t="str">
        <f>FHD_P_29</f>
        <v>Расходы на капитальный и текущий ремонт основных средств</v>
      </c>
      <c r="G65" s="2219" t="s">
        <v>547</v>
      </c>
      <c r="H65" s="898"/>
      <c r="I65" s="898"/>
      <c r="J65" s="630"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977" t="str">
        <f>IF((LEN(E65)-LEN(SUBSTITUTE(E65,".","")))/LEN(".")=1,"p","")</f>
        <v>p</v>
      </c>
      <c r="L65" s="1977"/>
      <c r="M65" s="1977"/>
      <c r="R65" s="1977"/>
      <c r="U65" s="885"/>
      <c r="AA65" s="1973"/>
      <c r="AB65" s="1973"/>
      <c r="AC65" s="1973"/>
      <c r="AD65" s="1973"/>
      <c r="AE65" s="1973"/>
      <c r="AF65" s="1501">
        <v>11</v>
      </c>
    </row>
    <row s="17315" customFormat="1" customHeight="1" ht="11.549999999999999">
      <c r="A66" s="1328"/>
      <c r="C66" s="1977"/>
      <c r="D66" s="1979"/>
      <c r="E66" s="887" t="str">
        <f>FHD_NUM_P_30</f>
        <v>2.12.1</v>
      </c>
      <c r="F66" s="199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219" t="s">
        <v>301</v>
      </c>
      <c r="H66" s="1990" t="s">
        <v>570</v>
      </c>
      <c r="I66" s="1990" t="s">
        <v>570</v>
      </c>
      <c r="J66" s="630" t="str">
        <f>FHD_NOTE_P_30</f>
        <v/>
      </c>
      <c r="K66" s="1977" t="str">
        <f>IF((LEN(E66)-LEN(SUBSTITUTE(E66,".","")))/LEN(".")=1,"p","")</f>
        <v/>
      </c>
      <c r="L66" s="1977">
        <f>_xlfn.IFERROR(MATCH("есть",B_FHD_FLAG_INDEX_1,0),0)</f>
        <v>0</v>
      </c>
      <c r="M66" s="1977"/>
      <c r="R66" s="1977"/>
      <c r="U66" s="885"/>
      <c r="AA66" s="1973"/>
      <c r="AB66" s="1973"/>
      <c r="AC66" s="1973"/>
      <c r="AD66" s="1973"/>
      <c r="AE66" s="1973"/>
      <c r="AF66" s="1501">
        <v>11</v>
      </c>
    </row>
    <row s="17315" customFormat="1" customHeight="1" ht="23.25" hidden="1">
      <c r="A67" s="2712" t="s">
        <v>571</v>
      </c>
      <c r="C67" s="1977"/>
      <c r="D67" s="1979"/>
      <c r="E67" s="887" t="str">
        <f>FHD_NUM_P_31</f>
        <v/>
      </c>
      <c r="F67" s="1865" t="str">
        <f>FHD_P_31</f>
        <v/>
      </c>
      <c r="G67" s="2219" t="s">
        <v>547</v>
      </c>
      <c r="H67" s="898"/>
      <c r="I67" s="898"/>
      <c r="J67" s="630" t="str">
        <f>FHD_NOTE_P_31</f>
        <v/>
      </c>
      <c r="K67" s="1977" t="str">
        <f>IF((LEN(E67)-LEN(SUBSTITUTE(E67,".","")))/LEN(".")=1,"p","")</f>
        <v/>
      </c>
      <c r="L67" s="1977"/>
      <c r="M67" s="1977"/>
      <c r="R67" s="1977"/>
      <c r="U67" s="885"/>
      <c r="AA67" s="1973"/>
      <c r="AB67" s="1973"/>
      <c r="AC67" s="1973"/>
      <c r="AD67" s="1973"/>
      <c r="AE67" s="1973"/>
      <c r="AF67" s="1501">
        <v>22</v>
      </c>
    </row>
    <row s="17315" customFormat="1" customHeight="1" ht="47.25" hidden="1">
      <c r="A68" s="2712"/>
      <c r="C68" s="1977"/>
      <c r="D68" s="1979"/>
      <c r="E68" s="887" t="str">
        <f>FHD_NUM_P_32</f>
        <v/>
      </c>
      <c r="F68" s="1991" t="str">
        <f>FHD_P_32</f>
        <v/>
      </c>
      <c r="G68" s="2219" t="s">
        <v>301</v>
      </c>
      <c r="H68" s="1990" t="s">
        <v>570</v>
      </c>
      <c r="I68" s="1990" t="s">
        <v>570</v>
      </c>
      <c r="J68" s="630" t="str">
        <f>FHD_NOTE_P_32</f>
        <v/>
      </c>
      <c r="K68" s="1977" t="str">
        <f>IF((LEN(E68)-LEN(SUBSTITUTE(E68,".","")))/LEN(".")=1,"p","")</f>
        <v/>
      </c>
      <c r="L68" s="1977">
        <f>_xlfn.IFERROR(MATCH("есть",B_FHD_FLAG_INDEX_2,0),0)</f>
        <v>0</v>
      </c>
      <c r="M68" s="1977"/>
      <c r="R68" s="1977"/>
      <c r="U68" s="885"/>
      <c r="AA68" s="1973"/>
      <c r="AB68" s="1973"/>
      <c r="AC68" s="1973"/>
      <c r="AD68" s="1973"/>
      <c r="AE68" s="1973"/>
      <c r="AF68" s="1501">
        <v>45</v>
      </c>
    </row>
    <row s="17315" customFormat="1" customHeight="1" ht="11.549999999999999">
      <c r="A69" s="1328"/>
      <c r="C69" s="1977"/>
      <c r="D69" s="1979"/>
      <c r="E69" s="887" t="str">
        <f>FHD_NUM_P_33</f>
        <v>2.13</v>
      </c>
      <c r="F69" s="1865" t="str">
        <f>FHD_P_33</f>
        <v>Прочие расходы, которые подлежат отнесению на регулируемые виды деятельности в соответствии с законодательством Российской Федерации</v>
      </c>
      <c r="G69" s="2220" t="s">
        <v>547</v>
      </c>
      <c r="H69" s="920">
        <f>SUM(H70:H71)</f>
        <v>0</v>
      </c>
      <c r="I69" s="920">
        <f>SUM(I70:I71)</f>
        <v>0</v>
      </c>
      <c r="J69" s="630"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977" t="str">
        <f>IF((LEN(E69)-LEN(SUBSTITUTE(E69,".","")))/LEN(".")=1,"p","")</f>
        <v>p</v>
      </c>
      <c r="L69" s="1977"/>
      <c r="M69" s="1977"/>
      <c r="R69" s="1977"/>
      <c r="U69" s="885"/>
      <c r="AA69" s="1973"/>
      <c r="AB69" s="1973"/>
      <c r="AC69" s="1973"/>
      <c r="AD69" s="1973"/>
      <c r="AE69" s="1973"/>
      <c r="AF69" s="1501">
        <v>11</v>
      </c>
    </row>
    <row s="17316" customFormat="1" customHeight="1" ht="1.05">
      <c r="A70" s="1508"/>
      <c r="D70" s="889"/>
      <c r="E70" s="1354" t="str">
        <f>E69&amp;".0"</f>
        <v>2.13.0</v>
      </c>
      <c r="F70" s="1332"/>
      <c r="G70" s="1354"/>
      <c r="H70" s="1333"/>
      <c r="I70" s="1333"/>
      <c r="J70" s="1334"/>
      <c r="K70" s="1977" t="str">
        <f>IF((LEN(E70)-LEN(SUBSTITUTE(E70,".","")))/LEN(".")=1,"p","")</f>
        <v/>
      </c>
      <c r="AF70" s="1977">
        <v>1</v>
      </c>
    </row>
    <row s="17315" customFormat="1" customHeight="1" ht="14.699999999999998">
      <c r="A71" s="1328"/>
      <c r="C71" s="1977"/>
      <c r="D71" s="1974"/>
      <c r="E71" s="911"/>
      <c r="F71" s="912" t="s">
        <v>572</v>
      </c>
      <c r="G71" s="913"/>
      <c r="H71" s="914"/>
      <c r="I71" s="914"/>
      <c r="J71" s="642"/>
      <c r="K71" s="1977"/>
      <c r="L71" s="1977"/>
      <c r="M71" s="1977"/>
      <c r="R71" s="1977"/>
      <c r="U71" s="885"/>
      <c r="AA71" s="1973"/>
      <c r="AB71" s="1973"/>
      <c r="AC71" s="1973"/>
      <c r="AD71" s="1973"/>
      <c r="AE71" s="1973"/>
      <c r="AF71" s="1501">
        <v>14</v>
      </c>
    </row>
    <row s="17315" customFormat="1" customHeight="1" ht="18.75">
      <c r="A72" s="1330" t="s">
        <v>573</v>
      </c>
      <c r="C72" s="1977"/>
      <c r="D72" s="1979"/>
      <c r="E72" s="887" t="str">
        <f>FHD_NUM_P_34</f>
        <v>3</v>
      </c>
      <c r="F72" s="2221" t="str">
        <f>FHD_P_34</f>
        <v>Валовая прибыль (убытки) от реализации товаров и оказания услуг по регулируемому виду деятельности</v>
      </c>
      <c r="G72" s="2219" t="s">
        <v>547</v>
      </c>
      <c r="H72" s="898"/>
      <c r="I72" s="898"/>
      <c r="J72" s="630" t="str">
        <f>FHD_NOTE_P_34</f>
        <v/>
      </c>
      <c r="K72" s="884"/>
      <c r="L72" s="1977"/>
      <c r="M72" s="1977"/>
      <c r="R72" s="1977"/>
      <c r="U72" s="885"/>
      <c r="AA72" s="1973"/>
      <c r="AB72" s="1973"/>
      <c r="AC72" s="1973"/>
      <c r="AD72" s="1973"/>
      <c r="AE72" s="1973"/>
      <c r="AF72" s="1501">
        <v>0</v>
      </c>
    </row>
    <row s="17315" customFormat="1" customHeight="1" ht="19.95">
      <c r="A73" s="1328"/>
      <c r="C73" s="1977"/>
      <c r="D73" s="916"/>
      <c r="E73" s="887" t="str">
        <f>FHD_NUM_P_35</f>
        <v>4</v>
      </c>
      <c r="F73" s="2221" t="str">
        <f>FHD_P_35</f>
        <v>Чистая прибыль, полученная от регулируемого вида деятельности, в том числе:</v>
      </c>
      <c r="G73" s="2219" t="s">
        <v>547</v>
      </c>
      <c r="H73" s="898"/>
      <c r="I73" s="898"/>
      <c r="J73" s="630" t="str">
        <f>FHD_NOTE_P_35</f>
        <v>Указывается общая сумма чистой прибыли, полученной от регулируемого вида деятельности.</v>
      </c>
      <c r="K73" s="884"/>
      <c r="L73" s="1977"/>
      <c r="M73" s="1977"/>
      <c r="R73" s="1977"/>
      <c r="U73" s="885"/>
      <c r="AA73" s="1973"/>
      <c r="AB73" s="1973"/>
      <c r="AC73" s="1973"/>
      <c r="AD73" s="1973"/>
      <c r="AE73" s="1973"/>
      <c r="AF73" s="1501">
        <v>19</v>
      </c>
    </row>
    <row s="17315" customFormat="1" customHeight="1" ht="19.95">
      <c r="A74" s="1328"/>
      <c r="C74" s="1977"/>
      <c r="D74" s="1979"/>
      <c r="E74" s="887" t="str">
        <f>FHD_NUM_P_36</f>
        <v>4.1</v>
      </c>
      <c r="F74" s="186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219" t="s">
        <v>547</v>
      </c>
      <c r="H74" s="898"/>
      <c r="I74" s="898"/>
      <c r="J74" s="630" t="str">
        <f>FHD_NOTE_P_36</f>
        <v/>
      </c>
      <c r="K74" s="884"/>
      <c r="L74" s="1977"/>
      <c r="M74" s="1977"/>
      <c r="R74" s="1977"/>
      <c r="U74" s="885"/>
      <c r="AA74" s="1973"/>
      <c r="AB74" s="1973"/>
      <c r="AC74" s="1973"/>
      <c r="AD74" s="1973"/>
      <c r="AE74" s="1973"/>
      <c r="AF74" s="1501">
        <v>19</v>
      </c>
    </row>
    <row s="17315" customFormat="1" customHeight="1" ht="19.95">
      <c r="A75" s="1328"/>
      <c r="C75" s="1977"/>
      <c r="D75" s="1979"/>
      <c r="E75" s="887" t="str">
        <f>FHD_NUM_P_37</f>
        <v>5</v>
      </c>
      <c r="F75" s="2221" t="str">
        <f>FHD_P_37</f>
        <v>Изменение стоимости основных фондов, в том числе:</v>
      </c>
      <c r="G75" s="2219" t="s">
        <v>547</v>
      </c>
      <c r="H75" s="898"/>
      <c r="I75" s="898"/>
      <c r="J75" s="630" t="str">
        <f>FHD_NOTE_P_37</f>
        <v>Указывается общее изменение стоимости основных фондов.</v>
      </c>
      <c r="K75" s="884"/>
      <c r="L75" s="1977"/>
      <c r="M75" s="1977"/>
      <c r="R75" s="1977"/>
      <c r="U75" s="885"/>
      <c r="AA75" s="1973"/>
      <c r="AB75" s="1973"/>
      <c r="AC75" s="1973"/>
      <c r="AD75" s="1973"/>
      <c r="AE75" s="1973"/>
      <c r="AF75" s="1501">
        <v>19</v>
      </c>
    </row>
    <row s="17315" customFormat="1" customHeight="1" ht="19.95">
      <c r="A76" s="1328"/>
      <c r="C76" s="1977"/>
      <c r="D76" s="1979"/>
      <c r="E76" s="887" t="str">
        <f>FHD_NUM_P_38</f>
        <v>5.1</v>
      </c>
      <c r="F76" s="1865" t="str">
        <f>FHD_P_38</f>
        <v>Изменение стоимости основных фондов за счет:</v>
      </c>
      <c r="G76" s="2219" t="s">
        <v>547</v>
      </c>
      <c r="H76" s="898"/>
      <c r="I76" s="898"/>
      <c r="J76" s="630" t="str">
        <f>FHD_NOTE_P_38</f>
        <v>Указываются общее изменение стоимости основных фондов за счет их ввода в эксплуатацию и вывода из эксплуатации.</v>
      </c>
      <c r="K76" s="884"/>
      <c r="L76" s="1977"/>
      <c r="M76" s="1977"/>
      <c r="R76" s="1977"/>
      <c r="U76" s="885"/>
      <c r="AA76" s="1973"/>
      <c r="AB76" s="1973"/>
      <c r="AC76" s="1973"/>
      <c r="AD76" s="1973"/>
      <c r="AE76" s="1973"/>
      <c r="AF76" s="1501">
        <v>19</v>
      </c>
    </row>
    <row s="17315" customFormat="1" customHeight="1" ht="19.95">
      <c r="A77" s="1328"/>
      <c r="C77" s="1977"/>
      <c r="D77" s="1979"/>
      <c r="E77" s="887" t="str">
        <f>FHD_NUM_P_39</f>
        <v>5.1.1</v>
      </c>
      <c r="F77" s="1991" t="str">
        <f>FHD_P_39</f>
        <v>Изменения стоимости основных фондов за счет их ввода в эксплуатацию</v>
      </c>
      <c r="G77" s="2413" t="s">
        <v>547</v>
      </c>
      <c r="H77" s="898"/>
      <c r="I77" s="898"/>
      <c r="J77" s="630" t="str">
        <f>FHD_NOTE_P_39</f>
        <v>Указываются изменение стоимости основных фондов за счет их ввода в эксплуатацию.</v>
      </c>
      <c r="K77" s="884"/>
      <c r="L77" s="1977"/>
      <c r="M77" s="1977"/>
      <c r="R77" s="1977"/>
      <c r="U77" s="885"/>
      <c r="AA77" s="1973"/>
      <c r="AB77" s="1973"/>
      <c r="AC77" s="1973"/>
      <c r="AD77" s="1973"/>
      <c r="AE77" s="1973"/>
      <c r="AF77" s="1501">
        <v>19</v>
      </c>
    </row>
    <row s="17315" customFormat="1" customHeight="1" ht="19.95">
      <c r="A78" s="1328"/>
      <c r="C78" s="1977"/>
      <c r="D78" s="1979"/>
      <c r="E78" s="887" t="str">
        <f>FHD_NUM_P_40</f>
        <v>5.1.2</v>
      </c>
      <c r="F78" s="2417" t="str">
        <f>FHD_P_40</f>
        <v>Изменения стоимости основных фондов за счет их вывода в эксплуатацию</v>
      </c>
      <c r="G78" s="2412" t="s">
        <v>547</v>
      </c>
      <c r="H78" s="1317"/>
      <c r="I78" s="898"/>
      <c r="J78" s="630" t="str">
        <f>FHD_NOTE_P_40</f>
        <v>Указываются изменение стоимости основных фондов за счет их вывода из эксплуатации.</v>
      </c>
      <c r="K78" s="884"/>
      <c r="L78" s="1977"/>
      <c r="M78" s="1977"/>
      <c r="R78" s="1977"/>
      <c r="U78" s="885"/>
      <c r="AA78" s="1973"/>
      <c r="AB78" s="1973"/>
      <c r="AC78" s="1973"/>
      <c r="AD78" s="1973"/>
      <c r="AE78" s="1973"/>
      <c r="AF78" s="1501">
        <v>19</v>
      </c>
    </row>
    <row s="17315" customFormat="1" customHeight="1" ht="19.95">
      <c r="A79" s="1328"/>
      <c r="C79" s="1977"/>
      <c r="D79" s="1979"/>
      <c r="E79" s="887" t="str">
        <f>FHD_NUM_P_41</f>
        <v>5.2</v>
      </c>
      <c r="F79" s="2416" t="str">
        <f>FHD_P_41</f>
        <v>Изменение стоимости основных фондов за счет их переоценки</v>
      </c>
      <c r="G79" s="2412" t="s">
        <v>547</v>
      </c>
      <c r="H79" s="1317"/>
      <c r="I79" s="898"/>
      <c r="J79" s="630" t="str">
        <f>FHD_NOTE_P_41</f>
        <v/>
      </c>
      <c r="K79" s="884"/>
      <c r="L79" s="1977"/>
      <c r="M79" s="1977"/>
      <c r="R79" s="1977"/>
      <c r="U79" s="885"/>
      <c r="AA79" s="1973"/>
      <c r="AB79" s="1973"/>
      <c r="AC79" s="1973"/>
      <c r="AD79" s="1973"/>
      <c r="AE79" s="1973"/>
      <c r="AF79" s="1501">
        <v>19</v>
      </c>
    </row>
    <row s="17315" customFormat="1" customHeight="1" ht="20.25" hidden="1">
      <c r="A80" s="1330" t="s">
        <v>574</v>
      </c>
      <c r="C80" s="1977"/>
      <c r="D80" s="1979"/>
      <c r="E80" s="887" t="str">
        <f>FHD_NUM_P_42</f>
        <v/>
      </c>
      <c r="F80" s="2414" t="str">
        <f>FHD_P_42</f>
        <v/>
      </c>
      <c r="G80" s="2412" t="s">
        <v>547</v>
      </c>
      <c r="H80" s="1317"/>
      <c r="I80" s="898"/>
      <c r="J80" s="630" t="str">
        <f>FHD_NOTE_P_42</f>
        <v/>
      </c>
      <c r="K80" s="884"/>
      <c r="L80" s="1977"/>
      <c r="M80" s="1977"/>
      <c r="R80" s="1977"/>
      <c r="U80" s="885"/>
      <c r="AA80" s="1973"/>
      <c r="AB80" s="1973"/>
      <c r="AC80" s="1973"/>
      <c r="AD80" s="1973"/>
      <c r="AE80" s="1973"/>
      <c r="AF80" s="1501">
        <v>19</v>
      </c>
    </row>
    <row s="17315" customFormat="1" customHeight="1" ht="19.95">
      <c r="A81" s="1328"/>
      <c r="C81" s="1977"/>
      <c r="D81" s="1979"/>
      <c r="E81" s="887" t="str">
        <f>FHD_NUM_P_43</f>
        <v>6</v>
      </c>
      <c r="F81" s="2221" t="str">
        <f>FHD_P_43</f>
        <v>Годовая бухгалтерская (финансовая) отчетность, включая бухгалтерский баланс и приложения к нему</v>
      </c>
      <c r="G81" s="2415" t="s">
        <v>301</v>
      </c>
      <c r="H81" s="1396"/>
      <c r="I81" s="1159"/>
      <c r="J81" s="630"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884"/>
      <c r="L81" s="1977"/>
      <c r="M81" s="1977"/>
      <c r="R81" s="1977"/>
      <c r="U81" s="885"/>
      <c r="AA81" s="1973"/>
      <c r="AB81" s="1973"/>
      <c r="AC81" s="1973"/>
      <c r="AD81" s="1973"/>
      <c r="AE81" s="1973"/>
      <c r="AF81" s="1501">
        <v>19</v>
      </c>
    </row>
    <row s="17315" customFormat="1" customHeight="1" ht="18.75" hidden="1">
      <c r="A82" s="2712" t="s">
        <v>575</v>
      </c>
      <c r="C82" s="1076"/>
      <c r="D82" s="1074"/>
      <c r="E82" s="887" t="str">
        <f>FHD_NUM_P_44</f>
        <v/>
      </c>
      <c r="F82" s="2221" t="str">
        <f>FHD_P_44</f>
        <v/>
      </c>
      <c r="G82" s="2222" t="s">
        <v>576</v>
      </c>
      <c r="H82" s="1318"/>
      <c r="I82" s="918"/>
      <c r="J82" s="630" t="str">
        <f>FHD_NOTE_P_44</f>
        <v/>
      </c>
      <c r="K82" s="1075"/>
      <c r="L82" s="1076"/>
      <c r="M82" s="1076"/>
      <c r="R82" s="1076"/>
      <c r="U82" s="1077"/>
      <c r="AA82" s="1078"/>
      <c r="AB82" s="1078"/>
      <c r="AC82" s="1078"/>
      <c r="AD82" s="1078"/>
      <c r="AE82" s="1078"/>
      <c r="AF82" s="1251">
        <v>0</v>
      </c>
    </row>
    <row s="17315" customFormat="1" customHeight="1" ht="18.75" hidden="1">
      <c r="A83" s="2712"/>
      <c r="C83" s="1076"/>
      <c r="D83" s="1074"/>
      <c r="E83" s="887" t="str">
        <f>FHD_NUM_P_45</f>
        <v/>
      </c>
      <c r="F83" s="2221" t="str">
        <f>FHD_P_45</f>
        <v/>
      </c>
      <c r="G83" s="2222" t="s">
        <v>576</v>
      </c>
      <c r="H83" s="1318"/>
      <c r="I83" s="918"/>
      <c r="J83" s="630" t="str">
        <f>FHD_NOTE_P_45</f>
        <v/>
      </c>
      <c r="K83" s="1075"/>
      <c r="L83" s="1076"/>
      <c r="M83" s="1076"/>
      <c r="R83" s="1076"/>
      <c r="U83" s="1077"/>
      <c r="AA83" s="1078"/>
      <c r="AB83" s="1078"/>
      <c r="AC83" s="1078"/>
      <c r="AD83" s="1078"/>
      <c r="AE83" s="1078"/>
      <c r="AF83" s="1251">
        <v>0</v>
      </c>
    </row>
    <row s="17315" customFormat="1" customHeight="1" ht="18.75" hidden="1">
      <c r="A84" s="2712"/>
      <c r="C84" s="1076"/>
      <c r="D84" s="1079"/>
      <c r="E84" s="887" t="str">
        <f>FHD_NUM_P_46</f>
        <v/>
      </c>
      <c r="F84" s="2221" t="str">
        <f>FHD_P_46</f>
        <v/>
      </c>
      <c r="G84" s="2222" t="s">
        <v>576</v>
      </c>
      <c r="H84" s="1318"/>
      <c r="I84" s="918"/>
      <c r="J84" s="630" t="str">
        <f>FHD_NOTE_P_46</f>
        <v/>
      </c>
      <c r="K84" s="1075"/>
      <c r="L84" s="1076"/>
      <c r="M84" s="1076"/>
      <c r="R84" s="1076"/>
      <c r="U84" s="1077"/>
      <c r="AA84" s="1078"/>
      <c r="AB84" s="1078"/>
      <c r="AC84" s="1078"/>
      <c r="AD84" s="1078"/>
      <c r="AE84" s="1078"/>
      <c r="AF84" s="1251">
        <v>0</v>
      </c>
    </row>
    <row s="17315" customFormat="1" customHeight="1" ht="18.75" hidden="1">
      <c r="A85" s="2712"/>
      <c r="C85" s="1076"/>
      <c r="D85" s="1074"/>
      <c r="E85" s="887" t="str">
        <f>FHD_NUM_P_47</f>
        <v/>
      </c>
      <c r="F85" s="2221" t="str">
        <f>FHD_P_47</f>
        <v/>
      </c>
      <c r="G85" s="2222" t="s">
        <v>576</v>
      </c>
      <c r="H85" s="1318"/>
      <c r="I85" s="918"/>
      <c r="J85" s="630" t="str">
        <f>FHD_NOTE_P_47</f>
        <v/>
      </c>
      <c r="K85" s="1075"/>
      <c r="L85" s="1076"/>
      <c r="M85" s="1076"/>
      <c r="R85" s="1076"/>
      <c r="U85" s="1077"/>
      <c r="AA85" s="1078"/>
      <c r="AB85" s="1078"/>
      <c r="AC85" s="1078"/>
      <c r="AD85" s="1078"/>
      <c r="AE85" s="1078"/>
      <c r="AF85" s="1251">
        <v>0</v>
      </c>
    </row>
    <row s="17239" customFormat="1" customHeight="1" ht="18.75" hidden="1">
      <c r="A86" s="2712"/>
      <c r="B86" s="1251"/>
      <c r="C86" s="1076"/>
      <c r="D86" s="1074"/>
      <c r="E86" s="887" t="str">
        <f>FHD_NUM_P_48</f>
        <v/>
      </c>
      <c r="F86" s="2221" t="str">
        <f>FHD_P_48</f>
        <v/>
      </c>
      <c r="G86" s="2222" t="s">
        <v>576</v>
      </c>
      <c r="H86" s="1318"/>
      <c r="I86" s="918"/>
      <c r="J86" s="630" t="str">
        <f>FHD_NOTE_P_48</f>
        <v/>
      </c>
      <c r="K86" s="1075"/>
      <c r="L86" s="1076"/>
      <c r="M86" s="1076"/>
      <c r="N86" s="1251"/>
      <c r="O86" s="1251"/>
      <c r="P86" s="1251"/>
      <c r="Q86" s="1251"/>
      <c r="R86" s="1076"/>
      <c r="S86" s="1251"/>
      <c r="T86" s="1251"/>
      <c r="U86" s="1077"/>
      <c r="V86" s="1251"/>
      <c r="W86" s="1251"/>
      <c r="X86" s="1251"/>
      <c r="Y86" s="1251"/>
      <c r="Z86" s="1251"/>
      <c r="AA86" s="1078"/>
      <c r="AB86" s="1078"/>
      <c r="AC86" s="1078"/>
      <c r="AD86" s="1078"/>
      <c r="AE86" s="1078"/>
      <c r="AF86" s="1080">
        <v>0</v>
      </c>
    </row>
    <row s="17239" customFormat="1" customHeight="1" ht="18.75" hidden="1">
      <c r="A87" s="2712"/>
      <c r="B87" s="1251"/>
      <c r="C87" s="1076"/>
      <c r="D87" s="1074"/>
      <c r="E87" s="887" t="str">
        <f>FHD_NUM_P_49</f>
        <v/>
      </c>
      <c r="F87" s="2221" t="str">
        <f>FHD_P_49</f>
        <v/>
      </c>
      <c r="G87" s="2222" t="s">
        <v>576</v>
      </c>
      <c r="H87" s="1319">
        <f>SUM(H88:H89)</f>
        <v>0</v>
      </c>
      <c r="I87" s="1090">
        <f>SUM(I88:I89)</f>
        <v>0</v>
      </c>
      <c r="J87" s="630" t="str">
        <f>FHD_NOTE_P_49</f>
        <v/>
      </c>
      <c r="K87" s="1075"/>
      <c r="L87" s="1076"/>
      <c r="M87" s="1076"/>
      <c r="N87" s="1251"/>
      <c r="O87" s="1251"/>
      <c r="P87" s="1251"/>
      <c r="Q87" s="1251"/>
      <c r="R87" s="1076"/>
      <c r="S87" s="1251"/>
      <c r="T87" s="1251"/>
      <c r="U87" s="1077"/>
      <c r="V87" s="1251"/>
      <c r="W87" s="1251"/>
      <c r="X87" s="1251"/>
      <c r="Y87" s="1251"/>
      <c r="Z87" s="1251"/>
      <c r="AA87" s="1078"/>
      <c r="AB87" s="1078"/>
      <c r="AC87" s="1078"/>
      <c r="AD87" s="1078"/>
      <c r="AE87" s="1078"/>
      <c r="AF87" s="1080">
        <v>0</v>
      </c>
    </row>
    <row s="17239" customFormat="1" customHeight="1" ht="18.75" hidden="1">
      <c r="A88" s="2712"/>
      <c r="B88" s="1251"/>
      <c r="C88" s="1076"/>
      <c r="D88" s="1074"/>
      <c r="E88" s="887" t="str">
        <f>FHD_NUM_P_50</f>
        <v/>
      </c>
      <c r="F88" s="2221" t="str">
        <f>FHD_P_50</f>
        <v/>
      </c>
      <c r="G88" s="2222" t="s">
        <v>576</v>
      </c>
      <c r="H88" s="1318"/>
      <c r="I88" s="918"/>
      <c r="J88" s="630" t="str">
        <f>FHD_NOTE_P_50</f>
        <v/>
      </c>
      <c r="K88" s="1075"/>
      <c r="L88" s="1076"/>
      <c r="M88" s="1076"/>
      <c r="N88" s="1251"/>
      <c r="O88" s="1251"/>
      <c r="P88" s="1251"/>
      <c r="Q88" s="1251"/>
      <c r="R88" s="1076"/>
      <c r="S88" s="1251"/>
      <c r="T88" s="1251"/>
      <c r="U88" s="1077"/>
      <c r="V88" s="1251"/>
      <c r="W88" s="1251"/>
      <c r="X88" s="1251"/>
      <c r="Y88" s="1251"/>
      <c r="Z88" s="1251"/>
      <c r="AA88" s="1078"/>
      <c r="AB88" s="1078"/>
      <c r="AC88" s="1078"/>
      <c r="AD88" s="1078"/>
      <c r="AE88" s="1078"/>
      <c r="AF88" s="1080">
        <v>0</v>
      </c>
    </row>
    <row s="17239" customFormat="1" customHeight="1" ht="18.75" hidden="1">
      <c r="A89" s="2712"/>
      <c r="B89" s="1251"/>
      <c r="C89" s="1076"/>
      <c r="D89" s="1074"/>
      <c r="E89" s="887" t="str">
        <f>FHD_NUM_P_51</f>
        <v/>
      </c>
      <c r="F89" s="2221" t="str">
        <f>FHD_P_51</f>
        <v/>
      </c>
      <c r="G89" s="2222" t="s">
        <v>576</v>
      </c>
      <c r="H89" s="1318"/>
      <c r="I89" s="918"/>
      <c r="J89" s="630" t="str">
        <f>FHD_NOTE_P_51</f>
        <v/>
      </c>
      <c r="K89" s="1075"/>
      <c r="L89" s="1076"/>
      <c r="M89" s="1076"/>
      <c r="N89" s="1251"/>
      <c r="O89" s="1251"/>
      <c r="P89" s="1251"/>
      <c r="Q89" s="1251"/>
      <c r="R89" s="1076"/>
      <c r="S89" s="1251"/>
      <c r="T89" s="1251"/>
      <c r="U89" s="1077"/>
      <c r="V89" s="1251"/>
      <c r="W89" s="1251"/>
      <c r="X89" s="1251"/>
      <c r="Y89" s="1251"/>
      <c r="Z89" s="1251"/>
      <c r="AA89" s="1078"/>
      <c r="AB89" s="1078"/>
      <c r="AC89" s="1078"/>
      <c r="AD89" s="1078"/>
      <c r="AE89" s="1078"/>
      <c r="AF89" s="1080">
        <v>0</v>
      </c>
    </row>
    <row s="17239" customFormat="1" customHeight="1" ht="18.75" hidden="1">
      <c r="A90" s="2712"/>
      <c r="B90" s="1251"/>
      <c r="C90" s="1076"/>
      <c r="D90" s="1074"/>
      <c r="E90" s="887" t="str">
        <f>FHD_NUM_P_52</f>
        <v/>
      </c>
      <c r="F90" s="2221" t="str">
        <f>FHD_P_52</f>
        <v/>
      </c>
      <c r="G90" s="2222" t="s">
        <v>553</v>
      </c>
      <c r="H90" s="1317"/>
      <c r="I90" s="898"/>
      <c r="J90" s="630" t="str">
        <f>FHD_NOTE_P_52</f>
        <v/>
      </c>
      <c r="K90" s="1075"/>
      <c r="L90" s="1076"/>
      <c r="M90" s="1076"/>
      <c r="N90" s="1251"/>
      <c r="O90" s="1251"/>
      <c r="P90" s="1251"/>
      <c r="Q90" s="1251"/>
      <c r="R90" s="1076"/>
      <c r="S90" s="1251"/>
      <c r="T90" s="1251"/>
      <c r="U90" s="1077"/>
      <c r="V90" s="1251"/>
      <c r="W90" s="1251"/>
      <c r="X90" s="1251"/>
      <c r="Y90" s="1251"/>
      <c r="Z90" s="1251"/>
      <c r="AA90" s="1078"/>
      <c r="AB90" s="1078"/>
      <c r="AC90" s="1078"/>
      <c r="AD90" s="1078"/>
      <c r="AE90" s="1078"/>
      <c r="AF90" s="1080">
        <v>0</v>
      </c>
    </row>
    <row s="17315" customFormat="1" customHeight="1" ht="18.75" hidden="1">
      <c r="A91" s="2714" t="s">
        <v>577</v>
      </c>
      <c r="C91" s="1076"/>
      <c r="D91" s="1074"/>
      <c r="E91" s="887" t="str">
        <f>FHD_NUM_P_53</f>
        <v/>
      </c>
      <c r="F91" s="2221" t="str">
        <f>FHD_P_53</f>
        <v/>
      </c>
      <c r="G91" s="2222" t="s">
        <v>576</v>
      </c>
      <c r="H91" s="1318"/>
      <c r="I91" s="918"/>
      <c r="J91" s="630" t="str">
        <f>FHD_NOTE_P_53</f>
        <v/>
      </c>
      <c r="K91" s="1075"/>
      <c r="L91" s="1076"/>
      <c r="M91" s="1076"/>
      <c r="R91" s="1076"/>
      <c r="U91" s="1077"/>
      <c r="AA91" s="1078"/>
      <c r="AB91" s="1078"/>
      <c r="AC91" s="1078"/>
      <c r="AD91" s="1078"/>
      <c r="AE91" s="1078"/>
      <c r="AF91" s="1251">
        <v>0</v>
      </c>
    </row>
    <row s="17315" customFormat="1" customHeight="1" ht="18.75" hidden="1">
      <c r="A92" s="2714"/>
      <c r="C92" s="1076"/>
      <c r="D92" s="1074"/>
      <c r="E92" s="887" t="str">
        <f>FHD_NUM_P_54</f>
        <v/>
      </c>
      <c r="F92" s="2221" t="str">
        <f>FHD_P_54</f>
        <v/>
      </c>
      <c r="G92" s="2222" t="s">
        <v>576</v>
      </c>
      <c r="H92" s="1318"/>
      <c r="I92" s="918"/>
      <c r="J92" s="630" t="str">
        <f>FHD_NOTE_P_54</f>
        <v/>
      </c>
      <c r="K92" s="1075"/>
      <c r="L92" s="1076"/>
      <c r="M92" s="1076"/>
      <c r="R92" s="1076"/>
      <c r="U92" s="1077"/>
      <c r="AA92" s="1078"/>
      <c r="AB92" s="1078"/>
      <c r="AC92" s="1078"/>
      <c r="AD92" s="1078"/>
      <c r="AE92" s="1078"/>
      <c r="AF92" s="1251">
        <v>0</v>
      </c>
    </row>
    <row s="17315" customFormat="1" customHeight="1" ht="18.75" hidden="1">
      <c r="A93" s="2714"/>
      <c r="C93" s="1076"/>
      <c r="D93" s="1079"/>
      <c r="E93" s="887" t="str">
        <f>FHD_NUM_P_55</f>
        <v/>
      </c>
      <c r="F93" s="2221" t="str">
        <f>FHD_P_55</f>
        <v/>
      </c>
      <c r="G93" s="2225"/>
      <c r="H93" s="1318"/>
      <c r="I93" s="918"/>
      <c r="J93" s="630" t="str">
        <f>FHD_NOTE_P_55</f>
        <v/>
      </c>
      <c r="K93" s="1075"/>
      <c r="L93" s="1076"/>
      <c r="M93" s="1076"/>
      <c r="R93" s="1076"/>
      <c r="U93" s="1077"/>
      <c r="AA93" s="1078"/>
      <c r="AB93" s="1078"/>
      <c r="AC93" s="1078"/>
      <c r="AD93" s="1078"/>
      <c r="AE93" s="1078"/>
      <c r="AF93" s="1251">
        <v>0</v>
      </c>
    </row>
    <row s="17315" customFormat="1" customHeight="1" ht="18.75" hidden="1">
      <c r="A94" s="2714"/>
      <c r="C94" s="1076"/>
      <c r="D94" s="1074"/>
      <c r="E94" s="887" t="str">
        <f>FHD_NUM_P_56</f>
        <v/>
      </c>
      <c r="F94" s="2221" t="str">
        <f>FHD_P_56</f>
        <v/>
      </c>
      <c r="G94" s="2222" t="s">
        <v>578</v>
      </c>
      <c r="H94" s="1318"/>
      <c r="I94" s="918"/>
      <c r="J94" s="630" t="str">
        <f>FHD_NOTE_P_56</f>
        <v/>
      </c>
      <c r="K94" s="1075"/>
      <c r="L94" s="1076"/>
      <c r="M94" s="1076"/>
      <c r="R94" s="1076"/>
      <c r="U94" s="1077"/>
      <c r="AA94" s="1078"/>
      <c r="AB94" s="1078"/>
      <c r="AC94" s="1078"/>
      <c r="AD94" s="1078"/>
      <c r="AE94" s="1078"/>
      <c r="AF94" s="1251">
        <v>0</v>
      </c>
    </row>
    <row s="17239" customFormat="1" customHeight="1" ht="18.75" hidden="1">
      <c r="A95" s="2714"/>
      <c r="B95" s="1251"/>
      <c r="C95" s="1076"/>
      <c r="D95" s="1074"/>
      <c r="E95" s="887" t="str">
        <f>FHD_NUM_P_57</f>
        <v/>
      </c>
      <c r="F95" s="2221" t="str">
        <f>FHD_P_57</f>
        <v/>
      </c>
      <c r="G95" s="2222" t="s">
        <v>553</v>
      </c>
      <c r="H95" s="1317"/>
      <c r="I95" s="898"/>
      <c r="J95" s="630" t="str">
        <f>FHD_NOTE_P_57</f>
        <v/>
      </c>
      <c r="K95" s="1075"/>
      <c r="L95" s="1076"/>
      <c r="M95" s="1076"/>
      <c r="N95" s="1251"/>
      <c r="O95" s="1251"/>
      <c r="P95" s="1251"/>
      <c r="Q95" s="1251"/>
      <c r="R95" s="1076"/>
      <c r="S95" s="1251"/>
      <c r="T95" s="1251"/>
      <c r="U95" s="1077"/>
      <c r="V95" s="1251"/>
      <c r="W95" s="1251"/>
      <c r="X95" s="1251"/>
      <c r="Y95" s="1251"/>
      <c r="Z95" s="1251"/>
      <c r="AA95" s="1078"/>
      <c r="AB95" s="1078"/>
      <c r="AC95" s="1078"/>
      <c r="AD95" s="1078"/>
      <c r="AE95" s="1078"/>
      <c r="AF95" s="1080">
        <v>0</v>
      </c>
    </row>
    <row customHeight="1" ht="18.75" hidden="1">
      <c r="A96" s="2712" t="s">
        <v>579</v>
      </c>
      <c r="D96" s="1979"/>
      <c r="E96" s="887" t="str">
        <f>FHD_NUM_P_58</f>
        <v/>
      </c>
      <c r="F96" s="2221" t="str">
        <f>FHD_P_58</f>
        <v/>
      </c>
      <c r="G96" s="2222" t="s">
        <v>576</v>
      </c>
      <c r="H96" s="1318"/>
      <c r="I96" s="918"/>
      <c r="J96" s="630" t="str">
        <f>FHD_NOTE_P_58</f>
        <v/>
      </c>
      <c r="K96" s="884"/>
      <c r="AF96" s="1972">
        <v>0</v>
      </c>
    </row>
    <row customHeight="1" ht="18.75" hidden="1">
      <c r="A97" s="2712"/>
      <c r="D97" s="1979"/>
      <c r="E97" s="887" t="str">
        <f>FHD_NUM_P_59</f>
        <v/>
      </c>
      <c r="F97" s="2221" t="str">
        <f>FHD_P_59</f>
        <v/>
      </c>
      <c r="G97" s="2222" t="s">
        <v>576</v>
      </c>
      <c r="H97" s="1318"/>
      <c r="I97" s="918"/>
      <c r="J97" s="630" t="str">
        <f>FHD_NOTE_P_59</f>
        <v/>
      </c>
      <c r="K97" s="884"/>
      <c r="AF97" s="1972">
        <v>0</v>
      </c>
    </row>
    <row customHeight="1" ht="18.75" hidden="1">
      <c r="A98" s="2712"/>
      <c r="D98" s="1979"/>
      <c r="E98" s="887" t="str">
        <f>FHD_NUM_P_60</f>
        <v/>
      </c>
      <c r="F98" s="2221" t="str">
        <f>FHD_P_60</f>
        <v/>
      </c>
      <c r="G98" s="2222" t="s">
        <v>576</v>
      </c>
      <c r="H98" s="1318"/>
      <c r="I98" s="918"/>
      <c r="J98" s="630" t="str">
        <f>FHD_NOTE_P_60</f>
        <v/>
      </c>
      <c r="K98" s="884"/>
      <c r="AF98" s="1972">
        <v>0</v>
      </c>
    </row>
    <row s="17315" customFormat="1" customHeight="1" ht="18.75">
      <c r="A99" s="2712" t="s">
        <v>580</v>
      </c>
      <c r="C99" s="1977"/>
      <c r="D99" s="1979"/>
      <c r="E99" s="887" t="str">
        <f>FHD_NUM_P_61</f>
        <v>7</v>
      </c>
      <c r="F99" s="222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219" t="s">
        <v>551</v>
      </c>
      <c r="H99" s="1320"/>
      <c r="I99" s="1083"/>
      <c r="J99" s="630"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884"/>
      <c r="L99" s="1977"/>
      <c r="M99" s="1977"/>
      <c r="R99" s="1977"/>
      <c r="U99" s="885"/>
      <c r="AA99" s="1973"/>
      <c r="AB99" s="1973"/>
      <c r="AC99" s="1973"/>
      <c r="AD99" s="1973"/>
      <c r="AE99" s="1973"/>
      <c r="AF99" s="1501">
        <v>0</v>
      </c>
    </row>
    <row s="17316" customFormat="1" customHeight="1" ht="0.75">
      <c r="A100" s="2712"/>
      <c r="D100" s="889"/>
      <c r="E100" s="1354" t="str">
        <f>E99&amp;".0"</f>
        <v>7.0</v>
      </c>
      <c r="F100" s="1335"/>
      <c r="G100" s="1336"/>
      <c r="H100" s="1333"/>
      <c r="I100" s="1333"/>
      <c r="J100" s="1337"/>
      <c r="AF100" s="1977">
        <v>0</v>
      </c>
    </row>
    <row customHeight="1" ht="15">
      <c r="A101" s="2712"/>
      <c r="D101" s="1974"/>
      <c r="E101" s="1312"/>
      <c r="F101" s="1313" t="s">
        <v>581</v>
      </c>
      <c r="G101" s="913"/>
      <c r="H101" s="914"/>
      <c r="I101" s="914"/>
      <c r="J101" s="1345" t="s">
        <v>582</v>
      </c>
      <c r="K101" s="884"/>
      <c r="AF101" s="1972">
        <v>0</v>
      </c>
    </row>
    <row s="17315" customFormat="1" customHeight="1" ht="18.75">
      <c r="A102" s="2712"/>
      <c r="C102" s="1977"/>
      <c r="D102" s="1979"/>
      <c r="E102" s="887" t="str">
        <f>FHD_NUM_P_62</f>
        <v>8</v>
      </c>
      <c r="F102" s="2221" t="str">
        <f>FHD_P_62</f>
        <v>Тепловая нагрузка по договорам, заключенным в рамках осуществления регулируемых видов деятельности</v>
      </c>
      <c r="G102" s="2218" t="s">
        <v>551</v>
      </c>
      <c r="H102" s="898"/>
      <c r="I102" s="898"/>
      <c r="J102" s="630"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884"/>
      <c r="L102" s="1977"/>
      <c r="M102" s="1977"/>
      <c r="R102" s="1977"/>
      <c r="U102" s="885"/>
      <c r="AA102" s="1973"/>
      <c r="AB102" s="1973"/>
      <c r="AC102" s="1973"/>
      <c r="AD102" s="1973"/>
      <c r="AE102" s="1973"/>
      <c r="AF102" s="1501">
        <v>0</v>
      </c>
    </row>
    <row s="17315" customFormat="1" customHeight="1" ht="18.75">
      <c r="A103" s="2712"/>
      <c r="C103" s="1977"/>
      <c r="D103" s="1979"/>
      <c r="E103" s="887" t="str">
        <f>FHD_NUM_P_63</f>
        <v>9</v>
      </c>
      <c r="F103" s="2221" t="str">
        <f>FHD_P_63</f>
        <v>Объем вырабатываемой регулируемой организацией тепловой энергии в рамках осуществления регулируемых видов деятельности</v>
      </c>
      <c r="G103" s="2218" t="s">
        <v>578</v>
      </c>
      <c r="H103" s="918"/>
      <c r="I103" s="918"/>
      <c r="J103" s="630"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884"/>
      <c r="L103" s="1977"/>
      <c r="M103" s="1977"/>
      <c r="R103" s="1977"/>
      <c r="U103" s="885"/>
      <c r="AA103" s="1973"/>
      <c r="AB103" s="1973"/>
      <c r="AC103" s="1973"/>
      <c r="AD103" s="1973"/>
      <c r="AE103" s="1973"/>
      <c r="AF103" s="1501">
        <v>0</v>
      </c>
    </row>
    <row s="17315" customFormat="1" customHeight="1" ht="18.75">
      <c r="A104" s="2712"/>
      <c r="C104" s="1977" t="s">
        <v>583</v>
      </c>
      <c r="D104" s="1979"/>
      <c r="E104" s="887" t="str">
        <f>FHD_NUM_P_64</f>
        <v>9.1</v>
      </c>
      <c r="F104" s="2221" t="str">
        <f>FHD_P_64</f>
        <v>Объем приобретаемой регулируемой организацией тепловой энергии в рамках осуществления регулируемых видов деятельности</v>
      </c>
      <c r="G104" s="2218" t="s">
        <v>578</v>
      </c>
      <c r="H104" s="886"/>
      <c r="I104" s="886"/>
      <c r="J104" s="630" t="str">
        <f>FHD_NOTE_P_64</f>
        <v>Информация указывается только едиными теплоснабжающими организациями.</v>
      </c>
      <c r="K104" s="884"/>
      <c r="L104" s="1977"/>
      <c r="M104" s="1977"/>
      <c r="R104" s="1977"/>
      <c r="U104" s="885"/>
      <c r="AA104" s="1973"/>
      <c r="AB104" s="1973"/>
      <c r="AC104" s="1973"/>
      <c r="AD104" s="1973"/>
      <c r="AE104" s="1973"/>
      <c r="AF104" s="1501">
        <v>0</v>
      </c>
    </row>
    <row s="17315" customFormat="1" customHeight="1" ht="18.75">
      <c r="A105" s="2712"/>
      <c r="C105" s="1977"/>
      <c r="D105" s="1979"/>
      <c r="E105" s="887" t="str">
        <f>FHD_NUM_P_65</f>
        <v>10</v>
      </c>
      <c r="F105" s="222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218" t="s">
        <v>578</v>
      </c>
      <c r="H105" s="918"/>
      <c r="I105" s="918"/>
      <c r="J105" s="630"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884"/>
      <c r="L105" s="1977"/>
      <c r="M105" s="1977"/>
      <c r="R105" s="1977"/>
      <c r="U105" s="885"/>
      <c r="AA105" s="1973"/>
      <c r="AB105" s="1973"/>
      <c r="AC105" s="1973"/>
      <c r="AD105" s="1973"/>
      <c r="AE105" s="1973"/>
      <c r="AF105" s="1501">
        <v>0</v>
      </c>
    </row>
    <row s="17315" customFormat="1" customHeight="1" ht="18.75">
      <c r="A106" s="2712"/>
      <c r="C106" s="1977"/>
      <c r="D106" s="1979"/>
      <c r="E106" s="887" t="str">
        <f>FHD_NUM_P_66</f>
        <v>10.1</v>
      </c>
      <c r="F106" s="1865" t="str">
        <f>FHD_P_66</f>
        <v>По приборам учёта </v>
      </c>
      <c r="G106" s="2218" t="s">
        <v>578</v>
      </c>
      <c r="H106" s="918"/>
      <c r="I106" s="918"/>
      <c r="J106" s="630" t="str">
        <f>FHD_NOTE_P_66</f>
        <v/>
      </c>
      <c r="K106" s="884"/>
      <c r="L106" s="1977"/>
      <c r="M106" s="1977"/>
      <c r="R106" s="1977"/>
      <c r="U106" s="885"/>
      <c r="AA106" s="1973"/>
      <c r="AB106" s="1973"/>
      <c r="AC106" s="1973"/>
      <c r="AD106" s="1973"/>
      <c r="AE106" s="1973"/>
      <c r="AF106" s="1501">
        <v>0</v>
      </c>
    </row>
    <row s="17315" customFormat="1" customHeight="1" ht="18.75">
      <c r="A107" s="2712"/>
      <c r="C107" s="1977"/>
      <c r="D107" s="1979"/>
      <c r="E107" s="887" t="str">
        <f>FHD_NUM_P_67</f>
        <v>10.1.1</v>
      </c>
      <c r="F107" s="199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218" t="s">
        <v>578</v>
      </c>
      <c r="H107" s="918"/>
      <c r="I107" s="918"/>
      <c r="J107" s="630" t="str">
        <f>FHD_NOTE_P_67</f>
        <v/>
      </c>
      <c r="K107" s="884"/>
      <c r="L107" s="1977"/>
      <c r="M107" s="1977"/>
      <c r="R107" s="1977"/>
      <c r="U107" s="885"/>
      <c r="AA107" s="1973"/>
      <c r="AB107" s="1973"/>
      <c r="AC107" s="1973"/>
      <c r="AD107" s="1973"/>
      <c r="AE107" s="1973"/>
      <c r="AF107" s="1501">
        <v>0</v>
      </c>
    </row>
    <row s="17315" customFormat="1" customHeight="1" ht="18.75">
      <c r="A108" s="2712"/>
      <c r="C108" s="1977"/>
      <c r="D108" s="1979"/>
      <c r="E108" s="887" t="str">
        <f>FHD_NUM_P_68</f>
        <v>10.2</v>
      </c>
      <c r="F108" s="1865" t="str">
        <f>FHD_P_68</f>
        <v>Расчётным путём</v>
      </c>
      <c r="G108" s="2218" t="s">
        <v>578</v>
      </c>
      <c r="H108" s="918"/>
      <c r="I108" s="918"/>
      <c r="J108" s="630" t="str">
        <f>FHD_NOTE_P_68</f>
        <v/>
      </c>
      <c r="K108" s="884"/>
      <c r="L108" s="1977"/>
      <c r="M108" s="1977"/>
      <c r="R108" s="1977"/>
      <c r="U108" s="885"/>
      <c r="AA108" s="1973"/>
      <c r="AB108" s="1973"/>
      <c r="AC108" s="1973"/>
      <c r="AD108" s="1973"/>
      <c r="AE108" s="1973"/>
      <c r="AF108" s="1501">
        <v>0</v>
      </c>
    </row>
    <row s="17315" customFormat="1" customHeight="1" ht="18.75">
      <c r="A109" s="2712"/>
      <c r="C109" s="1977"/>
      <c r="D109" s="1979"/>
      <c r="E109" s="887" t="str">
        <f>FHD_NUM_P_69</f>
        <v>10.3</v>
      </c>
      <c r="F109" s="1865" t="str">
        <f>FHD_P_69</f>
        <v>По нормативам потребления коммунальных услуг и нормативам потребления коммунальных ресурсов</v>
      </c>
      <c r="G109" s="2218" t="s">
        <v>578</v>
      </c>
      <c r="H109" s="918"/>
      <c r="I109" s="918"/>
      <c r="J109" s="630" t="str">
        <f>FHD_NOTE_P_69</f>
        <v/>
      </c>
      <c r="K109" s="884"/>
      <c r="L109" s="1977"/>
      <c r="M109" s="1977"/>
      <c r="R109" s="1977"/>
      <c r="U109" s="885"/>
      <c r="AA109" s="1973"/>
      <c r="AB109" s="1973"/>
      <c r="AC109" s="1973"/>
      <c r="AD109" s="1973"/>
      <c r="AE109" s="1973"/>
      <c r="AF109" s="1501">
        <v>0</v>
      </c>
    </row>
    <row s="17315" customFormat="1" customHeight="1" ht="22.5">
      <c r="A110" s="2712"/>
      <c r="C110" s="1977"/>
      <c r="D110" s="1979"/>
      <c r="E110" s="887" t="str">
        <f>FHD_NUM_P_70</f>
        <v>11</v>
      </c>
      <c r="F110" s="2221" t="str">
        <f>FHD_P_70</f>
        <v>Нормативы технологических потерь при передаче тепловой энергии, теплоносителя по тепловым сетям, утвержденные уполномоченным органом</v>
      </c>
      <c r="G110" s="2218" t="s">
        <v>584</v>
      </c>
      <c r="H110" s="898"/>
      <c r="I110" s="898"/>
      <c r="J110" s="630" t="str">
        <f>FHD_NOTE_P_70</f>
        <v/>
      </c>
      <c r="K110" s="884"/>
      <c r="L110" s="1977"/>
      <c r="M110" s="1977"/>
      <c r="R110" s="1977"/>
      <c r="U110" s="885"/>
      <c r="AA110" s="1973"/>
      <c r="AB110" s="1973"/>
      <c r="AC110" s="1973"/>
      <c r="AD110" s="1973"/>
      <c r="AE110" s="1973"/>
      <c r="AF110" s="1501">
        <v>0</v>
      </c>
    </row>
    <row s="17315" customFormat="1" customHeight="1" ht="22.5">
      <c r="A111" s="2712"/>
      <c r="C111" s="1977"/>
      <c r="D111" s="1979"/>
      <c r="E111" s="887" t="str">
        <f>FHD_NUM_P_71</f>
        <v>12</v>
      </c>
      <c r="F111" s="2221" t="str">
        <f>FHD_P_71</f>
        <v>Фактический объем потерь при передаче тепловой энергии</v>
      </c>
      <c r="G111" s="2218" t="s">
        <v>584</v>
      </c>
      <c r="H111" s="898"/>
      <c r="I111" s="898"/>
      <c r="J111" s="630" t="str">
        <f>FHD_NOTE_P_71</f>
        <v/>
      </c>
      <c r="K111" s="884"/>
      <c r="L111" s="1977"/>
      <c r="M111" s="1977"/>
      <c r="R111" s="1977"/>
      <c r="U111" s="885"/>
      <c r="AA111" s="1973"/>
      <c r="AB111" s="1973"/>
      <c r="AC111" s="1973"/>
      <c r="AD111" s="1973"/>
      <c r="AE111" s="1973"/>
      <c r="AF111" s="1501">
        <v>0</v>
      </c>
    </row>
    <row customHeight="1" ht="19.95">
      <c r="D112" s="1979"/>
      <c r="E112" s="887" t="str">
        <f>FHD_NUM_P_72</f>
        <v>13</v>
      </c>
      <c r="F112" s="2221" t="str">
        <f>FHD_P_72</f>
        <v>Среднесписочная численность основного производственного персонала</v>
      </c>
      <c r="G112" s="2217" t="s">
        <v>585</v>
      </c>
      <c r="H112" s="918"/>
      <c r="I112" s="918"/>
      <c r="J112" s="630" t="str">
        <f>FHD_NOTE_P_72</f>
        <v/>
      </c>
      <c r="K112" s="884"/>
      <c r="AF112" s="1972">
        <v>19</v>
      </c>
    </row>
    <row customHeight="1" ht="18.75">
      <c r="A113" s="1330" t="s">
        <v>586</v>
      </c>
      <c r="D113" s="1979"/>
      <c r="E113" s="887" t="str">
        <f>FHD_NUM_P_73</f>
        <v>14</v>
      </c>
      <c r="F113" s="2221" t="str">
        <f>FHD_P_73</f>
        <v>Среднесписочная численность административно-управленческого персонала</v>
      </c>
      <c r="G113" s="1311" t="s">
        <v>585</v>
      </c>
      <c r="H113" s="1309"/>
      <c r="I113" s="1309"/>
      <c r="J113" s="630" t="str">
        <f>FHD_NOTE_P_73</f>
        <v/>
      </c>
      <c r="K113" s="884"/>
      <c r="AF113" s="1972">
        <v>0</v>
      </c>
    </row>
    <row customHeight="1" ht="33.75" hidden="1">
      <c r="A114" s="1330" t="s">
        <v>587</v>
      </c>
      <c r="D114" s="1979"/>
      <c r="E114" s="887" t="str">
        <f>FHD_NUM_P_74</f>
        <v/>
      </c>
      <c r="F114" s="2221" t="str">
        <f>FHD_P_74</f>
        <v/>
      </c>
      <c r="G114" s="2217" t="s">
        <v>588</v>
      </c>
      <c r="H114" s="918"/>
      <c r="I114" s="918"/>
      <c r="J114" s="630" t="str">
        <f>FHD_NOTE_P_74</f>
        <v/>
      </c>
      <c r="K114" s="884"/>
      <c r="AF114" s="1972">
        <v>0</v>
      </c>
    </row>
    <row s="17239" customFormat="1" customHeight="1" ht="18.75" hidden="1">
      <c r="A115" s="2714" t="s">
        <v>589</v>
      </c>
      <c r="B115" s="1251"/>
      <c r="C115" s="1076"/>
      <c r="D115" s="1074"/>
      <c r="E115" s="887" t="str">
        <f>FHD_NUM_P_75</f>
        <v/>
      </c>
      <c r="F115" s="2221" t="str">
        <f>FHD_P_75</f>
        <v/>
      </c>
      <c r="G115" s="2217" t="s">
        <v>553</v>
      </c>
      <c r="H115" s="898"/>
      <c r="I115" s="898"/>
      <c r="J115" s="630" t="str">
        <f>FHD_NOTE_P_75</f>
        <v/>
      </c>
      <c r="K115" s="1075"/>
      <c r="L115" s="1076"/>
      <c r="M115" s="1076"/>
      <c r="N115" s="1251"/>
      <c r="O115" s="1251"/>
      <c r="P115" s="1251"/>
      <c r="Q115" s="1251"/>
      <c r="R115" s="1076"/>
      <c r="S115" s="1251"/>
      <c r="T115" s="1251"/>
      <c r="U115" s="1077"/>
      <c r="V115" s="1251"/>
      <c r="W115" s="1251"/>
      <c r="X115" s="1251"/>
      <c r="Y115" s="1251"/>
      <c r="Z115" s="1251"/>
      <c r="AA115" s="1078"/>
      <c r="AB115" s="1078"/>
      <c r="AC115" s="1078"/>
      <c r="AD115" s="1078"/>
      <c r="AE115" s="1078"/>
      <c r="AF115" s="1080">
        <v>0</v>
      </c>
    </row>
    <row s="17239" customFormat="1" customHeight="1" ht="18.75" hidden="1">
      <c r="A116" s="2714"/>
      <c r="B116" s="1251"/>
      <c r="C116" s="1076"/>
      <c r="D116" s="1074"/>
      <c r="E116" s="887" t="str">
        <f>FHD_NUM_P_76</f>
        <v/>
      </c>
      <c r="F116" s="2221" t="str">
        <f>FHD_P_76</f>
        <v/>
      </c>
      <c r="G116" s="2217" t="s">
        <v>553</v>
      </c>
      <c r="H116" s="898"/>
      <c r="I116" s="898"/>
      <c r="J116" s="630" t="str">
        <f>FHD_NOTE_P_76</f>
        <v/>
      </c>
      <c r="K116" s="1075"/>
      <c r="L116" s="1076"/>
      <c r="M116" s="1076"/>
      <c r="N116" s="1251"/>
      <c r="O116" s="1251"/>
      <c r="P116" s="1251"/>
      <c r="Q116" s="1251"/>
      <c r="R116" s="1076"/>
      <c r="S116" s="1251"/>
      <c r="T116" s="1251"/>
      <c r="U116" s="1077"/>
      <c r="V116" s="1251"/>
      <c r="W116" s="1251"/>
      <c r="X116" s="1251"/>
      <c r="Y116" s="1251"/>
      <c r="Z116" s="1251"/>
      <c r="AA116" s="1078"/>
      <c r="AB116" s="1078"/>
      <c r="AC116" s="1078"/>
      <c r="AD116" s="1078"/>
      <c r="AE116" s="1078"/>
      <c r="AF116" s="1080">
        <v>0</v>
      </c>
    </row>
    <row s="17239" customFormat="1" customHeight="1" ht="18.75" hidden="1">
      <c r="A117" s="2714"/>
      <c r="B117" s="1251"/>
      <c r="C117" s="1076"/>
      <c r="D117" s="1074"/>
      <c r="E117" s="887" t="str">
        <f>FHD_NUM_P_77</f>
        <v/>
      </c>
      <c r="F117" s="2221" t="str">
        <f>FHD_P_77</f>
        <v/>
      </c>
      <c r="G117" s="2217" t="s">
        <v>553</v>
      </c>
      <c r="H117" s="898"/>
      <c r="I117" s="898"/>
      <c r="J117" s="630" t="str">
        <f>FHD_NOTE_P_77</f>
        <v/>
      </c>
      <c r="K117" s="1075"/>
      <c r="L117" s="1076"/>
      <c r="M117" s="1076"/>
      <c r="N117" s="1251"/>
      <c r="O117" s="1251"/>
      <c r="P117" s="1251"/>
      <c r="Q117" s="1251"/>
      <c r="R117" s="1076"/>
      <c r="S117" s="1251"/>
      <c r="T117" s="1251"/>
      <c r="U117" s="1077"/>
      <c r="V117" s="1251"/>
      <c r="W117" s="1251"/>
      <c r="X117" s="1251"/>
      <c r="Y117" s="1251"/>
      <c r="Z117" s="1251"/>
      <c r="AA117" s="1078"/>
      <c r="AB117" s="1078"/>
      <c r="AC117" s="1078"/>
      <c r="AD117" s="1078"/>
      <c r="AE117" s="1078"/>
      <c r="AF117" s="1080">
        <v>0</v>
      </c>
    </row>
    <row s="17316" customFormat="1" customHeight="1" ht="0.75" hidden="1">
      <c r="A118" s="2714"/>
      <c r="D118" s="889"/>
      <c r="E118" s="1354" t="str">
        <f>E117&amp;".0"</f>
        <v>.0</v>
      </c>
      <c r="F118" s="1338"/>
      <c r="G118" s="1992"/>
      <c r="H118" s="1333"/>
      <c r="I118" s="1333"/>
      <c r="J118" s="1337"/>
      <c r="AF118" s="1977">
        <v>0</v>
      </c>
    </row>
    <row s="17239" customFormat="1" customHeight="1" ht="15" hidden="1">
      <c r="A119" s="2714"/>
      <c r="B119" s="1251"/>
      <c r="C119" s="1076"/>
      <c r="D119" s="1087"/>
      <c r="E119" s="1314"/>
      <c r="F119" s="1315" t="s">
        <v>590</v>
      </c>
      <c r="G119" s="1088"/>
      <c r="H119" s="1089"/>
      <c r="I119" s="1089"/>
      <c r="J119" s="1344" t="s">
        <v>591</v>
      </c>
      <c r="K119" s="1075"/>
      <c r="L119" s="1076"/>
      <c r="M119" s="1076"/>
      <c r="N119" s="1251"/>
      <c r="O119" s="1251"/>
      <c r="P119" s="1251"/>
      <c r="Q119" s="1251"/>
      <c r="R119" s="1076"/>
      <c r="S119" s="1251"/>
      <c r="T119" s="1251"/>
      <c r="U119" s="1077"/>
      <c r="V119" s="1251"/>
      <c r="W119" s="1251"/>
      <c r="X119" s="1251"/>
      <c r="Y119" s="1251"/>
      <c r="Z119" s="1251"/>
      <c r="AA119" s="1078"/>
      <c r="AB119" s="1078"/>
      <c r="AC119" s="1078"/>
      <c r="AD119" s="1078"/>
      <c r="AE119" s="1078"/>
      <c r="AF119" s="1080">
        <v>0</v>
      </c>
    </row>
    <row customHeight="1" ht="22.5">
      <c r="A120" s="2712" t="s">
        <v>592</v>
      </c>
      <c r="D120" s="1979"/>
      <c r="E120" s="887" t="str">
        <f>FHD_NUM_P_78</f>
        <v>15</v>
      </c>
      <c r="F120" s="222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218" t="s">
        <v>555</v>
      </c>
      <c r="H120" s="918"/>
      <c r="I120" s="918"/>
      <c r="J120" s="630" t="str">
        <f>FHD_NOTE_P_78</f>
        <v/>
      </c>
      <c r="K120" s="884"/>
      <c r="AF120" s="1972">
        <v>0</v>
      </c>
    </row>
    <row s="17316" customFormat="1" customHeight="1" ht="0.75">
      <c r="A121" s="2712"/>
      <c r="D121" s="889"/>
      <c r="E121" s="1354" t="str">
        <f>E120&amp;".0"</f>
        <v>15.0</v>
      </c>
      <c r="F121" s="1338"/>
      <c r="G121" s="1992"/>
      <c r="H121" s="1333"/>
      <c r="I121" s="1333"/>
      <c r="J121" s="1337"/>
      <c r="AF121" s="1977">
        <v>0</v>
      </c>
    </row>
    <row customHeight="1" ht="15">
      <c r="A122" s="2712"/>
      <c r="D122" s="1974"/>
      <c r="E122" s="911"/>
      <c r="F122" s="1509" t="s">
        <v>581</v>
      </c>
      <c r="G122" s="913"/>
      <c r="H122" s="914"/>
      <c r="I122" s="914"/>
      <c r="J122" s="1345" t="s">
        <v>593</v>
      </c>
      <c r="K122" s="884"/>
      <c r="AF122" s="1972">
        <v>0</v>
      </c>
    </row>
    <row customHeight="1" ht="22.5">
      <c r="A123" s="2712"/>
      <c r="D123" s="1979"/>
      <c r="E123" s="887" t="str">
        <f>FHD_NUM_P_79</f>
        <v>16</v>
      </c>
      <c r="F123" s="222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219" t="s">
        <v>557</v>
      </c>
      <c r="H123" s="918"/>
      <c r="I123" s="918"/>
      <c r="J123" s="630"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884"/>
      <c r="AF123" s="1972">
        <v>0</v>
      </c>
    </row>
    <row s="17316" customFormat="1" customHeight="1" ht="0.75">
      <c r="A124" s="2712"/>
      <c r="D124" s="889"/>
      <c r="E124" s="1354" t="str">
        <f>E123&amp;".0"</f>
        <v>16.0</v>
      </c>
      <c r="F124" s="1339"/>
      <c r="G124" s="1992"/>
      <c r="H124" s="1333"/>
      <c r="I124" s="1333"/>
      <c r="J124" s="1337"/>
      <c r="AF124" s="1977">
        <v>0</v>
      </c>
    </row>
    <row customHeight="1" ht="15">
      <c r="A125" s="2712"/>
      <c r="D125" s="1974"/>
      <c r="E125" s="911"/>
      <c r="F125" s="1509" t="s">
        <v>581</v>
      </c>
      <c r="G125" s="913"/>
      <c r="H125" s="914"/>
      <c r="I125" s="914"/>
      <c r="J125" s="1345" t="s">
        <v>594</v>
      </c>
      <c r="K125" s="884"/>
      <c r="AF125" s="1972">
        <v>0</v>
      </c>
    </row>
    <row customHeight="1" ht="22.5">
      <c r="A126" s="2712"/>
      <c r="D126" s="1979"/>
      <c r="E126" s="887" t="str">
        <f>FHD_NUM_P_80</f>
        <v>17</v>
      </c>
      <c r="F126" s="222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219" t="s">
        <v>595</v>
      </c>
      <c r="H126" s="898"/>
      <c r="I126" s="898"/>
      <c r="J126" s="630" t="str">
        <f>FHD_NOTE_P_80</f>
        <v>Регулируемыми организациями указывается информация с по договорам, заключенным в рамках осуществления регулируемой деятельности.</v>
      </c>
      <c r="K126" s="884"/>
      <c r="AF126" s="1972">
        <v>0</v>
      </c>
    </row>
    <row customHeight="1" ht="18.75">
      <c r="A127" s="2712"/>
      <c r="D127" s="1979"/>
      <c r="E127" s="887" t="str">
        <f>FHD_NUM_P_81</f>
        <v>18</v>
      </c>
      <c r="F127" s="222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219" t="s">
        <v>596</v>
      </c>
      <c r="H127" s="898"/>
      <c r="I127" s="898"/>
      <c r="J127" s="630" t="str">
        <f>FHD_NOTE_P_81</f>
        <v>Регулируемыми организациями указывается информация с по договорам, заключенным в рамках осуществления регулируемой деятельности.</v>
      </c>
      <c r="K127" s="884"/>
      <c r="AF127" s="1972">
        <v>0</v>
      </c>
    </row>
    <row customHeight="1" ht="18.75">
      <c r="A128" s="2712"/>
      <c r="C128" s="1977" t="s">
        <v>583</v>
      </c>
      <c r="D128" s="1979"/>
      <c r="E128" s="887" t="str">
        <f>FHD_NUM_P_82</f>
        <v>19</v>
      </c>
      <c r="F128" s="222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219" t="s">
        <v>301</v>
      </c>
      <c r="H128" s="742"/>
      <c r="I128" s="742"/>
      <c r="J128" s="630" t="str">
        <f>FHD_NOTE_P_82</f>
        <v>Указывается ссылка на документ, предварительно загруженный в хранилище файлов ФГИС ЕИАС.</v>
      </c>
      <c r="K128" s="884"/>
      <c r="AF128" s="1972">
        <v>0</v>
      </c>
    </row>
    <row customHeight="1" ht="18.75">
      <c r="A129" s="2712"/>
      <c r="C129" s="1977" t="s">
        <v>583</v>
      </c>
      <c r="D129" s="1979"/>
      <c r="E129" s="887" t="str">
        <f>FHD_NUM_P_83</f>
        <v>19.1</v>
      </c>
      <c r="F129" s="1865" t="str">
        <f>FHD_P_83</f>
        <v>Информация о показателях физического износа объектов теплоснабжения</v>
      </c>
      <c r="G129" s="2219" t="s">
        <v>301</v>
      </c>
      <c r="H129" s="742"/>
      <c r="I129" s="742"/>
      <c r="J129" s="630" t="str">
        <f>FHD_NOTE_P_83</f>
        <v>Указывается ссылка на документ, предварительно загруженный в хранилище файлов ФГИС ЕИАС.</v>
      </c>
      <c r="K129" s="884"/>
      <c r="AF129" s="1972">
        <v>0</v>
      </c>
    </row>
    <row customHeight="1" ht="18.75">
      <c r="A130" s="2712"/>
      <c r="C130" s="1977" t="s">
        <v>583</v>
      </c>
      <c r="D130" s="1979"/>
      <c r="E130" s="887" t="str">
        <f>FHD_NUM_P_84</f>
        <v>19.2</v>
      </c>
      <c r="F130" s="1865" t="str">
        <f>FHD_P_84</f>
        <v>Информация о показателях энергетической эффективности объектов теплоснабжения</v>
      </c>
      <c r="G130" s="2219" t="s">
        <v>301</v>
      </c>
      <c r="H130" s="742"/>
      <c r="I130" s="742"/>
      <c r="J130" s="630" t="str">
        <f>FHD_NOTE_P_84</f>
        <v>Указывается ссылка на документ, предварительно загруженный в хранилище файлов ФГИС ЕИАС.</v>
      </c>
      <c r="K130" s="884"/>
      <c r="AF130" s="1972">
        <v>0</v>
      </c>
    </row>
    <row customHeight="1" ht="11.549999999999999">
      <c r="D131" s="1979"/>
      <c r="AF131" s="1972">
        <v>11</v>
      </c>
    </row>
    <row customHeight="1" ht="13.5">
      <c r="D132" s="1979"/>
      <c r="E132" s="677"/>
      <c r="F132" s="710"/>
      <c r="G132" s="710"/>
      <c r="H132" s="710"/>
      <c r="I132" s="1988"/>
      <c r="J132" s="922"/>
      <c r="AF132" s="1972">
        <v>13</v>
      </c>
    </row>
    <row s="17832" customFormat="1" customHeight="1" ht="11.549999999999999">
      <c r="A133" s="1328"/>
      <c r="B133" s="1977"/>
      <c r="C133" s="1977"/>
      <c r="D133" s="692"/>
      <c r="F133" s="1981"/>
      <c r="G133" s="1972"/>
      <c r="H133" s="1972"/>
      <c r="I133" s="1972"/>
      <c r="K133" s="1501"/>
      <c r="L133" s="1977"/>
      <c r="M133" s="1977"/>
      <c r="N133" s="1501"/>
      <c r="O133" s="1501"/>
      <c r="P133" s="1501"/>
      <c r="Q133" s="1501"/>
      <c r="R133" s="1977"/>
      <c r="S133" s="1501"/>
      <c r="T133" s="1501"/>
      <c r="U133" s="885"/>
      <c r="V133" s="1501"/>
      <c r="W133" s="1501"/>
      <c r="X133" s="1501"/>
      <c r="Y133" s="1501"/>
      <c r="Z133" s="1501"/>
      <c r="AA133" s="1973"/>
      <c r="AB133" s="907"/>
      <c r="AC133" s="907"/>
      <c r="AD133" s="907"/>
      <c r="AE133" s="907"/>
      <c r="AF133" s="1982">
        <v>11</v>
      </c>
    </row>
    <row s="17832" customFormat="1" customHeight="1" ht="11.549999999999999">
      <c r="A134" s="1328"/>
      <c r="B134" s="1977"/>
      <c r="C134" s="1977"/>
      <c r="D134" s="692"/>
      <c r="K134" s="1501"/>
      <c r="L134" s="1977"/>
      <c r="M134" s="1977"/>
      <c r="N134" s="1501"/>
      <c r="O134" s="1501"/>
      <c r="P134" s="1501"/>
      <c r="Q134" s="1501"/>
      <c r="R134" s="1977"/>
      <c r="S134" s="1501"/>
      <c r="T134" s="1501"/>
      <c r="U134" s="885"/>
      <c r="V134" s="1501"/>
      <c r="W134" s="1501"/>
      <c r="X134" s="1501"/>
      <c r="Y134" s="1501"/>
      <c r="Z134" s="1501"/>
      <c r="AA134" s="1973"/>
      <c r="AB134" s="907"/>
      <c r="AC134" s="907"/>
      <c r="AD134" s="907"/>
      <c r="AE134" s="907"/>
      <c r="AF134" s="1982">
        <v>11</v>
      </c>
    </row>
    <row s="17832" customFormat="1" customHeight="1" ht="11.549999999999999">
      <c r="A135" s="1328"/>
      <c r="B135" s="1977"/>
      <c r="C135" s="1977"/>
      <c r="D135" s="692"/>
      <c r="K135" s="1501"/>
      <c r="L135" s="1977"/>
      <c r="M135" s="1977"/>
      <c r="N135" s="1501"/>
      <c r="O135" s="1501"/>
      <c r="P135" s="1501"/>
      <c r="Q135" s="1501"/>
      <c r="R135" s="1977"/>
      <c r="S135" s="1501"/>
      <c r="T135" s="1501"/>
      <c r="U135" s="885"/>
      <c r="V135" s="1501"/>
      <c r="W135" s="1501"/>
      <c r="X135" s="1501"/>
      <c r="Y135" s="1501"/>
      <c r="Z135" s="1501"/>
      <c r="AA135" s="1973"/>
      <c r="AB135" s="907"/>
      <c r="AC135" s="907"/>
      <c r="AD135" s="907"/>
      <c r="AE135" s="907"/>
      <c r="AF135" s="1982">
        <v>11</v>
      </c>
    </row>
    <row s="17832" customFormat="1" customHeight="1" ht="11.549999999999999">
      <c r="A136" s="1328"/>
      <c r="B136" s="1977"/>
      <c r="C136" s="1977"/>
      <c r="D136" s="692"/>
      <c r="H136" s="907" t="str">
        <f>IF(H30-H31&lt;&gt;H72,"WARNING","")</f>
        <v/>
      </c>
      <c r="I136" s="907" t="str">
        <f>IF(I30-I31&lt;&gt;I72,"WARNING","")</f>
        <v/>
      </c>
      <c r="K136" s="1501"/>
      <c r="L136" s="1977"/>
      <c r="M136" s="1977"/>
      <c r="N136" s="1501"/>
      <c r="O136" s="1501"/>
      <c r="P136" s="1501"/>
      <c r="Q136" s="1501"/>
      <c r="R136" s="1977"/>
      <c r="S136" s="1501"/>
      <c r="T136" s="1501"/>
      <c r="U136" s="885"/>
      <c r="V136" s="1501"/>
      <c r="W136" s="1501"/>
      <c r="X136" s="1501"/>
      <c r="Y136" s="1501"/>
      <c r="Z136" s="1501"/>
      <c r="AA136" s="1973"/>
      <c r="AB136" s="907"/>
      <c r="AC136" s="907"/>
      <c r="AD136" s="907"/>
      <c r="AE136" s="907"/>
      <c r="AF136" s="1982">
        <v>11</v>
      </c>
    </row>
    <row s="17832" customFormat="1" customHeight="1" ht="11.549999999999999">
      <c r="A137" s="1328"/>
      <c r="B137" s="1977"/>
      <c r="C137" s="1977"/>
      <c r="D137" s="692"/>
      <c r="K137" s="1501"/>
      <c r="L137" s="1977"/>
      <c r="M137" s="1977"/>
      <c r="N137" s="1501"/>
      <c r="O137" s="1501"/>
      <c r="P137" s="1501"/>
      <c r="Q137" s="1501"/>
      <c r="R137" s="1977"/>
      <c r="S137" s="1501"/>
      <c r="T137" s="1501"/>
      <c r="U137" s="885"/>
      <c r="V137" s="1501"/>
      <c r="W137" s="1501"/>
      <c r="X137" s="1501"/>
      <c r="Y137" s="1501"/>
      <c r="Z137" s="1501"/>
      <c r="AA137" s="1973"/>
      <c r="AB137" s="907"/>
      <c r="AC137" s="907"/>
      <c r="AD137" s="907"/>
      <c r="AE137" s="907"/>
      <c r="AF137" s="1982">
        <v>11</v>
      </c>
    </row>
    <row s="17832" customFormat="1" customHeight="1" ht="11.549999999999999">
      <c r="A138" s="1328"/>
      <c r="B138" s="1977"/>
      <c r="C138" s="1977"/>
      <c r="D138" s="692"/>
      <c r="K138" s="1501"/>
      <c r="L138" s="1977"/>
      <c r="M138" s="1977"/>
      <c r="N138" s="1501"/>
      <c r="O138" s="1501"/>
      <c r="P138" s="1501"/>
      <c r="Q138" s="1501"/>
      <c r="R138" s="1977"/>
      <c r="S138" s="1501"/>
      <c r="T138" s="1501"/>
      <c r="U138" s="885"/>
      <c r="V138" s="1501"/>
      <c r="W138" s="1501"/>
      <c r="X138" s="1501"/>
      <c r="Y138" s="1501"/>
      <c r="Z138" s="1501"/>
      <c r="AA138" s="1973"/>
      <c r="AB138" s="907"/>
      <c r="AC138" s="907"/>
      <c r="AD138" s="907"/>
      <c r="AE138" s="907"/>
      <c r="AF138" s="1982">
        <v>11</v>
      </c>
    </row>
    <row s="17832" customFormat="1" customHeight="1" ht="11.549999999999999">
      <c r="A139" s="1328"/>
      <c r="B139" s="1977"/>
      <c r="C139" s="1977"/>
      <c r="D139" s="692"/>
      <c r="K139" s="1501"/>
      <c r="L139" s="1977"/>
      <c r="M139" s="1977"/>
      <c r="N139" s="1501"/>
      <c r="O139" s="1501"/>
      <c r="P139" s="1501"/>
      <c r="Q139" s="1501"/>
      <c r="R139" s="1977"/>
      <c r="S139" s="1501"/>
      <c r="T139" s="1501"/>
      <c r="U139" s="885"/>
      <c r="V139" s="1501"/>
      <c r="W139" s="1501"/>
      <c r="X139" s="1501"/>
      <c r="Y139" s="1501"/>
      <c r="Z139" s="1501"/>
      <c r="AA139" s="1973"/>
      <c r="AB139" s="907"/>
      <c r="AC139" s="907"/>
      <c r="AD139" s="907"/>
      <c r="AE139" s="907"/>
      <c r="AF139" s="1982">
        <v>11</v>
      </c>
    </row>
    <row s="17832" customFormat="1" customHeight="1" ht="11.549999999999999">
      <c r="A140" s="1328"/>
      <c r="B140" s="1977"/>
      <c r="C140" s="1977"/>
      <c r="D140" s="692"/>
      <c r="K140" s="1501"/>
      <c r="L140" s="1977"/>
      <c r="M140" s="1977"/>
      <c r="N140" s="1501"/>
      <c r="O140" s="1501"/>
      <c r="P140" s="1501"/>
      <c r="Q140" s="1501"/>
      <c r="R140" s="1977"/>
      <c r="S140" s="1501"/>
      <c r="T140" s="1501"/>
      <c r="U140" s="885"/>
      <c r="V140" s="1501"/>
      <c r="W140" s="1501"/>
      <c r="X140" s="1501"/>
      <c r="Y140" s="1501"/>
      <c r="Z140" s="1501"/>
      <c r="AA140" s="1973"/>
      <c r="AB140" s="907"/>
      <c r="AC140" s="907"/>
      <c r="AD140" s="907"/>
      <c r="AE140" s="907"/>
      <c r="AF140" s="1982">
        <v>11</v>
      </c>
    </row>
    <row s="17832" customFormat="1" customHeight="1" ht="11.549999999999999">
      <c r="A141" s="1328"/>
      <c r="B141" s="1977"/>
      <c r="C141" s="1977"/>
      <c r="D141" s="692"/>
      <c r="K141" s="1501"/>
      <c r="L141" s="1977"/>
      <c r="M141" s="1977"/>
      <c r="N141" s="1501"/>
      <c r="O141" s="1501"/>
      <c r="P141" s="1501"/>
      <c r="Q141" s="1501"/>
      <c r="R141" s="1977"/>
      <c r="S141" s="1501"/>
      <c r="T141" s="1501"/>
      <c r="U141" s="885"/>
      <c r="V141" s="1501"/>
      <c r="W141" s="1501"/>
      <c r="X141" s="1501"/>
      <c r="Y141" s="1501"/>
      <c r="Z141" s="1501"/>
      <c r="AA141" s="1973"/>
      <c r="AB141" s="907"/>
      <c r="AC141" s="907"/>
      <c r="AD141" s="907"/>
      <c r="AE141" s="907"/>
      <c r="AF141" s="1982">
        <v>11</v>
      </c>
    </row>
    <row s="17832" customFormat="1" customHeight="1" ht="11.549999999999999">
      <c r="A142" s="1328"/>
      <c r="B142" s="1977"/>
      <c r="C142" s="1977"/>
      <c r="D142" s="692"/>
      <c r="K142" s="1501"/>
      <c r="L142" s="1977"/>
      <c r="M142" s="1977"/>
      <c r="N142" s="1501"/>
      <c r="O142" s="1501"/>
      <c r="P142" s="1501"/>
      <c r="Q142" s="1501"/>
      <c r="R142" s="1977"/>
      <c r="S142" s="1501"/>
      <c r="T142" s="1501"/>
      <c r="U142" s="885"/>
      <c r="V142" s="1501"/>
      <c r="W142" s="1501"/>
      <c r="X142" s="1501"/>
      <c r="Y142" s="1501"/>
      <c r="Z142" s="1501"/>
      <c r="AA142" s="1973"/>
      <c r="AB142" s="907"/>
      <c r="AC142" s="907"/>
      <c r="AD142" s="907"/>
      <c r="AE142" s="907"/>
      <c r="AF142" s="1982">
        <v>11</v>
      </c>
    </row>
    <row s="17832" customFormat="1" customHeight="1" ht="11.549999999999999">
      <c r="A143" s="1328"/>
      <c r="B143" s="1977"/>
      <c r="C143" s="1977"/>
      <c r="D143" s="692"/>
      <c r="K143" s="1501"/>
      <c r="L143" s="1977"/>
      <c r="M143" s="1977"/>
      <c r="N143" s="1501"/>
      <c r="O143" s="1501"/>
      <c r="P143" s="1501"/>
      <c r="Q143" s="1501"/>
      <c r="R143" s="1977"/>
      <c r="S143" s="1501"/>
      <c r="T143" s="1501"/>
      <c r="U143" s="885"/>
      <c r="V143" s="1501"/>
      <c r="W143" s="1501"/>
      <c r="X143" s="1501"/>
      <c r="Y143" s="1501"/>
      <c r="Z143" s="1501"/>
      <c r="AA143" s="1973"/>
      <c r="AB143" s="907"/>
      <c r="AC143" s="907"/>
      <c r="AD143" s="907"/>
      <c r="AE143" s="907"/>
      <c r="AF143" s="1982">
        <v>11</v>
      </c>
    </row>
    <row s="17832" customFormat="1" customHeight="1" ht="11.549999999999999">
      <c r="A144" s="1328"/>
      <c r="B144" s="1977"/>
      <c r="C144" s="1977"/>
      <c r="D144" s="692"/>
      <c r="K144" s="1501"/>
      <c r="L144" s="1977"/>
      <c r="M144" s="1977"/>
      <c r="N144" s="1501"/>
      <c r="O144" s="1501"/>
      <c r="P144" s="1501"/>
      <c r="Q144" s="1501"/>
      <c r="R144" s="1977"/>
      <c r="S144" s="1501"/>
      <c r="T144" s="1501"/>
      <c r="U144" s="885"/>
      <c r="V144" s="1501"/>
      <c r="W144" s="1501"/>
      <c r="X144" s="1501"/>
      <c r="Y144" s="1501"/>
      <c r="Z144" s="1501"/>
      <c r="AA144" s="1973"/>
      <c r="AB144" s="907"/>
      <c r="AC144" s="907"/>
      <c r="AD144" s="907"/>
      <c r="AE144" s="907"/>
      <c r="AF144" s="1982">
        <v>11</v>
      </c>
    </row>
    <row s="17832" customFormat="1" customHeight="1" ht="11.549999999999999">
      <c r="A145" s="1328"/>
      <c r="B145" s="1977"/>
      <c r="C145" s="1977"/>
      <c r="D145" s="692"/>
      <c r="K145" s="1501"/>
      <c r="L145" s="1977"/>
      <c r="M145" s="1977"/>
      <c r="N145" s="1501"/>
      <c r="O145" s="1501"/>
      <c r="P145" s="1501"/>
      <c r="Q145" s="1501"/>
      <c r="R145" s="1977"/>
      <c r="S145" s="1501"/>
      <c r="T145" s="1501"/>
      <c r="U145" s="885"/>
      <c r="V145" s="1501"/>
      <c r="W145" s="1501"/>
      <c r="X145" s="1501"/>
      <c r="Y145" s="1501"/>
      <c r="Z145" s="1501"/>
      <c r="AA145" s="1973"/>
      <c r="AB145" s="907"/>
      <c r="AC145" s="907"/>
      <c r="AD145" s="907"/>
      <c r="AE145" s="907"/>
      <c r="AF145" s="1982">
        <v>11</v>
      </c>
    </row>
    <row s="17832" customFormat="1" customHeight="1" ht="11.549999999999999">
      <c r="A146" s="1328"/>
      <c r="B146" s="1977"/>
      <c r="C146" s="1977"/>
      <c r="D146" s="692"/>
      <c r="K146" s="1501"/>
      <c r="L146" s="1977"/>
      <c r="M146" s="1977"/>
      <c r="N146" s="1501"/>
      <c r="O146" s="1501"/>
      <c r="P146" s="1501"/>
      <c r="Q146" s="1501"/>
      <c r="R146" s="1977"/>
      <c r="S146" s="1501"/>
      <c r="T146" s="1501"/>
      <c r="U146" s="885"/>
      <c r="V146" s="1501"/>
      <c r="W146" s="1501"/>
      <c r="X146" s="1501"/>
      <c r="Y146" s="1501"/>
      <c r="Z146" s="1501"/>
      <c r="AA146" s="1973"/>
      <c r="AB146" s="907"/>
      <c r="AC146" s="907"/>
      <c r="AD146" s="907"/>
      <c r="AE146" s="907"/>
      <c r="AF146" s="1982">
        <v>11</v>
      </c>
    </row>
    <row s="17832" customFormat="1" customHeight="1" ht="11.549999999999999">
      <c r="A147" s="1328"/>
      <c r="B147" s="1977"/>
      <c r="C147" s="1977"/>
      <c r="D147" s="692"/>
      <c r="K147" s="1501"/>
      <c r="L147" s="1977"/>
      <c r="M147" s="1977"/>
      <c r="N147" s="1501"/>
      <c r="O147" s="1501"/>
      <c r="P147" s="1501"/>
      <c r="Q147" s="1501"/>
      <c r="R147" s="1977"/>
      <c r="S147" s="1501"/>
      <c r="T147" s="1501"/>
      <c r="U147" s="885"/>
      <c r="V147" s="1501"/>
      <c r="W147" s="1501"/>
      <c r="X147" s="1501"/>
      <c r="Y147" s="1501"/>
      <c r="Z147" s="1501"/>
      <c r="AA147" s="1973"/>
      <c r="AB147" s="907"/>
      <c r="AC147" s="907"/>
      <c r="AD147" s="907"/>
      <c r="AE147" s="907"/>
      <c r="AF147" s="1982">
        <v>11</v>
      </c>
    </row>
    <row s="17832" customFormat="1" customHeight="1" ht="11.549999999999999">
      <c r="A148" s="1328"/>
      <c r="B148" s="1977"/>
      <c r="C148" s="1977"/>
      <c r="D148" s="692"/>
      <c r="K148" s="1501"/>
      <c r="L148" s="1977"/>
      <c r="M148" s="1977"/>
      <c r="N148" s="1501"/>
      <c r="O148" s="1501"/>
      <c r="P148" s="1501"/>
      <c r="Q148" s="1501"/>
      <c r="R148" s="1977"/>
      <c r="S148" s="1501"/>
      <c r="T148" s="1501"/>
      <c r="U148" s="885"/>
      <c r="V148" s="1501"/>
      <c r="W148" s="1501"/>
      <c r="X148" s="1501"/>
      <c r="Y148" s="1501"/>
      <c r="Z148" s="1501"/>
      <c r="AA148" s="1973"/>
      <c r="AB148" s="907"/>
      <c r="AC148" s="907"/>
      <c r="AD148" s="907"/>
      <c r="AE148" s="907"/>
      <c r="AF148" s="1982">
        <v>11</v>
      </c>
    </row>
    <row s="17832" customFormat="1" customHeight="1" ht="11.549999999999999">
      <c r="A149" s="1328"/>
      <c r="B149" s="1977"/>
      <c r="C149" s="1977"/>
      <c r="D149" s="692"/>
      <c r="K149" s="1501"/>
      <c r="L149" s="1977"/>
      <c r="M149" s="1977"/>
      <c r="N149" s="1501"/>
      <c r="O149" s="1501"/>
      <c r="P149" s="1501"/>
      <c r="Q149" s="1501"/>
      <c r="R149" s="1977"/>
      <c r="S149" s="1501"/>
      <c r="T149" s="1501"/>
      <c r="U149" s="885"/>
      <c r="V149" s="1501"/>
      <c r="W149" s="1501"/>
      <c r="X149" s="1501"/>
      <c r="Y149" s="1501"/>
      <c r="Z149" s="1501"/>
      <c r="AA149" s="1973"/>
      <c r="AB149" s="907"/>
      <c r="AC149" s="907"/>
      <c r="AD149" s="907"/>
      <c r="AE149" s="907"/>
      <c r="AF149" s="1982">
        <v>11</v>
      </c>
    </row>
    <row s="17832" customFormat="1" customHeight="1" ht="11.549999999999999">
      <c r="A150" s="1328"/>
      <c r="B150" s="1977"/>
      <c r="C150" s="1977"/>
      <c r="D150" s="692"/>
      <c r="K150" s="1501"/>
      <c r="L150" s="1977"/>
      <c r="M150" s="1977"/>
      <c r="N150" s="1501"/>
      <c r="O150" s="1501"/>
      <c r="P150" s="1501"/>
      <c r="Q150" s="1501"/>
      <c r="R150" s="1977"/>
      <c r="S150" s="1501"/>
      <c r="T150" s="1501"/>
      <c r="U150" s="885"/>
      <c r="V150" s="1501"/>
      <c r="W150" s="1501"/>
      <c r="X150" s="1501"/>
      <c r="Y150" s="1501"/>
      <c r="Z150" s="1501"/>
      <c r="AA150" s="1973"/>
      <c r="AB150" s="907"/>
      <c r="AC150" s="907"/>
      <c r="AD150" s="907"/>
      <c r="AE150" s="907"/>
      <c r="AF150" s="1982">
        <v>11</v>
      </c>
    </row>
    <row s="17832" customFormat="1" customHeight="1" ht="11.549999999999999">
      <c r="A151" s="1328"/>
      <c r="B151" s="1977"/>
      <c r="C151" s="1977"/>
      <c r="D151" s="692"/>
      <c r="K151" s="1501"/>
      <c r="L151" s="1977"/>
      <c r="M151" s="1977"/>
      <c r="N151" s="1501"/>
      <c r="O151" s="1501"/>
      <c r="P151" s="1501"/>
      <c r="Q151" s="1501"/>
      <c r="R151" s="1977"/>
      <c r="S151" s="1501"/>
      <c r="T151" s="1501"/>
      <c r="U151" s="885"/>
      <c r="V151" s="1501"/>
      <c r="W151" s="1501"/>
      <c r="X151" s="1501"/>
      <c r="Y151" s="1501"/>
      <c r="Z151" s="1501"/>
      <c r="AA151" s="1973"/>
      <c r="AB151" s="907"/>
      <c r="AC151" s="907"/>
      <c r="AD151" s="907"/>
      <c r="AE151" s="907"/>
      <c r="AF151" s="1982">
        <v>11</v>
      </c>
    </row>
    <row s="17832" customFormat="1" customHeight="1" ht="11.549999999999999">
      <c r="A152" s="1328"/>
      <c r="B152" s="1977"/>
      <c r="C152" s="1977"/>
      <c r="D152" s="692"/>
      <c r="K152" s="1501"/>
      <c r="L152" s="1977"/>
      <c r="M152" s="1977"/>
      <c r="N152" s="1501"/>
      <c r="O152" s="1501"/>
      <c r="P152" s="1501"/>
      <c r="Q152" s="1501"/>
      <c r="R152" s="1977"/>
      <c r="S152" s="1501"/>
      <c r="T152" s="1501"/>
      <c r="U152" s="885"/>
      <c r="V152" s="1501"/>
      <c r="W152" s="1501"/>
      <c r="X152" s="1501"/>
      <c r="Y152" s="1501"/>
      <c r="Z152" s="1501"/>
      <c r="AA152" s="1973"/>
      <c r="AB152" s="907"/>
      <c r="AC152" s="907"/>
      <c r="AD152" s="907"/>
      <c r="AE152" s="907"/>
      <c r="AF152" s="1982">
        <v>11</v>
      </c>
    </row>
    <row s="17832" customFormat="1" customHeight="1" ht="11.549999999999999">
      <c r="A153" s="1328"/>
      <c r="B153" s="1977"/>
      <c r="C153" s="1977"/>
      <c r="D153" s="692"/>
      <c r="K153" s="1501"/>
      <c r="L153" s="1977"/>
      <c r="M153" s="1977"/>
      <c r="N153" s="1501"/>
      <c r="O153" s="1501"/>
      <c r="P153" s="1501"/>
      <c r="Q153" s="1501"/>
      <c r="R153" s="1977"/>
      <c r="S153" s="1501"/>
      <c r="T153" s="1501"/>
      <c r="U153" s="885"/>
      <c r="V153" s="1501"/>
      <c r="W153" s="1501"/>
      <c r="X153" s="1501"/>
      <c r="Y153" s="1501"/>
      <c r="Z153" s="1501"/>
      <c r="AA153" s="1973"/>
      <c r="AB153" s="907"/>
      <c r="AC153" s="907"/>
      <c r="AD153" s="907"/>
      <c r="AE153" s="907"/>
      <c r="AF153" s="1982">
        <v>11</v>
      </c>
    </row>
    <row s="17832" customFormat="1" customHeight="1" ht="11.549999999999999">
      <c r="A154" s="1328"/>
      <c r="B154" s="1977"/>
      <c r="C154" s="1977"/>
      <c r="D154" s="692"/>
      <c r="K154" s="1501"/>
      <c r="L154" s="1977"/>
      <c r="M154" s="1977"/>
      <c r="N154" s="1501"/>
      <c r="O154" s="1501"/>
      <c r="P154" s="1501"/>
      <c r="Q154" s="1501"/>
      <c r="R154" s="1977"/>
      <c r="S154" s="1501"/>
      <c r="T154" s="1501"/>
      <c r="U154" s="885"/>
      <c r="V154" s="1501"/>
      <c r="W154" s="1501"/>
      <c r="X154" s="1501"/>
      <c r="Y154" s="1501"/>
      <c r="Z154" s="1501"/>
      <c r="AA154" s="1973"/>
      <c r="AB154" s="907"/>
      <c r="AC154" s="907"/>
      <c r="AD154" s="907"/>
      <c r="AE154" s="907"/>
      <c r="AF154" s="1982">
        <v>11</v>
      </c>
    </row>
    <row s="17832" customFormat="1" customHeight="1" ht="11.549999999999999">
      <c r="A155" s="1328"/>
      <c r="B155" s="1977"/>
      <c r="C155" s="1977"/>
      <c r="D155" s="692"/>
      <c r="K155" s="1501"/>
      <c r="L155" s="1977"/>
      <c r="M155" s="1977"/>
      <c r="N155" s="1501"/>
      <c r="O155" s="1501"/>
      <c r="P155" s="1501"/>
      <c r="Q155" s="1501"/>
      <c r="R155" s="1977"/>
      <c r="S155" s="1501"/>
      <c r="T155" s="1501"/>
      <c r="U155" s="885"/>
      <c r="V155" s="1501"/>
      <c r="W155" s="1501"/>
      <c r="X155" s="1501"/>
      <c r="Y155" s="1501"/>
      <c r="Z155" s="1501"/>
      <c r="AA155" s="1973"/>
      <c r="AB155" s="907"/>
      <c r="AC155" s="907"/>
      <c r="AD155" s="907"/>
      <c r="AE155" s="907"/>
      <c r="AF155" s="1982">
        <v>11</v>
      </c>
    </row>
    <row s="17832" customFormat="1" customHeight="1" ht="11.549999999999999">
      <c r="A156" s="1328"/>
      <c r="B156" s="1977"/>
      <c r="C156" s="1977"/>
      <c r="D156" s="692"/>
      <c r="K156" s="1501"/>
      <c r="L156" s="1977"/>
      <c r="M156" s="1977"/>
      <c r="N156" s="1501"/>
      <c r="O156" s="1501"/>
      <c r="P156" s="1501"/>
      <c r="Q156" s="1501"/>
      <c r="R156" s="1977"/>
      <c r="S156" s="1501"/>
      <c r="T156" s="1501"/>
      <c r="U156" s="885"/>
      <c r="V156" s="1501"/>
      <c r="W156" s="1501"/>
      <c r="X156" s="1501"/>
      <c r="Y156" s="1501"/>
      <c r="Z156" s="1501"/>
      <c r="AA156" s="1973"/>
      <c r="AB156" s="907"/>
      <c r="AC156" s="907"/>
      <c r="AD156" s="907"/>
      <c r="AE156" s="907"/>
      <c r="AF156" s="1982">
        <v>11</v>
      </c>
    </row>
    <row s="17832" customFormat="1" customHeight="1" ht="11.549999999999999">
      <c r="A157" s="1328"/>
      <c r="B157" s="1977"/>
      <c r="C157" s="1977"/>
      <c r="D157" s="692"/>
      <c r="K157" s="1501"/>
      <c r="L157" s="1977"/>
      <c r="M157" s="1977"/>
      <c r="N157" s="1501"/>
      <c r="O157" s="1501"/>
      <c r="P157" s="1501"/>
      <c r="Q157" s="1501"/>
      <c r="R157" s="1977"/>
      <c r="S157" s="1501"/>
      <c r="T157" s="1501"/>
      <c r="U157" s="885"/>
      <c r="V157" s="1501"/>
      <c r="W157" s="1501"/>
      <c r="X157" s="1501"/>
      <c r="Y157" s="1501"/>
      <c r="Z157" s="1501"/>
      <c r="AA157" s="1973"/>
      <c r="AB157" s="907"/>
      <c r="AC157" s="907"/>
      <c r="AD157" s="907"/>
      <c r="AE157" s="907"/>
      <c r="AF157" s="1982">
        <v>11</v>
      </c>
    </row>
    <row s="17832" customFormat="1" customHeight="1" ht="11.549999999999999">
      <c r="A158" s="1328"/>
      <c r="B158" s="1977"/>
      <c r="C158" s="1977"/>
      <c r="D158" s="692"/>
      <c r="K158" s="1501"/>
      <c r="L158" s="1977"/>
      <c r="M158" s="1977"/>
      <c r="N158" s="1501"/>
      <c r="O158" s="1501"/>
      <c r="P158" s="1501"/>
      <c r="Q158" s="1501"/>
      <c r="R158" s="1977"/>
      <c r="S158" s="1501"/>
      <c r="T158" s="1501"/>
      <c r="U158" s="885"/>
      <c r="V158" s="1501"/>
      <c r="W158" s="1501"/>
      <c r="X158" s="1501"/>
      <c r="Y158" s="1501"/>
      <c r="Z158" s="1501"/>
      <c r="AA158" s="1973"/>
      <c r="AB158" s="907"/>
      <c r="AC158" s="907"/>
      <c r="AD158" s="907"/>
      <c r="AE158" s="907"/>
      <c r="AF158" s="1982">
        <v>11</v>
      </c>
    </row>
    <row s="17832" customFormat="1" customHeight="1" ht="11.549999999999999">
      <c r="A159" s="1328"/>
      <c r="B159" s="1977"/>
      <c r="C159" s="1977"/>
      <c r="D159" s="692"/>
      <c r="K159" s="1501"/>
      <c r="L159" s="1977"/>
      <c r="M159" s="1977"/>
      <c r="N159" s="1501"/>
      <c r="O159" s="1501"/>
      <c r="P159" s="1501"/>
      <c r="Q159" s="1501"/>
      <c r="R159" s="1977"/>
      <c r="S159" s="1501"/>
      <c r="T159" s="1501"/>
      <c r="U159" s="885"/>
      <c r="V159" s="1501"/>
      <c r="W159" s="1501"/>
      <c r="X159" s="1501"/>
      <c r="Y159" s="1501"/>
      <c r="Z159" s="1501"/>
      <c r="AA159" s="1973"/>
      <c r="AB159" s="907"/>
      <c r="AC159" s="907"/>
      <c r="AD159" s="907"/>
      <c r="AE159" s="907"/>
      <c r="AF159" s="1982">
        <v>11</v>
      </c>
    </row>
    <row s="17832" customFormat="1" customHeight="1" ht="11.549999999999999">
      <c r="A160" s="1328"/>
      <c r="B160" s="1977"/>
      <c r="C160" s="1977"/>
      <c r="D160" s="692"/>
      <c r="K160" s="1501"/>
      <c r="L160" s="1977"/>
      <c r="M160" s="1977"/>
      <c r="N160" s="1501"/>
      <c r="O160" s="1501"/>
      <c r="P160" s="1501"/>
      <c r="Q160" s="1501"/>
      <c r="R160" s="1977"/>
      <c r="S160" s="1501"/>
      <c r="T160" s="1501"/>
      <c r="U160" s="885"/>
      <c r="V160" s="1501"/>
      <c r="W160" s="1501"/>
      <c r="X160" s="1501"/>
      <c r="Y160" s="1501"/>
      <c r="Z160" s="1501"/>
      <c r="AA160" s="1973"/>
      <c r="AB160" s="907"/>
      <c r="AC160" s="907"/>
      <c r="AD160" s="907"/>
      <c r="AE160" s="907"/>
      <c r="AF160" s="1982">
        <v>11</v>
      </c>
    </row>
    <row s="17832" customFormat="1" customHeight="1" ht="11.549999999999999">
      <c r="A161" s="1328"/>
      <c r="B161" s="1977"/>
      <c r="C161" s="1977"/>
      <c r="D161" s="692"/>
      <c r="K161" s="1501"/>
      <c r="L161" s="1977"/>
      <c r="M161" s="1977"/>
      <c r="N161" s="1501"/>
      <c r="O161" s="1501"/>
      <c r="P161" s="1501"/>
      <c r="Q161" s="1501"/>
      <c r="R161" s="1977"/>
      <c r="S161" s="1501"/>
      <c r="T161" s="1501"/>
      <c r="U161" s="885"/>
      <c r="V161" s="1501"/>
      <c r="W161" s="1501"/>
      <c r="X161" s="1501"/>
      <c r="Y161" s="1501"/>
      <c r="Z161" s="1501"/>
      <c r="AA161" s="1973"/>
      <c r="AB161" s="907"/>
      <c r="AC161" s="907"/>
      <c r="AD161" s="907"/>
      <c r="AE161" s="907"/>
      <c r="AF161" s="1982">
        <v>11</v>
      </c>
    </row>
    <row s="17832" customFormat="1" customHeight="1" ht="11.549999999999999">
      <c r="A162" s="1328"/>
      <c r="B162" s="1977"/>
      <c r="C162" s="1977"/>
      <c r="D162" s="692"/>
      <c r="K162" s="1501"/>
      <c r="L162" s="1977"/>
      <c r="M162" s="1977"/>
      <c r="N162" s="1501"/>
      <c r="O162" s="1501"/>
      <c r="P162" s="1501"/>
      <c r="Q162" s="1501"/>
      <c r="R162" s="1977"/>
      <c r="S162" s="1501"/>
      <c r="T162" s="1501"/>
      <c r="U162" s="885"/>
      <c r="V162" s="1501"/>
      <c r="W162" s="1501"/>
      <c r="X162" s="1501"/>
      <c r="Y162" s="1501"/>
      <c r="Z162" s="1501"/>
      <c r="AA162" s="1973"/>
      <c r="AB162" s="907"/>
      <c r="AC162" s="907"/>
      <c r="AD162" s="907"/>
      <c r="AE162" s="907"/>
      <c r="AF162" s="1982">
        <v>11</v>
      </c>
    </row>
    <row s="17832" customFormat="1" customHeight="1" ht="11.549999999999999">
      <c r="A163" s="1328"/>
      <c r="B163" s="1977"/>
      <c r="C163" s="1977"/>
      <c r="D163" s="692"/>
      <c r="K163" s="1501"/>
      <c r="L163" s="1977"/>
      <c r="M163" s="1977"/>
      <c r="N163" s="1501"/>
      <c r="O163" s="1501"/>
      <c r="P163" s="1501"/>
      <c r="Q163" s="1501"/>
      <c r="R163" s="1977"/>
      <c r="S163" s="1501"/>
      <c r="T163" s="1501"/>
      <c r="U163" s="885"/>
      <c r="V163" s="1501"/>
      <c r="W163" s="1501"/>
      <c r="X163" s="1501"/>
      <c r="Y163" s="1501"/>
      <c r="Z163" s="1501"/>
      <c r="AA163" s="1973"/>
      <c r="AB163" s="907"/>
      <c r="AC163" s="907"/>
      <c r="AD163" s="907"/>
      <c r="AE163" s="907"/>
      <c r="AF163" s="1982">
        <v>11</v>
      </c>
    </row>
    <row s="17832" customFormat="1" customHeight="1" ht="11.549999999999999">
      <c r="A164" s="1328"/>
      <c r="B164" s="1977"/>
      <c r="C164" s="1977"/>
      <c r="D164" s="692"/>
      <c r="K164" s="1501"/>
      <c r="L164" s="1977"/>
      <c r="M164" s="1977"/>
      <c r="N164" s="1501"/>
      <c r="O164" s="1501"/>
      <c r="P164" s="1501"/>
      <c r="Q164" s="1501"/>
      <c r="R164" s="1977"/>
      <c r="S164" s="1501"/>
      <c r="T164" s="1501"/>
      <c r="U164" s="885"/>
      <c r="V164" s="1501"/>
      <c r="W164" s="1501"/>
      <c r="X164" s="1501"/>
      <c r="Y164" s="1501"/>
      <c r="Z164" s="1501"/>
      <c r="AA164" s="1973"/>
      <c r="AB164" s="907"/>
      <c r="AC164" s="907"/>
      <c r="AD164" s="907"/>
      <c r="AE164" s="907"/>
      <c r="AF164" s="1982">
        <v>11</v>
      </c>
    </row>
    <row s="17832" customFormat="1" customHeight="1" ht="11.549999999999999">
      <c r="A165" s="1328"/>
      <c r="B165" s="1977"/>
      <c r="C165" s="1977"/>
      <c r="D165" s="692"/>
      <c r="K165" s="1501"/>
      <c r="L165" s="1977"/>
      <c r="M165" s="1977"/>
      <c r="N165" s="1501"/>
      <c r="O165" s="1501"/>
      <c r="P165" s="1501"/>
      <c r="Q165" s="1501"/>
      <c r="R165" s="1977"/>
      <c r="S165" s="1501"/>
      <c r="T165" s="1501"/>
      <c r="U165" s="885"/>
      <c r="V165" s="1501"/>
      <c r="W165" s="1501"/>
      <c r="X165" s="1501"/>
      <c r="Y165" s="1501"/>
      <c r="Z165" s="1501"/>
      <c r="AA165" s="1973"/>
      <c r="AB165" s="907"/>
      <c r="AC165" s="907"/>
      <c r="AD165" s="907"/>
      <c r="AE165" s="907"/>
      <c r="AF165" s="1982">
        <v>11</v>
      </c>
    </row>
    <row s="17832" customFormat="1" customHeight="1" ht="11.549999999999999">
      <c r="A166" s="1328"/>
      <c r="B166" s="1977"/>
      <c r="C166" s="1977"/>
      <c r="D166" s="692"/>
      <c r="K166" s="1501"/>
      <c r="L166" s="1977"/>
      <c r="M166" s="1977"/>
      <c r="N166" s="1501"/>
      <c r="O166" s="1501"/>
      <c r="P166" s="1501"/>
      <c r="Q166" s="1501"/>
      <c r="R166" s="1977"/>
      <c r="S166" s="1501"/>
      <c r="T166" s="1501"/>
      <c r="U166" s="885"/>
      <c r="V166" s="1501"/>
      <c r="W166" s="1501"/>
      <c r="X166" s="1501"/>
      <c r="Y166" s="1501"/>
      <c r="Z166" s="1501"/>
      <c r="AA166" s="1973"/>
      <c r="AB166" s="907"/>
      <c r="AC166" s="907"/>
      <c r="AD166" s="907"/>
      <c r="AE166" s="907"/>
      <c r="AF166" s="1982">
        <v>11</v>
      </c>
    </row>
    <row s="17832" customFormat="1" customHeight="1" ht="11.549999999999999">
      <c r="A167" s="1328"/>
      <c r="B167" s="1977"/>
      <c r="C167" s="1977"/>
      <c r="D167" s="692"/>
      <c r="K167" s="1501"/>
      <c r="L167" s="1977"/>
      <c r="M167" s="1977"/>
      <c r="N167" s="1501"/>
      <c r="O167" s="1501"/>
      <c r="P167" s="1501"/>
      <c r="Q167" s="1501"/>
      <c r="R167" s="1977"/>
      <c r="S167" s="1501"/>
      <c r="T167" s="1501"/>
      <c r="U167" s="885"/>
      <c r="V167" s="1501"/>
      <c r="W167" s="1501"/>
      <c r="X167" s="1501"/>
      <c r="Y167" s="1501"/>
      <c r="Z167" s="1501"/>
      <c r="AA167" s="1973"/>
      <c r="AB167" s="907"/>
      <c r="AC167" s="907"/>
      <c r="AD167" s="907"/>
      <c r="AE167" s="907"/>
      <c r="AF167" s="1982">
        <v>11</v>
      </c>
    </row>
    <row s="17832" customFormat="1" customHeight="1" ht="11.549999999999999">
      <c r="A168" s="1328"/>
      <c r="B168" s="1977"/>
      <c r="C168" s="1977"/>
      <c r="D168" s="692"/>
      <c r="K168" s="1501"/>
      <c r="L168" s="1977"/>
      <c r="M168" s="1977"/>
      <c r="N168" s="1501"/>
      <c r="O168" s="1501"/>
      <c r="P168" s="1501"/>
      <c r="Q168" s="1501"/>
      <c r="R168" s="1977"/>
      <c r="S168" s="1501"/>
      <c r="T168" s="1501"/>
      <c r="U168" s="885"/>
      <c r="V168" s="1501"/>
      <c r="W168" s="1501"/>
      <c r="X168" s="1501"/>
      <c r="Y168" s="1501"/>
      <c r="Z168" s="1501"/>
      <c r="AA168" s="1973"/>
      <c r="AB168" s="907"/>
      <c r="AC168" s="907"/>
      <c r="AD168" s="907"/>
      <c r="AE168" s="907"/>
      <c r="AF168" s="1982">
        <v>11</v>
      </c>
    </row>
    <row s="17832" customFormat="1" customHeight="1" ht="11.549999999999999">
      <c r="A169" s="1328"/>
      <c r="B169" s="1977"/>
      <c r="C169" s="1977"/>
      <c r="D169" s="692"/>
      <c r="K169" s="1501"/>
      <c r="L169" s="1977"/>
      <c r="M169" s="1977"/>
      <c r="N169" s="1501"/>
      <c r="O169" s="1501"/>
      <c r="P169" s="1501"/>
      <c r="Q169" s="1501"/>
      <c r="R169" s="1977"/>
      <c r="S169" s="1501"/>
      <c r="T169" s="1501"/>
      <c r="U169" s="885"/>
      <c r="V169" s="1501"/>
      <c r="W169" s="1501"/>
      <c r="X169" s="1501"/>
      <c r="Y169" s="1501"/>
      <c r="Z169" s="1501"/>
      <c r="AA169" s="1973"/>
      <c r="AB169" s="907"/>
      <c r="AC169" s="907"/>
      <c r="AD169" s="907"/>
      <c r="AE169" s="907"/>
      <c r="AF169" s="1982">
        <v>11</v>
      </c>
    </row>
    <row s="17832" customFormat="1" customHeight="1" ht="11.549999999999999">
      <c r="A170" s="1328"/>
      <c r="B170" s="1977"/>
      <c r="C170" s="1977"/>
      <c r="D170" s="692"/>
      <c r="K170" s="1501"/>
      <c r="L170" s="1977"/>
      <c r="M170" s="1977"/>
      <c r="N170" s="1501"/>
      <c r="O170" s="1501"/>
      <c r="P170" s="1501"/>
      <c r="Q170" s="1501"/>
      <c r="R170" s="1977"/>
      <c r="S170" s="1501"/>
      <c r="T170" s="1501"/>
      <c r="U170" s="885"/>
      <c r="V170" s="1501"/>
      <c r="W170" s="1501"/>
      <c r="X170" s="1501"/>
      <c r="Y170" s="1501"/>
      <c r="Z170" s="1501"/>
      <c r="AA170" s="1973"/>
      <c r="AB170" s="907"/>
      <c r="AC170" s="907"/>
      <c r="AD170" s="907"/>
      <c r="AE170" s="907"/>
      <c r="AF170" s="1982">
        <v>11</v>
      </c>
    </row>
    <row s="17832" customFormat="1" customHeight="1" ht="11.549999999999999">
      <c r="A171" s="1328"/>
      <c r="B171" s="1977"/>
      <c r="C171" s="1977"/>
      <c r="D171" s="692"/>
      <c r="K171" s="1501"/>
      <c r="L171" s="1977"/>
      <c r="M171" s="1977"/>
      <c r="N171" s="1501"/>
      <c r="O171" s="1501"/>
      <c r="P171" s="1501"/>
      <c r="Q171" s="1501"/>
      <c r="R171" s="1977"/>
      <c r="S171" s="1501"/>
      <c r="T171" s="1501"/>
      <c r="U171" s="885"/>
      <c r="V171" s="1501"/>
      <c r="W171" s="1501"/>
      <c r="X171" s="1501"/>
      <c r="Y171" s="1501"/>
      <c r="Z171" s="1501"/>
      <c r="AA171" s="1973"/>
      <c r="AB171" s="907"/>
      <c r="AC171" s="907"/>
      <c r="AD171" s="907"/>
      <c r="AE171" s="907"/>
      <c r="AF171" s="1982">
        <v>11</v>
      </c>
    </row>
    <row s="17832" customFormat="1" customHeight="1" ht="11.549999999999999">
      <c r="A172" s="1328"/>
      <c r="B172" s="1977"/>
      <c r="C172" s="1977"/>
      <c r="D172" s="692"/>
      <c r="K172" s="1501"/>
      <c r="L172" s="1977"/>
      <c r="M172" s="1977"/>
      <c r="N172" s="1501"/>
      <c r="O172" s="1501"/>
      <c r="P172" s="1501"/>
      <c r="Q172" s="1501"/>
      <c r="R172" s="1977"/>
      <c r="S172" s="1501"/>
      <c r="T172" s="1501"/>
      <c r="U172" s="885"/>
      <c r="V172" s="1501"/>
      <c r="W172" s="1501"/>
      <c r="X172" s="1501"/>
      <c r="Y172" s="1501"/>
      <c r="Z172" s="1501"/>
      <c r="AA172" s="1973"/>
      <c r="AB172" s="907"/>
      <c r="AC172" s="907"/>
      <c r="AD172" s="907"/>
      <c r="AE172" s="907"/>
      <c r="AF172" s="1982">
        <v>11</v>
      </c>
    </row>
    <row s="17832" customFormat="1" customHeight="1" ht="11.549999999999999">
      <c r="A173" s="1328"/>
      <c r="B173" s="1977"/>
      <c r="C173" s="1977"/>
      <c r="D173" s="692"/>
      <c r="K173" s="1501"/>
      <c r="L173" s="1977"/>
      <c r="M173" s="1977"/>
      <c r="N173" s="1501"/>
      <c r="O173" s="1501"/>
      <c r="P173" s="1501"/>
      <c r="Q173" s="1501"/>
      <c r="R173" s="1977"/>
      <c r="S173" s="1501"/>
      <c r="T173" s="1501"/>
      <c r="U173" s="885"/>
      <c r="V173" s="1501"/>
      <c r="W173" s="1501"/>
      <c r="X173" s="1501"/>
      <c r="Y173" s="1501"/>
      <c r="Z173" s="1501"/>
      <c r="AA173" s="1973"/>
      <c r="AB173" s="907"/>
      <c r="AC173" s="907"/>
      <c r="AD173" s="907"/>
      <c r="AE173" s="907"/>
      <c r="AF173" s="1982">
        <v>11</v>
      </c>
    </row>
    <row s="17832" customFormat="1" customHeight="1" ht="11.549999999999999">
      <c r="A174" s="1328"/>
      <c r="B174" s="1977"/>
      <c r="C174" s="1977"/>
      <c r="D174" s="692"/>
      <c r="K174" s="1501"/>
      <c r="L174" s="1977"/>
      <c r="M174" s="1977"/>
      <c r="N174" s="1501"/>
      <c r="O174" s="1501"/>
      <c r="P174" s="1501"/>
      <c r="Q174" s="1501"/>
      <c r="R174" s="1977"/>
      <c r="S174" s="1501"/>
      <c r="T174" s="1501"/>
      <c r="U174" s="885"/>
      <c r="V174" s="1501"/>
      <c r="W174" s="1501"/>
      <c r="X174" s="1501"/>
      <c r="Y174" s="1501"/>
      <c r="Z174" s="1501"/>
      <c r="AA174" s="1973"/>
      <c r="AB174" s="907"/>
      <c r="AC174" s="907"/>
      <c r="AD174" s="907"/>
      <c r="AE174" s="907"/>
      <c r="AF174" s="1982">
        <v>11</v>
      </c>
    </row>
    <row s="17832" customFormat="1" customHeight="1" ht="11.549999999999999">
      <c r="A175" s="1328"/>
      <c r="B175" s="1977"/>
      <c r="C175" s="1977"/>
      <c r="D175" s="692"/>
      <c r="K175" s="1501"/>
      <c r="L175" s="1977"/>
      <c r="M175" s="1977"/>
      <c r="N175" s="1501"/>
      <c r="O175" s="1501"/>
      <c r="P175" s="1501"/>
      <c r="Q175" s="1501"/>
      <c r="R175" s="1977"/>
      <c r="S175" s="1501"/>
      <c r="T175" s="1501"/>
      <c r="U175" s="885"/>
      <c r="V175" s="1501"/>
      <c r="W175" s="1501"/>
      <c r="X175" s="1501"/>
      <c r="Y175" s="1501"/>
      <c r="Z175" s="1501"/>
      <c r="AA175" s="1973"/>
      <c r="AB175" s="907"/>
      <c r="AC175" s="907"/>
      <c r="AD175" s="907"/>
      <c r="AE175" s="907"/>
      <c r="AF175" s="1982">
        <v>11</v>
      </c>
    </row>
    <row s="17832" customFormat="1" customHeight="1" ht="11.549999999999999">
      <c r="A176" s="1328"/>
      <c r="B176" s="1977"/>
      <c r="C176" s="1977"/>
      <c r="D176" s="692"/>
      <c r="K176" s="1501"/>
      <c r="L176" s="1977"/>
      <c r="M176" s="1977"/>
      <c r="N176" s="1501"/>
      <c r="O176" s="1501"/>
      <c r="P176" s="1501"/>
      <c r="Q176" s="1501"/>
      <c r="R176" s="1977"/>
      <c r="S176" s="1501"/>
      <c r="T176" s="1501"/>
      <c r="U176" s="885"/>
      <c r="V176" s="1501"/>
      <c r="W176" s="1501"/>
      <c r="X176" s="1501"/>
      <c r="Y176" s="1501"/>
      <c r="Z176" s="1501"/>
      <c r="AA176" s="1973"/>
      <c r="AB176" s="907"/>
      <c r="AC176" s="907"/>
      <c r="AD176" s="907"/>
      <c r="AE176" s="907"/>
      <c r="AF176" s="1982">
        <v>11</v>
      </c>
    </row>
    <row s="17832" customFormat="1" customHeight="1" ht="11.549999999999999">
      <c r="A177" s="1328"/>
      <c r="B177" s="1977"/>
      <c r="C177" s="1977"/>
      <c r="D177" s="692"/>
      <c r="K177" s="1501"/>
      <c r="L177" s="1977"/>
      <c r="M177" s="1977"/>
      <c r="N177" s="1501"/>
      <c r="O177" s="1501"/>
      <c r="P177" s="1501"/>
      <c r="Q177" s="1501"/>
      <c r="R177" s="1977"/>
      <c r="S177" s="1501"/>
      <c r="T177" s="1501"/>
      <c r="U177" s="885"/>
      <c r="V177" s="1501"/>
      <c r="W177" s="1501"/>
      <c r="X177" s="1501"/>
      <c r="Y177" s="1501"/>
      <c r="Z177" s="1501"/>
      <c r="AA177" s="1973"/>
      <c r="AB177" s="907"/>
      <c r="AC177" s="907"/>
      <c r="AD177" s="907"/>
      <c r="AE177" s="907"/>
      <c r="AF177" s="1982">
        <v>11</v>
      </c>
    </row>
    <row s="17832" customFormat="1" customHeight="1" ht="11.549999999999999">
      <c r="A178" s="1328"/>
      <c r="B178" s="1977"/>
      <c r="C178" s="1977"/>
      <c r="D178" s="692"/>
      <c r="K178" s="1501"/>
      <c r="L178" s="1977"/>
      <c r="M178" s="1977"/>
      <c r="N178" s="1501"/>
      <c r="O178" s="1501"/>
      <c r="P178" s="1501"/>
      <c r="Q178" s="1501"/>
      <c r="R178" s="1977"/>
      <c r="S178" s="1501"/>
      <c r="T178" s="1501"/>
      <c r="U178" s="885"/>
      <c r="V178" s="1501"/>
      <c r="W178" s="1501"/>
      <c r="X178" s="1501"/>
      <c r="Y178" s="1501"/>
      <c r="Z178" s="1501"/>
      <c r="AA178" s="1973"/>
      <c r="AB178" s="907"/>
      <c r="AC178" s="907"/>
      <c r="AD178" s="907"/>
      <c r="AE178" s="907"/>
      <c r="AF178" s="1982">
        <v>11</v>
      </c>
    </row>
    <row s="17832" customFormat="1" customHeight="1" ht="11.549999999999999">
      <c r="A179" s="1328"/>
      <c r="B179" s="1977"/>
      <c r="C179" s="1977"/>
      <c r="D179" s="692"/>
      <c r="K179" s="1501"/>
      <c r="L179" s="1977"/>
      <c r="M179" s="1977"/>
      <c r="N179" s="1501"/>
      <c r="O179" s="1501"/>
      <c r="P179" s="1501"/>
      <c r="Q179" s="1501"/>
      <c r="R179" s="1977"/>
      <c r="S179" s="1501"/>
      <c r="T179" s="1501"/>
      <c r="U179" s="885"/>
      <c r="V179" s="1501"/>
      <c r="W179" s="1501"/>
      <c r="X179" s="1501"/>
      <c r="Y179" s="1501"/>
      <c r="Z179" s="1501"/>
      <c r="AA179" s="1973"/>
      <c r="AB179" s="907"/>
      <c r="AC179" s="907"/>
      <c r="AD179" s="907"/>
      <c r="AE179" s="907"/>
      <c r="AF179" s="1982">
        <v>11</v>
      </c>
    </row>
    <row s="17832" customFormat="1" customHeight="1" ht="11.549999999999999">
      <c r="A180" s="1328"/>
      <c r="B180" s="1977"/>
      <c r="C180" s="1977"/>
      <c r="D180" s="692"/>
      <c r="K180" s="1501"/>
      <c r="L180" s="1977"/>
      <c r="M180" s="1977"/>
      <c r="N180" s="1501"/>
      <c r="O180" s="1501"/>
      <c r="P180" s="1501"/>
      <c r="Q180" s="1501"/>
      <c r="R180" s="1977"/>
      <c r="S180" s="1501"/>
      <c r="T180" s="1501"/>
      <c r="U180" s="885"/>
      <c r="V180" s="1501"/>
      <c r="W180" s="1501"/>
      <c r="X180" s="1501"/>
      <c r="Y180" s="1501"/>
      <c r="Z180" s="1501"/>
      <c r="AA180" s="1973"/>
      <c r="AB180" s="907"/>
      <c r="AC180" s="907"/>
      <c r="AD180" s="907"/>
      <c r="AE180" s="907"/>
      <c r="AF180" s="1982">
        <v>11</v>
      </c>
    </row>
    <row s="17832" customFormat="1" customHeight="1" ht="11.549999999999999">
      <c r="A181" s="1328"/>
      <c r="B181" s="1977"/>
      <c r="C181" s="1977"/>
      <c r="D181" s="692"/>
      <c r="K181" s="1501"/>
      <c r="L181" s="1977"/>
      <c r="M181" s="1977"/>
      <c r="N181" s="1501"/>
      <c r="O181" s="1501"/>
      <c r="P181" s="1501"/>
      <c r="Q181" s="1501"/>
      <c r="R181" s="1977"/>
      <c r="S181" s="1501"/>
      <c r="T181" s="1501"/>
      <c r="U181" s="885"/>
      <c r="V181" s="1501"/>
      <c r="W181" s="1501"/>
      <c r="X181" s="1501"/>
      <c r="Y181" s="1501"/>
      <c r="Z181" s="1501"/>
      <c r="AA181" s="1973"/>
      <c r="AB181" s="907"/>
      <c r="AC181" s="907"/>
      <c r="AD181" s="907"/>
      <c r="AE181" s="907"/>
      <c r="AF181" s="1982">
        <v>11</v>
      </c>
    </row>
    <row s="17832" customFormat="1" customHeight="1" ht="11.549999999999999">
      <c r="A182" s="1328"/>
      <c r="B182" s="1977"/>
      <c r="C182" s="1977"/>
      <c r="D182" s="692"/>
      <c r="K182" s="1501"/>
      <c r="L182" s="1977"/>
      <c r="M182" s="1977"/>
      <c r="N182" s="1501"/>
      <c r="O182" s="1501"/>
      <c r="P182" s="1501"/>
      <c r="Q182" s="1501"/>
      <c r="R182" s="1977"/>
      <c r="S182" s="1501"/>
      <c r="T182" s="1501"/>
      <c r="U182" s="885"/>
      <c r="V182" s="1501"/>
      <c r="W182" s="1501"/>
      <c r="X182" s="1501"/>
      <c r="Y182" s="1501"/>
      <c r="Z182" s="1501"/>
      <c r="AA182" s="1973"/>
      <c r="AB182" s="907"/>
      <c r="AC182" s="907"/>
      <c r="AD182" s="907"/>
      <c r="AE182" s="907"/>
      <c r="AF182" s="1982">
        <v>11</v>
      </c>
    </row>
    <row s="17832" customFormat="1" customHeight="1" ht="11.549999999999999">
      <c r="A183" s="1328"/>
      <c r="B183" s="1977"/>
      <c r="C183" s="1977"/>
      <c r="D183" s="692"/>
      <c r="K183" s="1501"/>
      <c r="L183" s="1977"/>
      <c r="M183" s="1977"/>
      <c r="N183" s="1501"/>
      <c r="O183" s="1501"/>
      <c r="P183" s="1501"/>
      <c r="Q183" s="1501"/>
      <c r="R183" s="1977"/>
      <c r="S183" s="1501"/>
      <c r="T183" s="1501"/>
      <c r="U183" s="885"/>
      <c r="V183" s="1501"/>
      <c r="W183" s="1501"/>
      <c r="X183" s="1501"/>
      <c r="Y183" s="1501"/>
      <c r="Z183" s="1501"/>
      <c r="AA183" s="1973"/>
      <c r="AB183" s="907"/>
      <c r="AC183" s="907"/>
      <c r="AD183" s="907"/>
      <c r="AE183" s="907"/>
      <c r="AF183" s="1982">
        <v>11</v>
      </c>
    </row>
    <row s="17832" customFormat="1" customHeight="1" ht="11.549999999999999">
      <c r="A184" s="1328"/>
      <c r="B184" s="1977"/>
      <c r="C184" s="1977"/>
      <c r="D184" s="692"/>
      <c r="K184" s="1501"/>
      <c r="L184" s="1977"/>
      <c r="M184" s="1977"/>
      <c r="N184" s="1501"/>
      <c r="O184" s="1501"/>
      <c r="P184" s="1501"/>
      <c r="Q184" s="1501"/>
      <c r="R184" s="1977"/>
      <c r="S184" s="1501"/>
      <c r="T184" s="1501"/>
      <c r="U184" s="885"/>
      <c r="V184" s="1501"/>
      <c r="W184" s="1501"/>
      <c r="X184" s="1501"/>
      <c r="Y184" s="1501"/>
      <c r="Z184" s="1501"/>
      <c r="AA184" s="1973"/>
      <c r="AB184" s="907"/>
      <c r="AC184" s="907"/>
      <c r="AD184" s="907"/>
      <c r="AE184" s="907"/>
      <c r="AF184" s="1982">
        <v>11</v>
      </c>
    </row>
    <row s="17832" customFormat="1" customHeight="1" ht="11.549999999999999">
      <c r="A185" s="1328"/>
      <c r="B185" s="1977"/>
      <c r="C185" s="1977"/>
      <c r="D185" s="692"/>
      <c r="K185" s="1501"/>
      <c r="L185" s="1977"/>
      <c r="M185" s="1977"/>
      <c r="N185" s="1501"/>
      <c r="O185" s="1501"/>
      <c r="P185" s="1501"/>
      <c r="Q185" s="1501"/>
      <c r="R185" s="1977"/>
      <c r="S185" s="1501"/>
      <c r="T185" s="1501"/>
      <c r="U185" s="885"/>
      <c r="V185" s="1501"/>
      <c r="W185" s="1501"/>
      <c r="X185" s="1501"/>
      <c r="Y185" s="1501"/>
      <c r="Z185" s="1501"/>
      <c r="AA185" s="1973"/>
      <c r="AB185" s="907"/>
      <c r="AC185" s="907"/>
      <c r="AD185" s="907"/>
      <c r="AE185" s="907"/>
      <c r="AF185" s="1982">
        <v>11</v>
      </c>
    </row>
    <row s="17832" customFormat="1" customHeight="1" ht="11.549999999999999">
      <c r="A186" s="1328"/>
      <c r="B186" s="1977"/>
      <c r="C186" s="1977"/>
      <c r="D186" s="692"/>
      <c r="K186" s="1501"/>
      <c r="L186" s="1977"/>
      <c r="M186" s="1977"/>
      <c r="N186" s="1501"/>
      <c r="O186" s="1501"/>
      <c r="P186" s="1501"/>
      <c r="Q186" s="1501"/>
      <c r="R186" s="1977"/>
      <c r="S186" s="1501"/>
      <c r="T186" s="1501"/>
      <c r="U186" s="885"/>
      <c r="V186" s="1501"/>
      <c r="W186" s="1501"/>
      <c r="X186" s="1501"/>
      <c r="Y186" s="1501"/>
      <c r="Z186" s="1501"/>
      <c r="AA186" s="1973"/>
      <c r="AB186" s="907"/>
      <c r="AC186" s="907"/>
      <c r="AD186" s="907"/>
      <c r="AE186" s="907"/>
      <c r="AF186" s="1982">
        <v>11</v>
      </c>
    </row>
    <row s="17832" customFormat="1" customHeight="1" ht="11.549999999999999">
      <c r="A187" s="1328"/>
      <c r="B187" s="1977"/>
      <c r="C187" s="1977"/>
      <c r="D187" s="692"/>
      <c r="K187" s="1501"/>
      <c r="L187" s="1977"/>
      <c r="M187" s="1977"/>
      <c r="N187" s="1501"/>
      <c r="O187" s="1501"/>
      <c r="P187" s="1501"/>
      <c r="Q187" s="1501"/>
      <c r="R187" s="1977"/>
      <c r="S187" s="1501"/>
      <c r="T187" s="1501"/>
      <c r="U187" s="885"/>
      <c r="V187" s="1501"/>
      <c r="W187" s="1501"/>
      <c r="X187" s="1501"/>
      <c r="Y187" s="1501"/>
      <c r="Z187" s="1501"/>
      <c r="AA187" s="1973"/>
      <c r="AB187" s="907"/>
      <c r="AC187" s="907"/>
      <c r="AD187" s="907"/>
      <c r="AE187" s="907"/>
      <c r="AF187" s="1982">
        <v>11</v>
      </c>
    </row>
    <row s="17832" customFormat="1" customHeight="1" ht="11.549999999999999">
      <c r="A188" s="1328"/>
      <c r="B188" s="1977"/>
      <c r="C188" s="1977"/>
      <c r="D188" s="692"/>
      <c r="K188" s="1501"/>
      <c r="L188" s="1977"/>
      <c r="M188" s="1977"/>
      <c r="N188" s="1501"/>
      <c r="O188" s="1501"/>
      <c r="P188" s="1501"/>
      <c r="Q188" s="1501"/>
      <c r="R188" s="1977"/>
      <c r="S188" s="1501"/>
      <c r="T188" s="1501"/>
      <c r="U188" s="885"/>
      <c r="V188" s="1501"/>
      <c r="W188" s="1501"/>
      <c r="X188" s="1501"/>
      <c r="Y188" s="1501"/>
      <c r="Z188" s="1501"/>
      <c r="AA188" s="1973"/>
      <c r="AB188" s="907"/>
      <c r="AC188" s="907"/>
      <c r="AD188" s="907"/>
      <c r="AE188" s="907"/>
      <c r="AF188" s="1982">
        <v>11</v>
      </c>
    </row>
    <row s="17832" customFormat="1" customHeight="1" ht="11.549999999999999">
      <c r="A189" s="1328"/>
      <c r="B189" s="1977"/>
      <c r="C189" s="1977"/>
      <c r="D189" s="692"/>
      <c r="K189" s="1501"/>
      <c r="L189" s="1977"/>
      <c r="M189" s="1977"/>
      <c r="N189" s="1501"/>
      <c r="O189" s="1501"/>
      <c r="P189" s="1501"/>
      <c r="Q189" s="1501"/>
      <c r="R189" s="1977"/>
      <c r="S189" s="1501"/>
      <c r="T189" s="1501"/>
      <c r="U189" s="885"/>
      <c r="V189" s="1501"/>
      <c r="W189" s="1501"/>
      <c r="X189" s="1501"/>
      <c r="Y189" s="1501"/>
      <c r="Z189" s="1501"/>
      <c r="AA189" s="1973"/>
      <c r="AB189" s="907"/>
      <c r="AC189" s="907"/>
      <c r="AD189" s="907"/>
      <c r="AE189" s="907"/>
      <c r="AF189" s="1982">
        <v>11</v>
      </c>
    </row>
    <row s="17832" customFormat="1" customHeight="1" ht="11.549999999999999">
      <c r="A190" s="1328"/>
      <c r="B190" s="1977"/>
      <c r="C190" s="1977"/>
      <c r="D190" s="692"/>
      <c r="K190" s="1501"/>
      <c r="L190" s="1977"/>
      <c r="M190" s="1977"/>
      <c r="N190" s="1501"/>
      <c r="O190" s="1501"/>
      <c r="P190" s="1501"/>
      <c r="Q190" s="1501"/>
      <c r="R190" s="1977"/>
      <c r="S190" s="1501"/>
      <c r="T190" s="1501"/>
      <c r="U190" s="885"/>
      <c r="V190" s="1501"/>
      <c r="W190" s="1501"/>
      <c r="X190" s="1501"/>
      <c r="Y190" s="1501"/>
      <c r="Z190" s="1501"/>
      <c r="AA190" s="1973"/>
      <c r="AB190" s="907"/>
      <c r="AC190" s="907"/>
      <c r="AD190" s="907"/>
      <c r="AE190" s="907"/>
      <c r="AF190" s="1982">
        <v>11</v>
      </c>
    </row>
    <row s="17832" customFormat="1" customHeight="1" ht="11.549999999999999">
      <c r="A191" s="1328"/>
      <c r="B191" s="1977"/>
      <c r="C191" s="1977"/>
      <c r="D191" s="692"/>
      <c r="K191" s="1501"/>
      <c r="L191" s="1977"/>
      <c r="M191" s="1977"/>
      <c r="N191" s="1501"/>
      <c r="O191" s="1501"/>
      <c r="P191" s="1501"/>
      <c r="Q191" s="1501"/>
      <c r="R191" s="1977"/>
      <c r="S191" s="1501"/>
      <c r="T191" s="1501"/>
      <c r="U191" s="885"/>
      <c r="V191" s="1501"/>
      <c r="W191" s="1501"/>
      <c r="X191" s="1501"/>
      <c r="Y191" s="1501"/>
      <c r="Z191" s="1501"/>
      <c r="AA191" s="1973"/>
      <c r="AB191" s="907"/>
      <c r="AC191" s="907"/>
      <c r="AD191" s="907"/>
      <c r="AE191" s="907"/>
      <c r="AF191" s="1982">
        <v>11</v>
      </c>
    </row>
    <row s="17832" customFormat="1" customHeight="1" ht="11.549999999999999">
      <c r="A192" s="1328"/>
      <c r="B192" s="1977"/>
      <c r="C192" s="1977"/>
      <c r="D192" s="692"/>
      <c r="K192" s="1501"/>
      <c r="L192" s="1977"/>
      <c r="M192" s="1977"/>
      <c r="N192" s="1501"/>
      <c r="O192" s="1501"/>
      <c r="P192" s="1501"/>
      <c r="Q192" s="1501"/>
      <c r="R192" s="1977"/>
      <c r="S192" s="1501"/>
      <c r="T192" s="1501"/>
      <c r="U192" s="885"/>
      <c r="V192" s="1501"/>
      <c r="W192" s="1501"/>
      <c r="X192" s="1501"/>
      <c r="Y192" s="1501"/>
      <c r="Z192" s="1501"/>
      <c r="AA192" s="1973"/>
      <c r="AB192" s="907"/>
      <c r="AC192" s="907"/>
      <c r="AD192" s="907"/>
      <c r="AE192" s="907"/>
      <c r="AF192" s="1982">
        <v>11</v>
      </c>
    </row>
    <row s="17832" customFormat="1" customHeight="1" ht="11.549999999999999">
      <c r="A193" s="1328"/>
      <c r="B193" s="1977"/>
      <c r="C193" s="1977"/>
      <c r="D193" s="692"/>
      <c r="K193" s="1501"/>
      <c r="L193" s="1977"/>
      <c r="M193" s="1977"/>
      <c r="N193" s="1501"/>
      <c r="O193" s="1501"/>
      <c r="P193" s="1501"/>
      <c r="Q193" s="1501"/>
      <c r="R193" s="1977"/>
      <c r="S193" s="1501"/>
      <c r="T193" s="1501"/>
      <c r="U193" s="885"/>
      <c r="V193" s="1501"/>
      <c r="W193" s="1501"/>
      <c r="X193" s="1501"/>
      <c r="Y193" s="1501"/>
      <c r="Z193" s="1501"/>
      <c r="AA193" s="1973"/>
      <c r="AB193" s="907"/>
      <c r="AC193" s="907"/>
      <c r="AD193" s="907"/>
      <c r="AE193" s="907"/>
      <c r="AF193" s="1982">
        <v>11</v>
      </c>
    </row>
    <row s="17832" customFormat="1" customHeight="1" ht="11.549999999999999">
      <c r="A194" s="1328"/>
      <c r="B194" s="1977"/>
      <c r="C194" s="1977"/>
      <c r="D194" s="692"/>
      <c r="K194" s="1501"/>
      <c r="L194" s="1977"/>
      <c r="M194" s="1977"/>
      <c r="N194" s="1501"/>
      <c r="O194" s="1501"/>
      <c r="P194" s="1501"/>
      <c r="Q194" s="1501"/>
      <c r="R194" s="1977"/>
      <c r="S194" s="1501"/>
      <c r="T194" s="1501"/>
      <c r="U194" s="885"/>
      <c r="V194" s="1501"/>
      <c r="W194" s="1501"/>
      <c r="X194" s="1501"/>
      <c r="Y194" s="1501"/>
      <c r="Z194" s="1501"/>
      <c r="AA194" s="1973"/>
      <c r="AB194" s="907"/>
      <c r="AC194" s="907"/>
      <c r="AD194" s="907"/>
      <c r="AE194" s="907"/>
      <c r="AF194" s="1982">
        <v>11</v>
      </c>
    </row>
    <row s="17832" customFormat="1" customHeight="1" ht="11.549999999999999">
      <c r="A195" s="1328"/>
      <c r="B195" s="1977"/>
      <c r="C195" s="1977"/>
      <c r="D195" s="692"/>
      <c r="K195" s="1501"/>
      <c r="L195" s="1977"/>
      <c r="M195" s="1977"/>
      <c r="N195" s="1501"/>
      <c r="O195" s="1501"/>
      <c r="P195" s="1501"/>
      <c r="Q195" s="1501"/>
      <c r="R195" s="1977"/>
      <c r="S195" s="1501"/>
      <c r="T195" s="1501"/>
      <c r="U195" s="885"/>
      <c r="V195" s="1501"/>
      <c r="W195" s="1501"/>
      <c r="X195" s="1501"/>
      <c r="Y195" s="1501"/>
      <c r="Z195" s="1501"/>
      <c r="AA195" s="1973"/>
      <c r="AB195" s="907"/>
      <c r="AC195" s="907"/>
      <c r="AD195" s="907"/>
      <c r="AE195" s="907"/>
      <c r="AF195" s="1982">
        <v>11</v>
      </c>
    </row>
    <row s="17832" customFormat="1" customHeight="1" ht="11.549999999999999">
      <c r="A196" s="1328"/>
      <c r="B196" s="1977"/>
      <c r="C196" s="1977"/>
      <c r="D196" s="692"/>
      <c r="K196" s="1501"/>
      <c r="L196" s="1977"/>
      <c r="M196" s="1977"/>
      <c r="N196" s="1501"/>
      <c r="O196" s="1501"/>
      <c r="P196" s="1501"/>
      <c r="Q196" s="1501"/>
      <c r="R196" s="1977"/>
      <c r="S196" s="1501"/>
      <c r="T196" s="1501"/>
      <c r="U196" s="885"/>
      <c r="V196" s="1501"/>
      <c r="W196" s="1501"/>
      <c r="X196" s="1501"/>
      <c r="Y196" s="1501"/>
      <c r="Z196" s="1501"/>
      <c r="AA196" s="1973"/>
      <c r="AB196" s="907"/>
      <c r="AC196" s="907"/>
      <c r="AD196" s="907"/>
      <c r="AE196" s="907"/>
      <c r="AF196" s="1982">
        <v>11</v>
      </c>
    </row>
    <row s="17832" customFormat="1" customHeight="1" ht="11.549999999999999">
      <c r="A197" s="1328"/>
      <c r="B197" s="1977"/>
      <c r="C197" s="1977"/>
      <c r="D197" s="692"/>
      <c r="K197" s="1501"/>
      <c r="L197" s="1977"/>
      <c r="M197" s="1977"/>
      <c r="N197" s="1501"/>
      <c r="O197" s="1501"/>
      <c r="P197" s="1501"/>
      <c r="Q197" s="1501"/>
      <c r="R197" s="1977"/>
      <c r="S197" s="1501"/>
      <c r="T197" s="1501"/>
      <c r="U197" s="885"/>
      <c r="V197" s="1501"/>
      <c r="W197" s="1501"/>
      <c r="X197" s="1501"/>
      <c r="Y197" s="1501"/>
      <c r="Z197" s="1501"/>
      <c r="AA197" s="1973"/>
      <c r="AB197" s="907"/>
      <c r="AC197" s="907"/>
      <c r="AD197" s="907"/>
      <c r="AE197" s="907"/>
      <c r="AF197" s="1982">
        <v>11</v>
      </c>
    </row>
    <row s="17832" customFormat="1" customHeight="1" ht="11.549999999999999">
      <c r="A198" s="1328"/>
      <c r="B198" s="1977"/>
      <c r="C198" s="1977"/>
      <c r="D198" s="692"/>
      <c r="K198" s="1501"/>
      <c r="L198" s="1977"/>
      <c r="M198" s="1977"/>
      <c r="N198" s="1501"/>
      <c r="O198" s="1501"/>
      <c r="P198" s="1501"/>
      <c r="Q198" s="1501"/>
      <c r="R198" s="1977"/>
      <c r="S198" s="1501"/>
      <c r="T198" s="1501"/>
      <c r="U198" s="885"/>
      <c r="V198" s="1501"/>
      <c r="W198" s="1501"/>
      <c r="X198" s="1501"/>
      <c r="Y198" s="1501"/>
      <c r="Z198" s="1501"/>
      <c r="AA198" s="1973"/>
      <c r="AB198" s="907"/>
      <c r="AC198" s="907"/>
      <c r="AD198" s="907"/>
      <c r="AE198" s="907"/>
      <c r="AF198" s="1982">
        <v>11</v>
      </c>
    </row>
    <row s="17832" customFormat="1" customHeight="1" ht="11.549999999999999">
      <c r="A199" s="1328"/>
      <c r="B199" s="1977"/>
      <c r="C199" s="1977"/>
      <c r="D199" s="692"/>
      <c r="K199" s="1501"/>
      <c r="L199" s="1977"/>
      <c r="M199" s="1977"/>
      <c r="N199" s="1501"/>
      <c r="O199" s="1501"/>
      <c r="P199" s="1501"/>
      <c r="Q199" s="1501"/>
      <c r="R199" s="1977"/>
      <c r="S199" s="1501"/>
      <c r="T199" s="1501"/>
      <c r="U199" s="885"/>
      <c r="V199" s="1501"/>
      <c r="W199" s="1501"/>
      <c r="X199" s="1501"/>
      <c r="Y199" s="1501"/>
      <c r="Z199" s="1501"/>
      <c r="AA199" s="1973"/>
      <c r="AB199" s="907"/>
      <c r="AC199" s="907"/>
      <c r="AD199" s="907"/>
      <c r="AE199" s="907"/>
      <c r="AF199" s="1982">
        <v>11</v>
      </c>
    </row>
    <row s="17832" customFormat="1" customHeight="1" ht="11.549999999999999">
      <c r="A200" s="1328"/>
      <c r="B200" s="1977"/>
      <c r="C200" s="1977"/>
      <c r="D200" s="692"/>
      <c r="K200" s="1501"/>
      <c r="L200" s="1977"/>
      <c r="M200" s="1977"/>
      <c r="N200" s="1501"/>
      <c r="O200" s="1501"/>
      <c r="P200" s="1501"/>
      <c r="Q200" s="1501"/>
      <c r="R200" s="1977"/>
      <c r="S200" s="1501"/>
      <c r="T200" s="1501"/>
      <c r="U200" s="885"/>
      <c r="V200" s="1501"/>
      <c r="W200" s="1501"/>
      <c r="X200" s="1501"/>
      <c r="Y200" s="1501"/>
      <c r="Z200" s="1501"/>
      <c r="AA200" s="1973"/>
      <c r="AB200" s="907"/>
      <c r="AC200" s="907"/>
      <c r="AD200" s="907"/>
      <c r="AE200" s="907"/>
      <c r="AF200" s="1982">
        <v>11</v>
      </c>
    </row>
    <row s="17832" customFormat="1" customHeight="1" ht="11.549999999999999">
      <c r="A201" s="1328"/>
      <c r="B201" s="1977"/>
      <c r="C201" s="1977"/>
      <c r="D201" s="692"/>
      <c r="K201" s="1501"/>
      <c r="L201" s="1977"/>
      <c r="M201" s="1977"/>
      <c r="N201" s="1501"/>
      <c r="O201" s="1501"/>
      <c r="P201" s="1501"/>
      <c r="Q201" s="1501"/>
      <c r="R201" s="1977"/>
      <c r="S201" s="1501"/>
      <c r="T201" s="1501"/>
      <c r="U201" s="885"/>
      <c r="V201" s="1501"/>
      <c r="W201" s="1501"/>
      <c r="X201" s="1501"/>
      <c r="Y201" s="1501"/>
      <c r="Z201" s="1501"/>
      <c r="AA201" s="1973"/>
      <c r="AB201" s="907"/>
      <c r="AC201" s="907"/>
      <c r="AD201" s="907"/>
      <c r="AE201" s="907"/>
      <c r="AF201" s="1982">
        <v>11</v>
      </c>
    </row>
    <row s="17832" customFormat="1" customHeight="1" ht="11.549999999999999">
      <c r="A202" s="1328"/>
      <c r="B202" s="1977"/>
      <c r="C202" s="1977"/>
      <c r="D202" s="692"/>
      <c r="K202" s="1501"/>
      <c r="L202" s="1977"/>
      <c r="M202" s="1977"/>
      <c r="N202" s="1501"/>
      <c r="O202" s="1501"/>
      <c r="P202" s="1501"/>
      <c r="Q202" s="1501"/>
      <c r="R202" s="1977"/>
      <c r="S202" s="1501"/>
      <c r="T202" s="1501"/>
      <c r="U202" s="885"/>
      <c r="V202" s="1501"/>
      <c r="W202" s="1501"/>
      <c r="X202" s="1501"/>
      <c r="Y202" s="1501"/>
      <c r="Z202" s="1501"/>
      <c r="AA202" s="1973"/>
      <c r="AB202" s="907"/>
      <c r="AC202" s="907"/>
      <c r="AD202" s="907"/>
      <c r="AE202" s="907"/>
      <c r="AF202" s="1982">
        <v>11</v>
      </c>
    </row>
    <row s="17832" customFormat="1" customHeight="1" ht="11.549999999999999">
      <c r="A203" s="1328"/>
      <c r="B203" s="1977"/>
      <c r="C203" s="1977"/>
      <c r="D203" s="692"/>
      <c r="K203" s="1501"/>
      <c r="L203" s="1977"/>
      <c r="M203" s="1977"/>
      <c r="N203" s="1501"/>
      <c r="O203" s="1501"/>
      <c r="P203" s="1501"/>
      <c r="Q203" s="1501"/>
      <c r="R203" s="1977"/>
      <c r="S203" s="1501"/>
      <c r="T203" s="1501"/>
      <c r="U203" s="885"/>
      <c r="V203" s="1501"/>
      <c r="W203" s="1501"/>
      <c r="X203" s="1501"/>
      <c r="Y203" s="1501"/>
      <c r="Z203" s="1501"/>
      <c r="AA203" s="1973"/>
      <c r="AB203" s="907"/>
      <c r="AC203" s="907"/>
      <c r="AD203" s="907"/>
      <c r="AE203" s="907"/>
      <c r="AF203" s="1982">
        <v>11</v>
      </c>
    </row>
    <row s="17832" customFormat="1" customHeight="1" ht="11.549999999999999">
      <c r="A204" s="1328"/>
      <c r="B204" s="1977"/>
      <c r="C204" s="1977"/>
      <c r="D204" s="692"/>
      <c r="K204" s="1501"/>
      <c r="L204" s="1977"/>
      <c r="M204" s="1977"/>
      <c r="N204" s="1501"/>
      <c r="O204" s="1501"/>
      <c r="P204" s="1501"/>
      <c r="Q204" s="1501"/>
      <c r="R204" s="1977"/>
      <c r="S204" s="1501"/>
      <c r="T204" s="1501"/>
      <c r="U204" s="885"/>
      <c r="V204" s="1501"/>
      <c r="W204" s="1501"/>
      <c r="X204" s="1501"/>
      <c r="Y204" s="1501"/>
      <c r="Z204" s="1501"/>
      <c r="AA204" s="1973"/>
      <c r="AB204" s="907"/>
      <c r="AC204" s="907"/>
      <c r="AD204" s="907"/>
      <c r="AE204" s="907"/>
      <c r="AF204" s="1982">
        <v>11</v>
      </c>
    </row>
    <row s="17832" customFormat="1" customHeight="1" ht="11.549999999999999">
      <c r="A205" s="1328"/>
      <c r="B205" s="1977"/>
      <c r="C205" s="1977"/>
      <c r="D205" s="692"/>
      <c r="K205" s="1501"/>
      <c r="L205" s="1977"/>
      <c r="M205" s="1977"/>
      <c r="N205" s="1501"/>
      <c r="O205" s="1501"/>
      <c r="P205" s="1501"/>
      <c r="Q205" s="1501"/>
      <c r="R205" s="1977"/>
      <c r="S205" s="1501"/>
      <c r="T205" s="1501"/>
      <c r="U205" s="885"/>
      <c r="V205" s="1501"/>
      <c r="W205" s="1501"/>
      <c r="X205" s="1501"/>
      <c r="Y205" s="1501"/>
      <c r="Z205" s="1501"/>
      <c r="AA205" s="1973"/>
      <c r="AB205" s="907"/>
      <c r="AC205" s="907"/>
      <c r="AD205" s="907"/>
      <c r="AE205" s="907"/>
      <c r="AF205" s="1982">
        <v>11</v>
      </c>
    </row>
    <row s="17832" customFormat="1" customHeight="1" ht="11.549999999999999">
      <c r="A206" s="1328"/>
      <c r="B206" s="1977"/>
      <c r="C206" s="1977"/>
      <c r="D206" s="692"/>
      <c r="K206" s="1501"/>
      <c r="L206" s="1977"/>
      <c r="M206" s="1977"/>
      <c r="N206" s="1501"/>
      <c r="O206" s="1501"/>
      <c r="P206" s="1501"/>
      <c r="Q206" s="1501"/>
      <c r="R206" s="1977"/>
      <c r="S206" s="1501"/>
      <c r="T206" s="1501"/>
      <c r="U206" s="885"/>
      <c r="V206" s="1501"/>
      <c r="W206" s="1501"/>
      <c r="X206" s="1501"/>
      <c r="Y206" s="1501"/>
      <c r="Z206" s="1501"/>
      <c r="AA206" s="1973"/>
      <c r="AB206" s="907"/>
      <c r="AC206" s="907"/>
      <c r="AD206" s="907"/>
      <c r="AE206" s="907"/>
      <c r="AF206" s="1982">
        <v>11</v>
      </c>
    </row>
    <row s="17832" customFormat="1" customHeight="1" ht="11.549999999999999">
      <c r="A207" s="1328"/>
      <c r="B207" s="1977"/>
      <c r="C207" s="1977"/>
      <c r="D207" s="692"/>
      <c r="K207" s="1501"/>
      <c r="L207" s="1977"/>
      <c r="M207" s="1977"/>
      <c r="N207" s="1501"/>
      <c r="O207" s="1501"/>
      <c r="P207" s="1501"/>
      <c r="Q207" s="1501"/>
      <c r="R207" s="1977"/>
      <c r="S207" s="1501"/>
      <c r="T207" s="1501"/>
      <c r="U207" s="885"/>
      <c r="V207" s="1501"/>
      <c r="W207" s="1501"/>
      <c r="X207" s="1501"/>
      <c r="Y207" s="1501"/>
      <c r="Z207" s="1501"/>
      <c r="AA207" s="1973"/>
      <c r="AB207" s="907"/>
      <c r="AC207" s="907"/>
      <c r="AD207" s="907"/>
      <c r="AE207" s="907"/>
      <c r="AF207" s="1982">
        <v>11</v>
      </c>
    </row>
    <row s="17832" customFormat="1" customHeight="1" ht="11.549999999999999">
      <c r="A208" s="1328"/>
      <c r="B208" s="1977"/>
      <c r="C208" s="1977"/>
      <c r="D208" s="692"/>
      <c r="K208" s="1501"/>
      <c r="L208" s="1977"/>
      <c r="M208" s="1977"/>
      <c r="N208" s="1501"/>
      <c r="O208" s="1501"/>
      <c r="P208" s="1501"/>
      <c r="Q208" s="1501"/>
      <c r="R208" s="1977"/>
      <c r="S208" s="1501"/>
      <c r="T208" s="1501"/>
      <c r="U208" s="885"/>
      <c r="V208" s="1501"/>
      <c r="W208" s="1501"/>
      <c r="X208" s="1501"/>
      <c r="Y208" s="1501"/>
      <c r="Z208" s="1501"/>
      <c r="AA208" s="1973"/>
      <c r="AB208" s="907"/>
      <c r="AC208" s="907"/>
      <c r="AD208" s="907"/>
      <c r="AE208" s="907"/>
      <c r="AF208" s="1982">
        <v>11</v>
      </c>
    </row>
    <row s="17832" customFormat="1" customHeight="1" ht="11.549999999999999">
      <c r="A209" s="1328"/>
      <c r="B209" s="1977"/>
      <c r="C209" s="1977"/>
      <c r="D209" s="692"/>
      <c r="K209" s="1501"/>
      <c r="L209" s="1977"/>
      <c r="M209" s="1977"/>
      <c r="N209" s="1501"/>
      <c r="O209" s="1501"/>
      <c r="P209" s="1501"/>
      <c r="Q209" s="1501"/>
      <c r="R209" s="1977"/>
      <c r="S209" s="1501"/>
      <c r="T209" s="1501"/>
      <c r="U209" s="885"/>
      <c r="V209" s="1501"/>
      <c r="W209" s="1501"/>
      <c r="X209" s="1501"/>
      <c r="Y209" s="1501"/>
      <c r="Z209" s="1501"/>
      <c r="AA209" s="1973"/>
      <c r="AB209" s="907"/>
      <c r="AC209" s="907"/>
      <c r="AD209" s="907"/>
      <c r="AE209" s="907"/>
      <c r="AF209" s="1982">
        <v>11</v>
      </c>
    </row>
    <row s="17832" customFormat="1" customHeight="1" ht="11.549999999999999">
      <c r="A210" s="1328"/>
      <c r="B210" s="1977"/>
      <c r="C210" s="1977"/>
      <c r="D210" s="692"/>
      <c r="K210" s="1501"/>
      <c r="L210" s="1977"/>
      <c r="M210" s="1977"/>
      <c r="N210" s="1501"/>
      <c r="O210" s="1501"/>
      <c r="P210" s="1501"/>
      <c r="Q210" s="1501"/>
      <c r="R210" s="1977"/>
      <c r="S210" s="1501"/>
      <c r="T210" s="1501"/>
      <c r="U210" s="885"/>
      <c r="V210" s="1501"/>
      <c r="W210" s="1501"/>
      <c r="X210" s="1501"/>
      <c r="Y210" s="1501"/>
      <c r="Z210" s="1501"/>
      <c r="AA210" s="1973"/>
      <c r="AB210" s="907"/>
      <c r="AC210" s="907"/>
      <c r="AD210" s="907"/>
      <c r="AE210" s="907"/>
      <c r="AF210" s="1982">
        <v>11</v>
      </c>
    </row>
    <row s="17832" customFormat="1" customHeight="1" ht="11.549999999999999">
      <c r="A211" s="1328"/>
      <c r="B211" s="1977"/>
      <c r="C211" s="1977"/>
      <c r="D211" s="692"/>
      <c r="K211" s="1501"/>
      <c r="L211" s="1977"/>
      <c r="M211" s="1977"/>
      <c r="N211" s="1501"/>
      <c r="O211" s="1501"/>
      <c r="P211" s="1501"/>
      <c r="Q211" s="1501"/>
      <c r="R211" s="1977"/>
      <c r="S211" s="1501"/>
      <c r="T211" s="1501"/>
      <c r="U211" s="885"/>
      <c r="V211" s="1501"/>
      <c r="W211" s="1501"/>
      <c r="X211" s="1501"/>
      <c r="Y211" s="1501"/>
      <c r="Z211" s="1501"/>
      <c r="AA211" s="1973"/>
      <c r="AB211" s="907"/>
      <c r="AC211" s="907"/>
      <c r="AD211" s="907"/>
      <c r="AE211" s="907"/>
      <c r="AF211" s="1982">
        <v>11</v>
      </c>
    </row>
    <row s="17832" customFormat="1" customHeight="1" ht="11.549999999999999">
      <c r="A212" s="1328"/>
      <c r="B212" s="1977"/>
      <c r="C212" s="1977"/>
      <c r="D212" s="692"/>
      <c r="K212" s="1501"/>
      <c r="L212" s="1977"/>
      <c r="M212" s="1977"/>
      <c r="N212" s="1501"/>
      <c r="O212" s="1501"/>
      <c r="P212" s="1501"/>
      <c r="Q212" s="1501"/>
      <c r="R212" s="1977"/>
      <c r="S212" s="1501"/>
      <c r="T212" s="1501"/>
      <c r="U212" s="885"/>
      <c r="V212" s="1501"/>
      <c r="W212" s="1501"/>
      <c r="X212" s="1501"/>
      <c r="Y212" s="1501"/>
      <c r="Z212" s="1501"/>
      <c r="AA212" s="1973"/>
      <c r="AB212" s="907"/>
      <c r="AC212" s="907"/>
      <c r="AD212" s="907"/>
      <c r="AE212" s="907"/>
      <c r="AF212" s="1982">
        <v>11</v>
      </c>
    </row>
    <row s="17832" customFormat="1" customHeight="1" ht="11.549999999999999">
      <c r="A213" s="1328"/>
      <c r="B213" s="1977"/>
      <c r="C213" s="1977"/>
      <c r="D213" s="692"/>
      <c r="K213" s="1501"/>
      <c r="L213" s="1977"/>
      <c r="M213" s="1977"/>
      <c r="N213" s="1501"/>
      <c r="O213" s="1501"/>
      <c r="P213" s="1501"/>
      <c r="Q213" s="1501"/>
      <c r="R213" s="1977"/>
      <c r="S213" s="1501"/>
      <c r="T213" s="1501"/>
      <c r="U213" s="885"/>
      <c r="V213" s="1501"/>
      <c r="W213" s="1501"/>
      <c r="X213" s="1501"/>
      <c r="Y213" s="1501"/>
      <c r="Z213" s="1501"/>
      <c r="AA213" s="1973"/>
      <c r="AB213" s="907"/>
      <c r="AC213" s="907"/>
      <c r="AD213" s="907"/>
      <c r="AE213" s="907"/>
      <c r="AF213" s="1982">
        <v>11</v>
      </c>
    </row>
    <row s="17832" customFormat="1" customHeight="1" ht="11.549999999999999">
      <c r="A214" s="1328"/>
      <c r="B214" s="1977"/>
      <c r="C214" s="1977"/>
      <c r="D214" s="692"/>
      <c r="K214" s="1501"/>
      <c r="L214" s="1977"/>
      <c r="M214" s="1977"/>
      <c r="N214" s="1501"/>
      <c r="O214" s="1501"/>
      <c r="P214" s="1501"/>
      <c r="Q214" s="1501"/>
      <c r="R214" s="1977"/>
      <c r="S214" s="1501"/>
      <c r="T214" s="1501"/>
      <c r="U214" s="885"/>
      <c r="V214" s="1501"/>
      <c r="W214" s="1501"/>
      <c r="X214" s="1501"/>
      <c r="Y214" s="1501"/>
      <c r="Z214" s="1501"/>
      <c r="AA214" s="1973"/>
      <c r="AB214" s="907"/>
      <c r="AC214" s="907"/>
      <c r="AD214" s="907"/>
      <c r="AE214" s="907"/>
      <c r="AF214" s="1982">
        <v>11</v>
      </c>
    </row>
    <row s="17832" customFormat="1" customHeight="1" ht="11.549999999999999">
      <c r="A215" s="1328"/>
      <c r="B215" s="1977"/>
      <c r="C215" s="1977"/>
      <c r="D215" s="692"/>
      <c r="K215" s="1501"/>
      <c r="L215" s="1977"/>
      <c r="M215" s="1977"/>
      <c r="N215" s="1501"/>
      <c r="O215" s="1501"/>
      <c r="P215" s="1501"/>
      <c r="Q215" s="1501"/>
      <c r="R215" s="1977"/>
      <c r="S215" s="1501"/>
      <c r="T215" s="1501"/>
      <c r="U215" s="885"/>
      <c r="V215" s="1501"/>
      <c r="W215" s="1501"/>
      <c r="X215" s="1501"/>
      <c r="Y215" s="1501"/>
      <c r="Z215" s="1501"/>
      <c r="AA215" s="1973"/>
      <c r="AB215" s="907"/>
      <c r="AC215" s="907"/>
      <c r="AD215" s="907"/>
      <c r="AE215" s="907"/>
      <c r="AF215" s="1982">
        <v>11</v>
      </c>
    </row>
    <row s="17832" customFormat="1" customHeight="1" ht="11.549999999999999">
      <c r="A216" s="1328"/>
      <c r="B216" s="1977"/>
      <c r="C216" s="1977"/>
      <c r="D216" s="692"/>
      <c r="K216" s="1501"/>
      <c r="L216" s="1977"/>
      <c r="M216" s="1977"/>
      <c r="N216" s="1501"/>
      <c r="O216" s="1501"/>
      <c r="P216" s="1501"/>
      <c r="Q216" s="1501"/>
      <c r="R216" s="1977"/>
      <c r="S216" s="1501"/>
      <c r="T216" s="1501"/>
      <c r="U216" s="885"/>
      <c r="V216" s="1501"/>
      <c r="W216" s="1501"/>
      <c r="X216" s="1501"/>
      <c r="Y216" s="1501"/>
      <c r="Z216" s="1501"/>
      <c r="AA216" s="1973"/>
      <c r="AB216" s="907"/>
      <c r="AC216" s="907"/>
      <c r="AD216" s="907"/>
      <c r="AE216" s="907"/>
      <c r="AF216" s="1982">
        <v>11</v>
      </c>
    </row>
    <row s="17832" customFormat="1" customHeight="1" ht="11.549999999999999">
      <c r="A217" s="1328"/>
      <c r="B217" s="1977"/>
      <c r="C217" s="1977"/>
      <c r="D217" s="692"/>
      <c r="K217" s="1501"/>
      <c r="L217" s="1977"/>
      <c r="M217" s="1977"/>
      <c r="N217" s="1501"/>
      <c r="O217" s="1501"/>
      <c r="P217" s="1501"/>
      <c r="Q217" s="1501"/>
      <c r="R217" s="1977"/>
      <c r="S217" s="1501"/>
      <c r="T217" s="1501"/>
      <c r="U217" s="885"/>
      <c r="V217" s="1501"/>
      <c r="W217" s="1501"/>
      <c r="X217" s="1501"/>
      <c r="Y217" s="1501"/>
      <c r="Z217" s="1501"/>
      <c r="AA217" s="1973"/>
      <c r="AB217" s="907"/>
      <c r="AC217" s="907"/>
      <c r="AD217" s="907"/>
      <c r="AE217" s="907"/>
      <c r="AF217" s="1982">
        <v>11</v>
      </c>
    </row>
    <row s="17832" customFormat="1" customHeight="1" ht="11.549999999999999">
      <c r="A218" s="1328"/>
      <c r="B218" s="1977"/>
      <c r="C218" s="1977"/>
      <c r="D218" s="692"/>
      <c r="K218" s="1501"/>
      <c r="L218" s="1977"/>
      <c r="M218" s="1977"/>
      <c r="N218" s="1501"/>
      <c r="O218" s="1501"/>
      <c r="P218" s="1501"/>
      <c r="Q218" s="1501"/>
      <c r="R218" s="1977"/>
      <c r="S218" s="1501"/>
      <c r="T218" s="1501"/>
      <c r="U218" s="885"/>
      <c r="V218" s="1501"/>
      <c r="W218" s="1501"/>
      <c r="X218" s="1501"/>
      <c r="Y218" s="1501"/>
      <c r="Z218" s="1501"/>
      <c r="AA218" s="1973"/>
      <c r="AB218" s="907"/>
      <c r="AC218" s="907"/>
      <c r="AD218" s="907"/>
      <c r="AE218" s="907"/>
      <c r="AF218" s="1982">
        <v>11</v>
      </c>
    </row>
    <row s="17832" customFormat="1" customHeight="1" ht="11.549999999999999">
      <c r="A219" s="1328"/>
      <c r="B219" s="1977"/>
      <c r="C219" s="1977"/>
      <c r="D219" s="692"/>
      <c r="K219" s="1501"/>
      <c r="L219" s="1977"/>
      <c r="M219" s="1977"/>
      <c r="N219" s="1501"/>
      <c r="O219" s="1501"/>
      <c r="P219" s="1501"/>
      <c r="Q219" s="1501"/>
      <c r="R219" s="1977"/>
      <c r="S219" s="1501"/>
      <c r="T219" s="1501"/>
      <c r="U219" s="885"/>
      <c r="V219" s="1501"/>
      <c r="W219" s="1501"/>
      <c r="X219" s="1501"/>
      <c r="Y219" s="1501"/>
      <c r="Z219" s="1501"/>
      <c r="AA219" s="1973"/>
      <c r="AB219" s="907"/>
      <c r="AC219" s="907"/>
      <c r="AD219" s="907"/>
      <c r="AE219" s="907"/>
      <c r="AF219" s="1982">
        <v>11</v>
      </c>
    </row>
    <row s="17832" customFormat="1" customHeight="1" ht="11.549999999999999">
      <c r="A220" s="1328"/>
      <c r="B220" s="1977"/>
      <c r="C220" s="1977"/>
      <c r="D220" s="692"/>
      <c r="K220" s="1501"/>
      <c r="L220" s="1977"/>
      <c r="M220" s="1977"/>
      <c r="N220" s="1501"/>
      <c r="O220" s="1501"/>
      <c r="P220" s="1501"/>
      <c r="Q220" s="1501"/>
      <c r="R220" s="1977"/>
      <c r="S220" s="1501"/>
      <c r="T220" s="1501"/>
      <c r="U220" s="885"/>
      <c r="V220" s="1501"/>
      <c r="W220" s="1501"/>
      <c r="X220" s="1501"/>
      <c r="Y220" s="1501"/>
      <c r="Z220" s="1501"/>
      <c r="AA220" s="1973"/>
      <c r="AB220" s="907"/>
      <c r="AC220" s="907"/>
      <c r="AD220" s="907"/>
      <c r="AE220" s="907"/>
      <c r="AF220" s="1982">
        <v>11</v>
      </c>
    </row>
    <row s="17832" customFormat="1" customHeight="1" ht="11.549999999999999">
      <c r="A221" s="1328"/>
      <c r="B221" s="1977"/>
      <c r="C221" s="1977"/>
      <c r="D221" s="692"/>
      <c r="K221" s="1501"/>
      <c r="L221" s="1977"/>
      <c r="M221" s="1977"/>
      <c r="N221" s="1501"/>
      <c r="O221" s="1501"/>
      <c r="P221" s="1501"/>
      <c r="Q221" s="1501"/>
      <c r="R221" s="1977"/>
      <c r="S221" s="1501"/>
      <c r="T221" s="1501"/>
      <c r="U221" s="885"/>
      <c r="V221" s="1501"/>
      <c r="W221" s="1501"/>
      <c r="X221" s="1501"/>
      <c r="Y221" s="1501"/>
      <c r="Z221" s="1501"/>
      <c r="AA221" s="1973"/>
      <c r="AB221" s="907"/>
      <c r="AC221" s="907"/>
      <c r="AD221" s="907"/>
      <c r="AE221" s="907"/>
      <c r="AF221" s="1982">
        <v>11</v>
      </c>
    </row>
    <row s="17832" customFormat="1" customHeight="1" ht="11.549999999999999">
      <c r="A222" s="1328"/>
      <c r="B222" s="1977"/>
      <c r="C222" s="1977"/>
      <c r="D222" s="692"/>
      <c r="K222" s="1501"/>
      <c r="L222" s="1977"/>
      <c r="M222" s="1977"/>
      <c r="N222" s="1501"/>
      <c r="O222" s="1501"/>
      <c r="P222" s="1501"/>
      <c r="Q222" s="1501"/>
      <c r="R222" s="1977"/>
      <c r="S222" s="1501"/>
      <c r="T222" s="1501"/>
      <c r="U222" s="885"/>
      <c r="V222" s="1501"/>
      <c r="W222" s="1501"/>
      <c r="X222" s="1501"/>
      <c r="Y222" s="1501"/>
      <c r="Z222" s="1501"/>
      <c r="AA222" s="1973"/>
      <c r="AB222" s="907"/>
      <c r="AC222" s="907"/>
      <c r="AD222" s="907"/>
      <c r="AE222" s="907"/>
      <c r="AF222" s="1982">
        <v>11</v>
      </c>
    </row>
    <row s="17832" customFormat="1" customHeight="1" ht="11.549999999999999">
      <c r="A223" s="1328"/>
      <c r="B223" s="1977"/>
      <c r="C223" s="1977"/>
      <c r="D223" s="692"/>
      <c r="K223" s="1501"/>
      <c r="L223" s="1977"/>
      <c r="M223" s="1977"/>
      <c r="N223" s="1501"/>
      <c r="O223" s="1501"/>
      <c r="P223" s="1501"/>
      <c r="Q223" s="1501"/>
      <c r="R223" s="1977"/>
      <c r="S223" s="1501"/>
      <c r="T223" s="1501"/>
      <c r="U223" s="885"/>
      <c r="V223" s="1501"/>
      <c r="W223" s="1501"/>
      <c r="X223" s="1501"/>
      <c r="Y223" s="1501"/>
      <c r="Z223" s="1501"/>
      <c r="AA223" s="1973"/>
      <c r="AB223" s="907"/>
      <c r="AC223" s="907"/>
      <c r="AD223" s="907"/>
      <c r="AE223" s="907"/>
      <c r="AF223" s="1982">
        <v>11</v>
      </c>
    </row>
    <row s="17832" customFormat="1" customHeight="1" ht="11.549999999999999">
      <c r="A224" s="1328"/>
      <c r="B224" s="1977"/>
      <c r="C224" s="1977"/>
      <c r="D224" s="692"/>
      <c r="K224" s="1501"/>
      <c r="L224" s="1977"/>
      <c r="M224" s="1977"/>
      <c r="N224" s="1501"/>
      <c r="O224" s="1501"/>
      <c r="P224" s="1501"/>
      <c r="Q224" s="1501"/>
      <c r="R224" s="1977"/>
      <c r="S224" s="1501"/>
      <c r="T224" s="1501"/>
      <c r="U224" s="885"/>
      <c r="V224" s="1501"/>
      <c r="W224" s="1501"/>
      <c r="X224" s="1501"/>
      <c r="Y224" s="1501"/>
      <c r="Z224" s="1501"/>
      <c r="AA224" s="1973"/>
      <c r="AB224" s="907"/>
      <c r="AC224" s="907"/>
      <c r="AD224" s="907"/>
      <c r="AE224" s="907"/>
      <c r="AF224" s="1982">
        <v>11</v>
      </c>
    </row>
    <row s="17832" customFormat="1" customHeight="1" ht="11.549999999999999">
      <c r="A225" s="1328"/>
      <c r="B225" s="1977"/>
      <c r="C225" s="1977"/>
      <c r="D225" s="692"/>
      <c r="K225" s="1501"/>
      <c r="L225" s="1977"/>
      <c r="M225" s="1977"/>
      <c r="N225" s="1501"/>
      <c r="O225" s="1501"/>
      <c r="P225" s="1501"/>
      <c r="Q225" s="1501"/>
      <c r="R225" s="1977"/>
      <c r="S225" s="1501"/>
      <c r="T225" s="1501"/>
      <c r="U225" s="885"/>
      <c r="V225" s="1501"/>
      <c r="W225" s="1501"/>
      <c r="X225" s="1501"/>
      <c r="Y225" s="1501"/>
      <c r="Z225" s="1501"/>
      <c r="AA225" s="1973"/>
      <c r="AB225" s="907"/>
      <c r="AC225" s="907"/>
      <c r="AD225" s="907"/>
      <c r="AE225" s="907"/>
      <c r="AF225" s="1982">
        <v>11</v>
      </c>
    </row>
    <row s="17832" customFormat="1" customHeight="1" ht="11.549999999999999">
      <c r="A226" s="1328"/>
      <c r="B226" s="1977"/>
      <c r="C226" s="1977"/>
      <c r="D226" s="692"/>
      <c r="K226" s="1501"/>
      <c r="L226" s="1977"/>
      <c r="M226" s="1977"/>
      <c r="N226" s="1501"/>
      <c r="O226" s="1501"/>
      <c r="P226" s="1501"/>
      <c r="Q226" s="1501"/>
      <c r="R226" s="1977"/>
      <c r="S226" s="1501"/>
      <c r="T226" s="1501"/>
      <c r="U226" s="885"/>
      <c r="V226" s="1501"/>
      <c r="W226" s="1501"/>
      <c r="X226" s="1501"/>
      <c r="Y226" s="1501"/>
      <c r="Z226" s="1501"/>
      <c r="AA226" s="1973"/>
      <c r="AB226" s="907"/>
      <c r="AC226" s="907"/>
      <c r="AD226" s="907"/>
      <c r="AE226" s="907"/>
      <c r="AF226" s="1982">
        <v>11</v>
      </c>
    </row>
    <row s="17832" customFormat="1" customHeight="1" ht="11.549999999999999">
      <c r="A227" s="1328"/>
      <c r="B227" s="1977"/>
      <c r="C227" s="1977"/>
      <c r="D227" s="692"/>
      <c r="K227" s="1501"/>
      <c r="L227" s="1977"/>
      <c r="M227" s="1977"/>
      <c r="N227" s="1501"/>
      <c r="O227" s="1501"/>
      <c r="P227" s="1501"/>
      <c r="Q227" s="1501"/>
      <c r="R227" s="1977"/>
      <c r="S227" s="1501"/>
      <c r="T227" s="1501"/>
      <c r="U227" s="885"/>
      <c r="V227" s="1501"/>
      <c r="W227" s="1501"/>
      <c r="X227" s="1501"/>
      <c r="Y227" s="1501"/>
      <c r="Z227" s="1501"/>
      <c r="AA227" s="1973"/>
      <c r="AB227" s="907"/>
      <c r="AC227" s="907"/>
      <c r="AD227" s="907"/>
      <c r="AE227" s="907"/>
      <c r="AF227" s="1982">
        <v>11</v>
      </c>
    </row>
    <row s="17832" customFormat="1" customHeight="1" ht="11.549999999999999">
      <c r="A228" s="1328"/>
      <c r="B228" s="1977"/>
      <c r="C228" s="1977"/>
      <c r="D228" s="692"/>
      <c r="K228" s="1501"/>
      <c r="L228" s="1977"/>
      <c r="M228" s="1977"/>
      <c r="N228" s="1501"/>
      <c r="O228" s="1501"/>
      <c r="P228" s="1501"/>
      <c r="Q228" s="1501"/>
      <c r="R228" s="1977"/>
      <c r="S228" s="1501"/>
      <c r="T228" s="1501"/>
      <c r="U228" s="885"/>
      <c r="V228" s="1501"/>
      <c r="W228" s="1501"/>
      <c r="X228" s="1501"/>
      <c r="Y228" s="1501"/>
      <c r="Z228" s="1501"/>
      <c r="AA228" s="1973"/>
      <c r="AB228" s="907"/>
      <c r="AC228" s="907"/>
      <c r="AD228" s="907"/>
      <c r="AE228" s="907"/>
      <c r="AF228" s="1982">
        <v>11</v>
      </c>
    </row>
    <row s="17832" customFormat="1" customHeight="1" ht="11.549999999999999">
      <c r="A229" s="1328"/>
      <c r="B229" s="1977"/>
      <c r="C229" s="1977"/>
      <c r="D229" s="692"/>
      <c r="K229" s="1501"/>
      <c r="L229" s="1977"/>
      <c r="M229" s="1977"/>
      <c r="N229" s="1501"/>
      <c r="O229" s="1501"/>
      <c r="P229" s="1501"/>
      <c r="Q229" s="1501"/>
      <c r="R229" s="1977"/>
      <c r="S229" s="1501"/>
      <c r="T229" s="1501"/>
      <c r="U229" s="885"/>
      <c r="V229" s="1501"/>
      <c r="W229" s="1501"/>
      <c r="X229" s="1501"/>
      <c r="Y229" s="1501"/>
      <c r="Z229" s="1501"/>
      <c r="AA229" s="1973"/>
      <c r="AB229" s="907"/>
      <c r="AC229" s="907"/>
      <c r="AD229" s="907"/>
      <c r="AE229" s="907"/>
      <c r="AF229" s="1982">
        <v>11</v>
      </c>
    </row>
    <row s="17832" customFormat="1" customHeight="1" ht="11.549999999999999">
      <c r="A230" s="1328"/>
      <c r="B230" s="1977"/>
      <c r="C230" s="1977"/>
      <c r="D230" s="692"/>
      <c r="K230" s="1501"/>
      <c r="L230" s="1977"/>
      <c r="M230" s="1977"/>
      <c r="N230" s="1501"/>
      <c r="O230" s="1501"/>
      <c r="P230" s="1501"/>
      <c r="Q230" s="1501"/>
      <c r="R230" s="1977"/>
      <c r="S230" s="1501"/>
      <c r="T230" s="1501"/>
      <c r="U230" s="885"/>
      <c r="V230" s="1501"/>
      <c r="W230" s="1501"/>
      <c r="X230" s="1501"/>
      <c r="Y230" s="1501"/>
      <c r="Z230" s="1501"/>
      <c r="AA230" s="1973"/>
      <c r="AB230" s="907"/>
      <c r="AC230" s="907"/>
      <c r="AD230" s="907"/>
      <c r="AE230" s="907"/>
      <c r="AF230" s="1982">
        <v>11</v>
      </c>
    </row>
    <row s="17832" customFormat="1" customHeight="1" ht="11.549999999999999">
      <c r="A231" s="1328"/>
      <c r="B231" s="1977"/>
      <c r="C231" s="1977"/>
      <c r="D231" s="692"/>
      <c r="K231" s="1501"/>
      <c r="L231" s="1977"/>
      <c r="M231" s="1977"/>
      <c r="N231" s="1501"/>
      <c r="O231" s="1501"/>
      <c r="P231" s="1501"/>
      <c r="Q231" s="1501"/>
      <c r="R231" s="1977"/>
      <c r="S231" s="1501"/>
      <c r="T231" s="1501"/>
      <c r="U231" s="885"/>
      <c r="V231" s="1501"/>
      <c r="W231" s="1501"/>
      <c r="X231" s="1501"/>
      <c r="Y231" s="1501"/>
      <c r="Z231" s="1501"/>
      <c r="AA231" s="1973"/>
      <c r="AB231" s="907"/>
      <c r="AC231" s="907"/>
      <c r="AD231" s="907"/>
      <c r="AE231" s="907"/>
      <c r="AF231" s="1982">
        <v>11</v>
      </c>
    </row>
    <row s="17832" customFormat="1" customHeight="1" ht="11.549999999999999">
      <c r="A232" s="1328"/>
      <c r="B232" s="1977"/>
      <c r="C232" s="1977"/>
      <c r="D232" s="692"/>
      <c r="K232" s="1501"/>
      <c r="L232" s="1977"/>
      <c r="M232" s="1977"/>
      <c r="N232" s="1501"/>
      <c r="O232" s="1501"/>
      <c r="P232" s="1501"/>
      <c r="Q232" s="1501"/>
      <c r="R232" s="1977"/>
      <c r="S232" s="1501"/>
      <c r="T232" s="1501"/>
      <c r="U232" s="885"/>
      <c r="V232" s="1501"/>
      <c r="W232" s="1501"/>
      <c r="X232" s="1501"/>
      <c r="Y232" s="1501"/>
      <c r="Z232" s="1501"/>
      <c r="AA232" s="1973"/>
      <c r="AB232" s="907"/>
      <c r="AC232" s="907"/>
      <c r="AD232" s="907"/>
      <c r="AE232" s="907"/>
      <c r="AF232" s="1982">
        <v>11</v>
      </c>
    </row>
    <row s="17832" customFormat="1" customHeight="1" ht="11.549999999999999">
      <c r="A233" s="1328"/>
      <c r="B233" s="1977"/>
      <c r="C233" s="1977"/>
      <c r="D233" s="692"/>
      <c r="K233" s="1501"/>
      <c r="L233" s="1977"/>
      <c r="M233" s="1977"/>
      <c r="N233" s="1501"/>
      <c r="O233" s="1501"/>
      <c r="P233" s="1501"/>
      <c r="Q233" s="1501"/>
      <c r="R233" s="1977"/>
      <c r="S233" s="1501"/>
      <c r="T233" s="1501"/>
      <c r="U233" s="885"/>
      <c r="V233" s="1501"/>
      <c r="W233" s="1501"/>
      <c r="X233" s="1501"/>
      <c r="Y233" s="1501"/>
      <c r="Z233" s="1501"/>
      <c r="AA233" s="1973"/>
      <c r="AB233" s="907"/>
      <c r="AC233" s="907"/>
      <c r="AD233" s="907"/>
      <c r="AE233" s="907"/>
      <c r="AF233" s="1982">
        <v>11</v>
      </c>
    </row>
    <row s="17832" customFormat="1" customHeight="1" ht="11.549999999999999">
      <c r="A234" s="1328"/>
      <c r="B234" s="1977"/>
      <c r="C234" s="1977"/>
      <c r="D234" s="692"/>
      <c r="K234" s="1501"/>
      <c r="L234" s="1977"/>
      <c r="M234" s="1977"/>
      <c r="N234" s="1501"/>
      <c r="O234" s="1501"/>
      <c r="P234" s="1501"/>
      <c r="Q234" s="1501"/>
      <c r="R234" s="1977"/>
      <c r="S234" s="1501"/>
      <c r="T234" s="1501"/>
      <c r="U234" s="885"/>
      <c r="V234" s="1501"/>
      <c r="W234" s="1501"/>
      <c r="X234" s="1501"/>
      <c r="Y234" s="1501"/>
      <c r="Z234" s="1501"/>
      <c r="AA234" s="1973"/>
      <c r="AB234" s="907"/>
      <c r="AC234" s="907"/>
      <c r="AD234" s="907"/>
      <c r="AE234" s="907"/>
      <c r="AF234" s="1982">
        <v>11</v>
      </c>
    </row>
    <row s="17832" customFormat="1" customHeight="1" ht="11.549999999999999">
      <c r="A235" s="1328"/>
      <c r="B235" s="1977"/>
      <c r="C235" s="1977"/>
      <c r="D235" s="692"/>
      <c r="K235" s="1501"/>
      <c r="L235" s="1977"/>
      <c r="M235" s="1977"/>
      <c r="N235" s="1501"/>
      <c r="O235" s="1501"/>
      <c r="P235" s="1501"/>
      <c r="Q235" s="1501"/>
      <c r="R235" s="1977"/>
      <c r="S235" s="1501"/>
      <c r="T235" s="1501"/>
      <c r="U235" s="885"/>
      <c r="V235" s="1501"/>
      <c r="W235" s="1501"/>
      <c r="X235" s="1501"/>
      <c r="Y235" s="1501"/>
      <c r="Z235" s="1501"/>
      <c r="AA235" s="1973"/>
      <c r="AB235" s="907"/>
      <c r="AC235" s="907"/>
      <c r="AD235" s="907"/>
      <c r="AE235" s="907"/>
      <c r="AF235" s="1982">
        <v>11</v>
      </c>
    </row>
    <row s="17832" customFormat="1" customHeight="1" ht="11.549999999999999">
      <c r="A236" s="1328"/>
      <c r="B236" s="1977"/>
      <c r="C236" s="1977"/>
      <c r="D236" s="692"/>
      <c r="K236" s="1501"/>
      <c r="L236" s="1977"/>
      <c r="M236" s="1977"/>
      <c r="N236" s="1501"/>
      <c r="O236" s="1501"/>
      <c r="P236" s="1501"/>
      <c r="Q236" s="1501"/>
      <c r="R236" s="1977"/>
      <c r="S236" s="1501"/>
      <c r="T236" s="1501"/>
      <c r="U236" s="885"/>
      <c r="V236" s="1501"/>
      <c r="W236" s="1501"/>
      <c r="X236" s="1501"/>
      <c r="Y236" s="1501"/>
      <c r="Z236" s="1501"/>
      <c r="AA236" s="1973"/>
      <c r="AB236" s="907"/>
      <c r="AC236" s="907"/>
      <c r="AD236" s="907"/>
      <c r="AE236" s="907"/>
      <c r="AF236" s="1982">
        <v>11</v>
      </c>
    </row>
    <row s="17832" customFormat="1" customHeight="1" ht="11.549999999999999">
      <c r="A237" s="1328"/>
      <c r="B237" s="1977"/>
      <c r="C237" s="1977"/>
      <c r="D237" s="692"/>
      <c r="K237" s="1501"/>
      <c r="L237" s="1977"/>
      <c r="M237" s="1977"/>
      <c r="N237" s="1501"/>
      <c r="O237" s="1501"/>
      <c r="P237" s="1501"/>
      <c r="Q237" s="1501"/>
      <c r="R237" s="1977"/>
      <c r="S237" s="1501"/>
      <c r="T237" s="1501"/>
      <c r="U237" s="885"/>
      <c r="V237" s="1501"/>
      <c r="W237" s="1501"/>
      <c r="X237" s="1501"/>
      <c r="Y237" s="1501"/>
      <c r="Z237" s="1501"/>
      <c r="AA237" s="1973"/>
      <c r="AB237" s="907"/>
      <c r="AC237" s="907"/>
      <c r="AD237" s="907"/>
      <c r="AE237" s="907"/>
      <c r="AF237" s="1982">
        <v>11</v>
      </c>
    </row>
    <row s="17832" customFormat="1" customHeight="1" ht="11.549999999999999">
      <c r="A238" s="1328"/>
      <c r="B238" s="1977"/>
      <c r="C238" s="1977"/>
      <c r="D238" s="692"/>
      <c r="K238" s="1501"/>
      <c r="L238" s="1977"/>
      <c r="M238" s="1977"/>
      <c r="N238" s="1501"/>
      <c r="O238" s="1501"/>
      <c r="P238" s="1501"/>
      <c r="Q238" s="1501"/>
      <c r="R238" s="1977"/>
      <c r="S238" s="1501"/>
      <c r="T238" s="1501"/>
      <c r="U238" s="885"/>
      <c r="V238" s="1501"/>
      <c r="W238" s="1501"/>
      <c r="X238" s="1501"/>
      <c r="Y238" s="1501"/>
      <c r="Z238" s="1501"/>
      <c r="AA238" s="1973"/>
      <c r="AB238" s="907"/>
      <c r="AC238" s="907"/>
      <c r="AD238" s="907"/>
      <c r="AE238" s="907"/>
      <c r="AF238" s="1982">
        <v>11</v>
      </c>
    </row>
    <row s="17832" customFormat="1" customHeight="1" ht="11.549999999999999">
      <c r="A239" s="1328"/>
      <c r="B239" s="1977"/>
      <c r="C239" s="1977"/>
      <c r="D239" s="692"/>
      <c r="K239" s="1501"/>
      <c r="L239" s="1977"/>
      <c r="M239" s="1977"/>
      <c r="N239" s="1501"/>
      <c r="O239" s="1501"/>
      <c r="P239" s="1501"/>
      <c r="Q239" s="1501"/>
      <c r="R239" s="1977"/>
      <c r="S239" s="1501"/>
      <c r="T239" s="1501"/>
      <c r="U239" s="885"/>
      <c r="V239" s="1501"/>
      <c r="W239" s="1501"/>
      <c r="X239" s="1501"/>
      <c r="Y239" s="1501"/>
      <c r="Z239" s="1501"/>
      <c r="AA239" s="1973"/>
      <c r="AB239" s="907"/>
      <c r="AC239" s="907"/>
      <c r="AD239" s="907"/>
      <c r="AE239" s="907"/>
      <c r="AF239" s="1982">
        <v>11</v>
      </c>
    </row>
    <row s="17832" customFormat="1" customHeight="1" ht="11.549999999999999">
      <c r="A240" s="1328"/>
      <c r="B240" s="1977"/>
      <c r="C240" s="1977"/>
      <c r="D240" s="692"/>
      <c r="K240" s="1501"/>
      <c r="L240" s="1977"/>
      <c r="M240" s="1977"/>
      <c r="N240" s="1501"/>
      <c r="O240" s="1501"/>
      <c r="P240" s="1501"/>
      <c r="Q240" s="1501"/>
      <c r="R240" s="1977"/>
      <c r="S240" s="1501"/>
      <c r="T240" s="1501"/>
      <c r="U240" s="885"/>
      <c r="V240" s="1501"/>
      <c r="W240" s="1501"/>
      <c r="X240" s="1501"/>
      <c r="Y240" s="1501"/>
      <c r="Z240" s="1501"/>
      <c r="AA240" s="1973"/>
      <c r="AB240" s="907"/>
      <c r="AC240" s="907"/>
      <c r="AD240" s="907"/>
      <c r="AE240" s="907"/>
      <c r="AF240" s="1982">
        <v>11</v>
      </c>
    </row>
    <row s="17832" customFormat="1" customHeight="1" ht="11.549999999999999">
      <c r="A241" s="1328"/>
      <c r="B241" s="1977"/>
      <c r="C241" s="1977"/>
      <c r="D241" s="692"/>
      <c r="K241" s="1501"/>
      <c r="L241" s="1977"/>
      <c r="M241" s="1977"/>
      <c r="N241" s="1501"/>
      <c r="O241" s="1501"/>
      <c r="P241" s="1501"/>
      <c r="Q241" s="1501"/>
      <c r="R241" s="1977"/>
      <c r="S241" s="1501"/>
      <c r="T241" s="1501"/>
      <c r="U241" s="885"/>
      <c r="V241" s="1501"/>
      <c r="W241" s="1501"/>
      <c r="X241" s="1501"/>
      <c r="Y241" s="1501"/>
      <c r="Z241" s="1501"/>
      <c r="AA241" s="1973"/>
      <c r="AB241" s="907"/>
      <c r="AC241" s="907"/>
      <c r="AD241" s="907"/>
      <c r="AE241" s="907"/>
      <c r="AF241" s="1982">
        <v>11</v>
      </c>
    </row>
    <row s="17832" customFormat="1" customHeight="1" ht="11.549999999999999">
      <c r="A242" s="1328"/>
      <c r="B242" s="1977"/>
      <c r="C242" s="1977"/>
      <c r="D242" s="692"/>
      <c r="K242" s="1501"/>
      <c r="L242" s="1977"/>
      <c r="M242" s="1977"/>
      <c r="N242" s="1501"/>
      <c r="O242" s="1501"/>
      <c r="P242" s="1501"/>
      <c r="Q242" s="1501"/>
      <c r="R242" s="1977"/>
      <c r="S242" s="1501"/>
      <c r="T242" s="1501"/>
      <c r="U242" s="885"/>
      <c r="V242" s="1501"/>
      <c r="W242" s="1501"/>
      <c r="X242" s="1501"/>
      <c r="Y242" s="1501"/>
      <c r="Z242" s="1501"/>
      <c r="AA242" s="1973"/>
      <c r="AB242" s="907"/>
      <c r="AC242" s="907"/>
      <c r="AD242" s="907"/>
      <c r="AE242" s="907"/>
      <c r="AF242" s="1982">
        <v>11</v>
      </c>
    </row>
    <row s="17832" customFormat="1" customHeight="1" ht="11.549999999999999">
      <c r="A243" s="1328"/>
      <c r="B243" s="1977"/>
      <c r="C243" s="1977"/>
      <c r="D243" s="692"/>
      <c r="K243" s="1501"/>
      <c r="L243" s="1977"/>
      <c r="M243" s="1977"/>
      <c r="N243" s="1501"/>
      <c r="O243" s="1501"/>
      <c r="P243" s="1501"/>
      <c r="Q243" s="1501"/>
      <c r="R243" s="1977"/>
      <c r="S243" s="1501"/>
      <c r="T243" s="1501"/>
      <c r="U243" s="885"/>
      <c r="V243" s="1501"/>
      <c r="W243" s="1501"/>
      <c r="X243" s="1501"/>
      <c r="Y243" s="1501"/>
      <c r="Z243" s="1501"/>
      <c r="AA243" s="1973"/>
      <c r="AB243" s="907"/>
      <c r="AC243" s="907"/>
      <c r="AD243" s="907"/>
      <c r="AE243" s="907"/>
      <c r="AF243" s="1982">
        <v>11</v>
      </c>
    </row>
    <row s="17832" customFormat="1" customHeight="1" ht="11.549999999999999">
      <c r="A244" s="1328"/>
      <c r="B244" s="1977"/>
      <c r="C244" s="1977"/>
      <c r="D244" s="692"/>
      <c r="K244" s="1501"/>
      <c r="L244" s="1977"/>
      <c r="M244" s="1977"/>
      <c r="N244" s="1501"/>
      <c r="O244" s="1501"/>
      <c r="P244" s="1501"/>
      <c r="Q244" s="1501"/>
      <c r="R244" s="1977"/>
      <c r="S244" s="1501"/>
      <c r="T244" s="1501"/>
      <c r="U244" s="885"/>
      <c r="V244" s="1501"/>
      <c r="W244" s="1501"/>
      <c r="X244" s="1501"/>
      <c r="Y244" s="1501"/>
      <c r="Z244" s="1501"/>
      <c r="AA244" s="1973"/>
      <c r="AB244" s="907"/>
      <c r="AC244" s="907"/>
      <c r="AD244" s="907"/>
      <c r="AE244" s="907"/>
      <c r="AF244" s="1982">
        <v>11</v>
      </c>
    </row>
    <row s="17832" customFormat="1" customHeight="1" ht="11.549999999999999">
      <c r="A245" s="1328"/>
      <c r="B245" s="1977"/>
      <c r="C245" s="1977"/>
      <c r="D245" s="692"/>
      <c r="K245" s="1501"/>
      <c r="L245" s="1977"/>
      <c r="M245" s="1977"/>
      <c r="N245" s="1501"/>
      <c r="O245" s="1501"/>
      <c r="P245" s="1501"/>
      <c r="Q245" s="1501"/>
      <c r="R245" s="1977"/>
      <c r="S245" s="1501"/>
      <c r="T245" s="1501"/>
      <c r="U245" s="885"/>
      <c r="V245" s="1501"/>
      <c r="W245" s="1501"/>
      <c r="X245" s="1501"/>
      <c r="Y245" s="1501"/>
      <c r="Z245" s="1501"/>
      <c r="AA245" s="1973"/>
      <c r="AB245" s="907"/>
      <c r="AC245" s="907"/>
      <c r="AD245" s="907"/>
      <c r="AE245" s="907"/>
      <c r="AF245" s="1982">
        <v>11</v>
      </c>
    </row>
    <row s="17832" customFormat="1" customHeight="1" ht="11.549999999999999">
      <c r="A246" s="1328"/>
      <c r="B246" s="1977"/>
      <c r="C246" s="1977"/>
      <c r="D246" s="692"/>
      <c r="K246" s="1501"/>
      <c r="L246" s="1977"/>
      <c r="M246" s="1977"/>
      <c r="N246" s="1501"/>
      <c r="O246" s="1501"/>
      <c r="P246" s="1501"/>
      <c r="Q246" s="1501"/>
      <c r="R246" s="1977"/>
      <c r="S246" s="1501"/>
      <c r="T246" s="1501"/>
      <c r="U246" s="885"/>
      <c r="V246" s="1501"/>
      <c r="W246" s="1501"/>
      <c r="X246" s="1501"/>
      <c r="Y246" s="1501"/>
      <c r="Z246" s="1501"/>
      <c r="AA246" s="1973"/>
      <c r="AB246" s="907"/>
      <c r="AC246" s="907"/>
      <c r="AD246" s="907"/>
      <c r="AE246" s="907"/>
      <c r="AF246" s="1982">
        <v>11</v>
      </c>
    </row>
    <row s="17832" customFormat="1" customHeight="1" ht="11.549999999999999">
      <c r="A247" s="1328"/>
      <c r="B247" s="1977"/>
      <c r="C247" s="1977"/>
      <c r="D247" s="692"/>
      <c r="K247" s="1501"/>
      <c r="L247" s="1977"/>
      <c r="M247" s="1977"/>
      <c r="N247" s="1501"/>
      <c r="O247" s="1501"/>
      <c r="P247" s="1501"/>
      <c r="Q247" s="1501"/>
      <c r="R247" s="1977"/>
      <c r="S247" s="1501"/>
      <c r="T247" s="1501"/>
      <c r="U247" s="885"/>
      <c r="V247" s="1501"/>
      <c r="W247" s="1501"/>
      <c r="X247" s="1501"/>
      <c r="Y247" s="1501"/>
      <c r="Z247" s="1501"/>
      <c r="AA247" s="1973"/>
      <c r="AB247" s="907"/>
      <c r="AC247" s="907"/>
      <c r="AD247" s="907"/>
      <c r="AE247" s="907"/>
      <c r="AF247" s="1982">
        <v>11</v>
      </c>
    </row>
    <row s="17832" customFormat="1" customHeight="1" ht="11.549999999999999">
      <c r="A248" s="1328"/>
      <c r="B248" s="1977"/>
      <c r="C248" s="1977"/>
      <c r="D248" s="692"/>
      <c r="K248" s="1501"/>
      <c r="L248" s="1977"/>
      <c r="M248" s="1977"/>
      <c r="N248" s="1501"/>
      <c r="O248" s="1501"/>
      <c r="P248" s="1501"/>
      <c r="Q248" s="1501"/>
      <c r="R248" s="1977"/>
      <c r="S248" s="1501"/>
      <c r="T248" s="1501"/>
      <c r="U248" s="885"/>
      <c r="V248" s="1501"/>
      <c r="W248" s="1501"/>
      <c r="X248" s="1501"/>
      <c r="Y248" s="1501"/>
      <c r="Z248" s="1501"/>
      <c r="AA248" s="1973"/>
      <c r="AB248" s="907"/>
      <c r="AC248" s="907"/>
      <c r="AD248" s="907"/>
      <c r="AE248" s="907"/>
      <c r="AF248" s="1982">
        <v>11</v>
      </c>
    </row>
    <row s="17832" customFormat="1" customHeight="1" ht="11.549999999999999">
      <c r="A249" s="1328"/>
      <c r="B249" s="1977"/>
      <c r="C249" s="1977"/>
      <c r="D249" s="692"/>
      <c r="K249" s="1501"/>
      <c r="L249" s="1977"/>
      <c r="M249" s="1977"/>
      <c r="N249" s="1501"/>
      <c r="O249" s="1501"/>
      <c r="P249" s="1501"/>
      <c r="Q249" s="1501"/>
      <c r="R249" s="1977"/>
      <c r="S249" s="1501"/>
      <c r="T249" s="1501"/>
      <c r="U249" s="885"/>
      <c r="V249" s="1501"/>
      <c r="W249" s="1501"/>
      <c r="X249" s="1501"/>
      <c r="Y249" s="1501"/>
      <c r="Z249" s="1501"/>
      <c r="AA249" s="1973"/>
      <c r="AB249" s="907"/>
      <c r="AC249" s="907"/>
      <c r="AD249" s="907"/>
      <c r="AE249" s="907"/>
      <c r="AF249" s="1982">
        <v>11</v>
      </c>
    </row>
    <row s="17832" customFormat="1" customHeight="1" ht="11.549999999999999">
      <c r="A250" s="1328"/>
      <c r="B250" s="1977"/>
      <c r="C250" s="1977"/>
      <c r="D250" s="692"/>
      <c r="K250" s="1501"/>
      <c r="L250" s="1977"/>
      <c r="M250" s="1977"/>
      <c r="N250" s="1501"/>
      <c r="O250" s="1501"/>
      <c r="P250" s="1501"/>
      <c r="Q250" s="1501"/>
      <c r="R250" s="1977"/>
      <c r="S250" s="1501"/>
      <c r="T250" s="1501"/>
      <c r="U250" s="885"/>
      <c r="V250" s="1501"/>
      <c r="W250" s="1501"/>
      <c r="X250" s="1501"/>
      <c r="Y250" s="1501"/>
      <c r="Z250" s="1501"/>
      <c r="AA250" s="1973"/>
      <c r="AB250" s="907"/>
      <c r="AC250" s="907"/>
      <c r="AD250" s="907"/>
      <c r="AE250" s="907"/>
      <c r="AF250" s="1982">
        <v>11</v>
      </c>
    </row>
    <row s="17832" customFormat="1" customHeight="1" ht="11.549999999999999">
      <c r="A251" s="1328"/>
      <c r="B251" s="1977"/>
      <c r="C251" s="1977"/>
      <c r="D251" s="692"/>
      <c r="K251" s="1501"/>
      <c r="L251" s="1977"/>
      <c r="M251" s="1977"/>
      <c r="N251" s="1501"/>
      <c r="O251" s="1501"/>
      <c r="P251" s="1501"/>
      <c r="Q251" s="1501"/>
      <c r="R251" s="1977"/>
      <c r="S251" s="1501"/>
      <c r="T251" s="1501"/>
      <c r="U251" s="885"/>
      <c r="V251" s="1501"/>
      <c r="W251" s="1501"/>
      <c r="X251" s="1501"/>
      <c r="Y251" s="1501"/>
      <c r="Z251" s="1501"/>
      <c r="AA251" s="1973"/>
      <c r="AB251" s="907"/>
      <c r="AC251" s="907"/>
      <c r="AD251" s="907"/>
      <c r="AE251" s="907"/>
      <c r="AF251" s="1982">
        <v>11</v>
      </c>
    </row>
    <row s="17832" customFormat="1" customHeight="1" ht="11.549999999999999">
      <c r="A252" s="1328"/>
      <c r="B252" s="1977"/>
      <c r="C252" s="1977"/>
      <c r="D252" s="692"/>
      <c r="K252" s="1501"/>
      <c r="L252" s="1977"/>
      <c r="M252" s="1977"/>
      <c r="N252" s="1501"/>
      <c r="O252" s="1501"/>
      <c r="P252" s="1501"/>
      <c r="Q252" s="1501"/>
      <c r="R252" s="1977"/>
      <c r="S252" s="1501"/>
      <c r="T252" s="1501"/>
      <c r="U252" s="885"/>
      <c r="V252" s="1501"/>
      <c r="W252" s="1501"/>
      <c r="X252" s="1501"/>
      <c r="Y252" s="1501"/>
      <c r="Z252" s="1501"/>
      <c r="AA252" s="1973"/>
      <c r="AB252" s="907"/>
      <c r="AC252" s="907"/>
      <c r="AD252" s="907"/>
      <c r="AE252" s="907"/>
      <c r="AF252" s="1982">
        <v>11</v>
      </c>
    </row>
    <row s="17832" customFormat="1" customHeight="1" ht="11.549999999999999">
      <c r="A253" s="1328"/>
      <c r="B253" s="1977"/>
      <c r="C253" s="1977"/>
      <c r="D253" s="692"/>
      <c r="K253" s="1501"/>
      <c r="L253" s="1977"/>
      <c r="M253" s="1977"/>
      <c r="N253" s="1501"/>
      <c r="O253" s="1501"/>
      <c r="P253" s="1501"/>
      <c r="Q253" s="1501"/>
      <c r="R253" s="1977"/>
      <c r="S253" s="1501"/>
      <c r="T253" s="1501"/>
      <c r="U253" s="885"/>
      <c r="V253" s="1501"/>
      <c r="W253" s="1501"/>
      <c r="X253" s="1501"/>
      <c r="Y253" s="1501"/>
      <c r="Z253" s="1501"/>
      <c r="AA253" s="1973"/>
      <c r="AB253" s="907"/>
      <c r="AC253" s="907"/>
      <c r="AD253" s="907"/>
      <c r="AE253" s="907"/>
      <c r="AF253" s="1982">
        <v>11</v>
      </c>
    </row>
    <row s="17832" customFormat="1" customHeight="1" ht="11.549999999999999">
      <c r="A254" s="1328"/>
      <c r="B254" s="1977"/>
      <c r="C254" s="1977"/>
      <c r="D254" s="692"/>
      <c r="K254" s="1501"/>
      <c r="L254" s="1977"/>
      <c r="M254" s="1977"/>
      <c r="N254" s="1501"/>
      <c r="O254" s="1501"/>
      <c r="P254" s="1501"/>
      <c r="Q254" s="1501"/>
      <c r="R254" s="1977"/>
      <c r="S254" s="1501"/>
      <c r="T254" s="1501"/>
      <c r="U254" s="885"/>
      <c r="V254" s="1501"/>
      <c r="W254" s="1501"/>
      <c r="X254" s="1501"/>
      <c r="Y254" s="1501"/>
      <c r="Z254" s="1501"/>
      <c r="AA254" s="1973"/>
      <c r="AB254" s="907"/>
      <c r="AC254" s="907"/>
      <c r="AD254" s="907"/>
      <c r="AE254" s="907"/>
      <c r="AF254" s="1982">
        <v>11</v>
      </c>
    </row>
    <row s="17832" customFormat="1" customHeight="1" ht="11.549999999999999">
      <c r="A255" s="1328"/>
      <c r="B255" s="1977"/>
      <c r="C255" s="1977"/>
      <c r="D255" s="692"/>
      <c r="K255" s="1501"/>
      <c r="L255" s="1977"/>
      <c r="M255" s="1977"/>
      <c r="N255" s="1501"/>
      <c r="O255" s="1501"/>
      <c r="P255" s="1501"/>
      <c r="Q255" s="1501"/>
      <c r="R255" s="1977"/>
      <c r="S255" s="1501"/>
      <c r="T255" s="1501"/>
      <c r="U255" s="885"/>
      <c r="V255" s="1501"/>
      <c r="W255" s="1501"/>
      <c r="X255" s="1501"/>
      <c r="Y255" s="1501"/>
      <c r="Z255" s="1501"/>
      <c r="AA255" s="1973"/>
      <c r="AB255" s="907"/>
      <c r="AC255" s="907"/>
      <c r="AD255" s="907"/>
      <c r="AE255" s="907"/>
      <c r="AF255" s="1982">
        <v>11</v>
      </c>
    </row>
    <row s="17832" customFormat="1" customHeight="1" ht="11.549999999999999">
      <c r="A256" s="1328"/>
      <c r="B256" s="1977"/>
      <c r="C256" s="1977"/>
      <c r="D256" s="692"/>
      <c r="K256" s="1501"/>
      <c r="L256" s="1977"/>
      <c r="M256" s="1977"/>
      <c r="N256" s="1501"/>
      <c r="O256" s="1501"/>
      <c r="P256" s="1501"/>
      <c r="Q256" s="1501"/>
      <c r="R256" s="1977"/>
      <c r="S256" s="1501"/>
      <c r="T256" s="1501"/>
      <c r="U256" s="885"/>
      <c r="V256" s="1501"/>
      <c r="W256" s="1501"/>
      <c r="X256" s="1501"/>
      <c r="Y256" s="1501"/>
      <c r="Z256" s="1501"/>
      <c r="AA256" s="1973"/>
      <c r="AB256" s="907"/>
      <c r="AC256" s="907"/>
      <c r="AD256" s="907"/>
      <c r="AE256" s="907"/>
      <c r="AF256" s="1982">
        <v>11</v>
      </c>
    </row>
    <row s="17832" customFormat="1" customHeight="1" ht="11.549999999999999">
      <c r="A257" s="1328"/>
      <c r="B257" s="1977"/>
      <c r="C257" s="1977"/>
      <c r="D257" s="692"/>
      <c r="K257" s="1501"/>
      <c r="L257" s="1977"/>
      <c r="M257" s="1977"/>
      <c r="N257" s="1501"/>
      <c r="O257" s="1501"/>
      <c r="P257" s="1501"/>
      <c r="Q257" s="1501"/>
      <c r="R257" s="1977"/>
      <c r="S257" s="1501"/>
      <c r="T257" s="1501"/>
      <c r="U257" s="885"/>
      <c r="V257" s="1501"/>
      <c r="W257" s="1501"/>
      <c r="X257" s="1501"/>
      <c r="Y257" s="1501"/>
      <c r="Z257" s="1501"/>
      <c r="AA257" s="1973"/>
      <c r="AB257" s="907"/>
      <c r="AC257" s="907"/>
      <c r="AD257" s="907"/>
      <c r="AE257" s="907"/>
      <c r="AF257" s="1982">
        <v>11</v>
      </c>
    </row>
    <row s="17832" customFormat="1" customHeight="1" ht="11.549999999999999">
      <c r="A258" s="1328"/>
      <c r="B258" s="1977"/>
      <c r="C258" s="1977"/>
      <c r="D258" s="692"/>
      <c r="K258" s="1501"/>
      <c r="L258" s="1977"/>
      <c r="M258" s="1977"/>
      <c r="N258" s="1501"/>
      <c r="O258" s="1501"/>
      <c r="P258" s="1501"/>
      <c r="Q258" s="1501"/>
      <c r="R258" s="1977"/>
      <c r="S258" s="1501"/>
      <c r="T258" s="1501"/>
      <c r="U258" s="885"/>
      <c r="V258" s="1501"/>
      <c r="W258" s="1501"/>
      <c r="X258" s="1501"/>
      <c r="Y258" s="1501"/>
      <c r="Z258" s="1501"/>
      <c r="AA258" s="1973"/>
      <c r="AB258" s="907"/>
      <c r="AC258" s="907"/>
      <c r="AD258" s="907"/>
      <c r="AE258" s="907"/>
      <c r="AF258" s="1982">
        <v>11</v>
      </c>
    </row>
    <row s="17832" customFormat="1" customHeight="1" ht="11.549999999999999">
      <c r="A259" s="1328"/>
      <c r="B259" s="1977"/>
      <c r="C259" s="1977"/>
      <c r="D259" s="692"/>
      <c r="K259" s="1501"/>
      <c r="L259" s="1977"/>
      <c r="M259" s="1977"/>
      <c r="N259" s="1501"/>
      <c r="O259" s="1501"/>
      <c r="P259" s="1501"/>
      <c r="Q259" s="1501"/>
      <c r="R259" s="1977"/>
      <c r="S259" s="1501"/>
      <c r="T259" s="1501"/>
      <c r="U259" s="885"/>
      <c r="V259" s="1501"/>
      <c r="W259" s="1501"/>
      <c r="X259" s="1501"/>
      <c r="Y259" s="1501"/>
      <c r="Z259" s="1501"/>
      <c r="AA259" s="1973"/>
      <c r="AB259" s="907"/>
      <c r="AC259" s="907"/>
      <c r="AD259" s="907"/>
      <c r="AE259" s="907"/>
      <c r="AF259" s="1982">
        <v>11</v>
      </c>
    </row>
    <row s="17832" customFormat="1" customHeight="1" ht="11.549999999999999">
      <c r="A260" s="1328"/>
      <c r="B260" s="1977"/>
      <c r="C260" s="1977"/>
      <c r="D260" s="692"/>
      <c r="K260" s="1501"/>
      <c r="L260" s="1977"/>
      <c r="M260" s="1977"/>
      <c r="N260" s="1501"/>
      <c r="O260" s="1501"/>
      <c r="P260" s="1501"/>
      <c r="Q260" s="1501"/>
      <c r="R260" s="1977"/>
      <c r="S260" s="1501"/>
      <c r="T260" s="1501"/>
      <c r="U260" s="885"/>
      <c r="V260" s="1501"/>
      <c r="W260" s="1501"/>
      <c r="X260" s="1501"/>
      <c r="Y260" s="1501"/>
      <c r="Z260" s="1501"/>
      <c r="AA260" s="1973"/>
      <c r="AB260" s="907"/>
      <c r="AC260" s="907"/>
      <c r="AD260" s="907"/>
      <c r="AE260" s="907"/>
      <c r="AF260" s="1982">
        <v>11</v>
      </c>
    </row>
    <row s="17832" customFormat="1" customHeight="1" ht="11.549999999999999">
      <c r="A261" s="1328"/>
      <c r="B261" s="1977"/>
      <c r="C261" s="1977"/>
      <c r="D261" s="692"/>
      <c r="K261" s="1501"/>
      <c r="L261" s="1977"/>
      <c r="M261" s="1977"/>
      <c r="N261" s="1501"/>
      <c r="O261" s="1501"/>
      <c r="P261" s="1501"/>
      <c r="Q261" s="1501"/>
      <c r="R261" s="1977"/>
      <c r="S261" s="1501"/>
      <c r="T261" s="1501"/>
      <c r="U261" s="885"/>
      <c r="V261" s="1501"/>
      <c r="W261" s="1501"/>
      <c r="X261" s="1501"/>
      <c r="Y261" s="1501"/>
      <c r="Z261" s="1501"/>
      <c r="AA261" s="1973"/>
      <c r="AB261" s="907"/>
      <c r="AC261" s="907"/>
      <c r="AD261" s="907"/>
      <c r="AE261" s="907"/>
      <c r="AF261" s="1982">
        <v>11</v>
      </c>
    </row>
    <row s="17832" customFormat="1" customHeight="1" ht="11.549999999999999">
      <c r="A262" s="1328"/>
      <c r="B262" s="1977"/>
      <c r="C262" s="1977"/>
      <c r="D262" s="692"/>
      <c r="K262" s="1501"/>
      <c r="L262" s="1977"/>
      <c r="M262" s="1977"/>
      <c r="N262" s="1501"/>
      <c r="O262" s="1501"/>
      <c r="P262" s="1501"/>
      <c r="Q262" s="1501"/>
      <c r="R262" s="1977"/>
      <c r="S262" s="1501"/>
      <c r="T262" s="1501"/>
      <c r="U262" s="885"/>
      <c r="V262" s="1501"/>
      <c r="W262" s="1501"/>
      <c r="X262" s="1501"/>
      <c r="Y262" s="1501"/>
      <c r="Z262" s="1501"/>
      <c r="AA262" s="1973"/>
      <c r="AB262" s="907"/>
      <c r="AC262" s="907"/>
      <c r="AD262" s="907"/>
      <c r="AE262" s="907"/>
      <c r="AF262" s="1982">
        <v>11</v>
      </c>
    </row>
    <row s="17832" customFormat="1" customHeight="1" ht="11.549999999999999">
      <c r="A263" s="1328"/>
      <c r="B263" s="1977"/>
      <c r="C263" s="1977"/>
      <c r="D263" s="692"/>
      <c r="K263" s="1501"/>
      <c r="L263" s="1977"/>
      <c r="M263" s="1977"/>
      <c r="N263" s="1501"/>
      <c r="O263" s="1501"/>
      <c r="P263" s="1501"/>
      <c r="Q263" s="1501"/>
      <c r="R263" s="1977"/>
      <c r="S263" s="1501"/>
      <c r="T263" s="1501"/>
      <c r="U263" s="885"/>
      <c r="V263" s="1501"/>
      <c r="W263" s="1501"/>
      <c r="X263" s="1501"/>
      <c r="Y263" s="1501"/>
      <c r="Z263" s="1501"/>
      <c r="AA263" s="1973"/>
      <c r="AB263" s="907"/>
      <c r="AC263" s="907"/>
      <c r="AD263" s="907"/>
      <c r="AE263" s="907"/>
      <c r="AF263" s="1982">
        <v>11</v>
      </c>
    </row>
    <row s="17832" customFormat="1" customHeight="1" ht="11.549999999999999">
      <c r="A264" s="1328"/>
      <c r="B264" s="1977"/>
      <c r="C264" s="1977"/>
      <c r="D264" s="692"/>
      <c r="K264" s="1501"/>
      <c r="L264" s="1977"/>
      <c r="M264" s="1977"/>
      <c r="N264" s="1501"/>
      <c r="O264" s="1501"/>
      <c r="P264" s="1501"/>
      <c r="Q264" s="1501"/>
      <c r="R264" s="1977"/>
      <c r="S264" s="1501"/>
      <c r="T264" s="1501"/>
      <c r="U264" s="885"/>
      <c r="V264" s="1501"/>
      <c r="W264" s="1501"/>
      <c r="X264" s="1501"/>
      <c r="Y264" s="1501"/>
      <c r="Z264" s="1501"/>
      <c r="AA264" s="1973"/>
      <c r="AB264" s="907"/>
      <c r="AC264" s="907"/>
      <c r="AD264" s="907"/>
      <c r="AE264" s="907"/>
      <c r="AF264" s="1982">
        <v>11</v>
      </c>
    </row>
    <row s="17832" customFormat="1" customHeight="1" ht="11.549999999999999">
      <c r="A265" s="1328"/>
      <c r="B265" s="1977"/>
      <c r="C265" s="1977"/>
      <c r="D265" s="692"/>
      <c r="K265" s="1501"/>
      <c r="L265" s="1977"/>
      <c r="M265" s="1977"/>
      <c r="N265" s="1501"/>
      <c r="O265" s="1501"/>
      <c r="P265" s="1501"/>
      <c r="Q265" s="1501"/>
      <c r="R265" s="1977"/>
      <c r="S265" s="1501"/>
      <c r="T265" s="1501"/>
      <c r="U265" s="885"/>
      <c r="V265" s="1501"/>
      <c r="W265" s="1501"/>
      <c r="X265" s="1501"/>
      <c r="Y265" s="1501"/>
      <c r="Z265" s="1501"/>
      <c r="AA265" s="1973"/>
      <c r="AB265" s="907"/>
      <c r="AC265" s="907"/>
      <c r="AD265" s="907"/>
      <c r="AE265" s="907"/>
      <c r="AF265" s="1982">
        <v>11</v>
      </c>
    </row>
    <row s="17832" customFormat="1" customHeight="1" ht="11.549999999999999">
      <c r="A266" s="1328"/>
      <c r="B266" s="1977"/>
      <c r="C266" s="1977"/>
      <c r="D266" s="692"/>
      <c r="K266" s="1501"/>
      <c r="L266" s="1977"/>
      <c r="M266" s="1977"/>
      <c r="N266" s="1501"/>
      <c r="O266" s="1501"/>
      <c r="P266" s="1501"/>
      <c r="Q266" s="1501"/>
      <c r="R266" s="1977"/>
      <c r="S266" s="1501"/>
      <c r="T266" s="1501"/>
      <c r="U266" s="885"/>
      <c r="V266" s="1501"/>
      <c r="W266" s="1501"/>
      <c r="X266" s="1501"/>
      <c r="Y266" s="1501"/>
      <c r="Z266" s="1501"/>
      <c r="AA266" s="1973"/>
      <c r="AB266" s="907"/>
      <c r="AC266" s="907"/>
      <c r="AD266" s="907"/>
      <c r="AE266" s="907"/>
      <c r="AF266" s="1982">
        <v>11</v>
      </c>
    </row>
    <row s="17832" customFormat="1" customHeight="1" ht="11.549999999999999">
      <c r="A267" s="1328"/>
      <c r="B267" s="1977"/>
      <c r="C267" s="1977"/>
      <c r="D267" s="692"/>
      <c r="K267" s="1501"/>
      <c r="L267" s="1977"/>
      <c r="M267" s="1977"/>
      <c r="N267" s="1501"/>
      <c r="O267" s="1501"/>
      <c r="P267" s="1501"/>
      <c r="Q267" s="1501"/>
      <c r="R267" s="1977"/>
      <c r="S267" s="1501"/>
      <c r="T267" s="1501"/>
      <c r="U267" s="885"/>
      <c r="V267" s="1501"/>
      <c r="W267" s="1501"/>
      <c r="X267" s="1501"/>
      <c r="Y267" s="1501"/>
      <c r="Z267" s="1501"/>
      <c r="AA267" s="1973"/>
      <c r="AB267" s="907"/>
      <c r="AC267" s="907"/>
      <c r="AD267" s="907"/>
      <c r="AE267" s="907"/>
      <c r="AF267" s="1982">
        <v>11</v>
      </c>
    </row>
    <row s="17832" customFormat="1" customHeight="1" ht="11.549999999999999">
      <c r="A268" s="1328"/>
      <c r="B268" s="1977"/>
      <c r="C268" s="1977"/>
      <c r="D268" s="692"/>
      <c r="K268" s="1501"/>
      <c r="L268" s="1977"/>
      <c r="M268" s="1977"/>
      <c r="N268" s="1501"/>
      <c r="O268" s="1501"/>
      <c r="P268" s="1501"/>
      <c r="Q268" s="1501"/>
      <c r="R268" s="1977"/>
      <c r="S268" s="1501"/>
      <c r="T268" s="1501"/>
      <c r="U268" s="885"/>
      <c r="V268" s="1501"/>
      <c r="W268" s="1501"/>
      <c r="X268" s="1501"/>
      <c r="Y268" s="1501"/>
      <c r="Z268" s="1501"/>
      <c r="AA268" s="1973"/>
      <c r="AB268" s="907"/>
      <c r="AC268" s="907"/>
      <c r="AD268" s="907"/>
      <c r="AE268" s="907"/>
      <c r="AF268" s="1982">
        <v>11</v>
      </c>
    </row>
    <row s="17832" customFormat="1" customHeight="1" ht="11.549999999999999">
      <c r="A269" s="1328"/>
      <c r="B269" s="1977"/>
      <c r="C269" s="1977"/>
      <c r="D269" s="692"/>
      <c r="K269" s="1501"/>
      <c r="L269" s="1977"/>
      <c r="M269" s="1977"/>
      <c r="N269" s="1501"/>
      <c r="O269" s="1501"/>
      <c r="P269" s="1501"/>
      <c r="Q269" s="1501"/>
      <c r="R269" s="1977"/>
      <c r="S269" s="1501"/>
      <c r="T269" s="1501"/>
      <c r="U269" s="885"/>
      <c r="V269" s="1501"/>
      <c r="W269" s="1501"/>
      <c r="X269" s="1501"/>
      <c r="Y269" s="1501"/>
      <c r="Z269" s="1501"/>
      <c r="AA269" s="1973"/>
      <c r="AB269" s="907"/>
      <c r="AC269" s="907"/>
      <c r="AD269" s="907"/>
      <c r="AE269" s="907"/>
      <c r="AF269" s="1982">
        <v>11</v>
      </c>
    </row>
    <row s="17832" customFormat="1" customHeight="1" ht="11.549999999999999">
      <c r="A270" s="1328"/>
      <c r="B270" s="1977"/>
      <c r="C270" s="1977"/>
      <c r="D270" s="692"/>
      <c r="K270" s="1501"/>
      <c r="L270" s="1977"/>
      <c r="M270" s="1977"/>
      <c r="N270" s="1501"/>
      <c r="O270" s="1501"/>
      <c r="P270" s="1501"/>
      <c r="Q270" s="1501"/>
      <c r="R270" s="1977"/>
      <c r="S270" s="1501"/>
      <c r="T270" s="1501"/>
      <c r="U270" s="885"/>
      <c r="V270" s="1501"/>
      <c r="W270" s="1501"/>
      <c r="X270" s="1501"/>
      <c r="Y270" s="1501"/>
      <c r="Z270" s="1501"/>
      <c r="AA270" s="1973"/>
      <c r="AB270" s="907"/>
      <c r="AC270" s="907"/>
      <c r="AD270" s="907"/>
      <c r="AE270" s="907"/>
      <c r="AF270" s="1982">
        <v>11</v>
      </c>
    </row>
    <row s="17832" customFormat="1" customHeight="1" ht="11.549999999999999">
      <c r="A271" s="1328"/>
      <c r="B271" s="1977"/>
      <c r="C271" s="1977"/>
      <c r="D271" s="692"/>
      <c r="K271" s="1501"/>
      <c r="L271" s="1977"/>
      <c r="M271" s="1977"/>
      <c r="N271" s="1501"/>
      <c r="O271" s="1501"/>
      <c r="P271" s="1501"/>
      <c r="Q271" s="1501"/>
      <c r="R271" s="1977"/>
      <c r="S271" s="1501"/>
      <c r="T271" s="1501"/>
      <c r="U271" s="885"/>
      <c r="V271" s="1501"/>
      <c r="W271" s="1501"/>
      <c r="X271" s="1501"/>
      <c r="Y271" s="1501"/>
      <c r="Z271" s="1501"/>
      <c r="AA271" s="1973"/>
      <c r="AB271" s="907"/>
      <c r="AC271" s="907"/>
      <c r="AD271" s="907"/>
      <c r="AE271" s="907"/>
      <c r="AF271" s="1982">
        <v>11</v>
      </c>
    </row>
    <row s="17832" customFormat="1" customHeight="1" ht="11.549999999999999">
      <c r="A272" s="1328"/>
      <c r="B272" s="1977"/>
      <c r="C272" s="1977"/>
      <c r="D272" s="692"/>
      <c r="K272" s="1501"/>
      <c r="L272" s="1977"/>
      <c r="M272" s="1977"/>
      <c r="N272" s="1501"/>
      <c r="O272" s="1501"/>
      <c r="P272" s="1501"/>
      <c r="Q272" s="1501"/>
      <c r="R272" s="1977"/>
      <c r="S272" s="1501"/>
      <c r="T272" s="1501"/>
      <c r="U272" s="885"/>
      <c r="V272" s="1501"/>
      <c r="W272" s="1501"/>
      <c r="X272" s="1501"/>
      <c r="Y272" s="1501"/>
      <c r="Z272" s="1501"/>
      <c r="AA272" s="1973"/>
      <c r="AB272" s="907"/>
      <c r="AC272" s="907"/>
      <c r="AD272" s="907"/>
      <c r="AE272" s="907"/>
      <c r="AF272" s="1982">
        <v>11</v>
      </c>
    </row>
    <row s="17832" customFormat="1" customHeight="1" ht="11.549999999999999">
      <c r="A273" s="1328"/>
      <c r="B273" s="1977"/>
      <c r="C273" s="1977"/>
      <c r="D273" s="692"/>
      <c r="K273" s="1501"/>
      <c r="L273" s="1977"/>
      <c r="M273" s="1977"/>
      <c r="N273" s="1501"/>
      <c r="O273" s="1501"/>
      <c r="P273" s="1501"/>
      <c r="Q273" s="1501"/>
      <c r="R273" s="1977"/>
      <c r="S273" s="1501"/>
      <c r="T273" s="1501"/>
      <c r="U273" s="885"/>
      <c r="V273" s="1501"/>
      <c r="W273" s="1501"/>
      <c r="X273" s="1501"/>
      <c r="Y273" s="1501"/>
      <c r="Z273" s="1501"/>
      <c r="AA273" s="1973"/>
      <c r="AB273" s="907"/>
      <c r="AC273" s="907"/>
      <c r="AD273" s="907"/>
      <c r="AE273" s="907"/>
      <c r="AF273" s="1982">
        <v>11</v>
      </c>
    </row>
    <row s="17832" customFormat="1" customHeight="1" ht="11.549999999999999">
      <c r="A274" s="1328"/>
      <c r="B274" s="1977"/>
      <c r="C274" s="1977"/>
      <c r="D274" s="692"/>
      <c r="K274" s="1501"/>
      <c r="L274" s="1977"/>
      <c r="M274" s="1977"/>
      <c r="N274" s="1501"/>
      <c r="O274" s="1501"/>
      <c r="P274" s="1501"/>
      <c r="Q274" s="1501"/>
      <c r="R274" s="1977"/>
      <c r="S274" s="1501"/>
      <c r="T274" s="1501"/>
      <c r="U274" s="885"/>
      <c r="V274" s="1501"/>
      <c r="W274" s="1501"/>
      <c r="X274" s="1501"/>
      <c r="Y274" s="1501"/>
      <c r="Z274" s="1501"/>
      <c r="AA274" s="1973"/>
      <c r="AB274" s="907"/>
      <c r="AC274" s="907"/>
      <c r="AD274" s="907"/>
      <c r="AE274" s="907"/>
      <c r="AF274" s="1982">
        <v>11</v>
      </c>
    </row>
    <row s="17832" customFormat="1" customHeight="1" ht="11.549999999999999">
      <c r="A275" s="1328"/>
      <c r="B275" s="1977"/>
      <c r="C275" s="1977"/>
      <c r="D275" s="692"/>
      <c r="K275" s="1501"/>
      <c r="L275" s="1977"/>
      <c r="M275" s="1977"/>
      <c r="N275" s="1501"/>
      <c r="O275" s="1501"/>
      <c r="P275" s="1501"/>
      <c r="Q275" s="1501"/>
      <c r="R275" s="1977"/>
      <c r="S275" s="1501"/>
      <c r="T275" s="1501"/>
      <c r="U275" s="885"/>
      <c r="V275" s="1501"/>
      <c r="W275" s="1501"/>
      <c r="X275" s="1501"/>
      <c r="Y275" s="1501"/>
      <c r="Z275" s="1501"/>
      <c r="AA275" s="1973"/>
      <c r="AB275" s="907"/>
      <c r="AC275" s="907"/>
      <c r="AD275" s="907"/>
      <c r="AE275" s="907"/>
      <c r="AF275" s="1982">
        <v>11</v>
      </c>
    </row>
    <row s="17832" customFormat="1" customHeight="1" ht="11.549999999999999">
      <c r="A276" s="1328"/>
      <c r="B276" s="1977"/>
      <c r="C276" s="1977"/>
      <c r="D276" s="692"/>
      <c r="K276" s="1501"/>
      <c r="L276" s="1977"/>
      <c r="M276" s="1977"/>
      <c r="N276" s="1501"/>
      <c r="O276" s="1501"/>
      <c r="P276" s="1501"/>
      <c r="Q276" s="1501"/>
      <c r="R276" s="1977"/>
      <c r="S276" s="1501"/>
      <c r="T276" s="1501"/>
      <c r="U276" s="885"/>
      <c r="V276" s="1501"/>
      <c r="W276" s="1501"/>
      <c r="X276" s="1501"/>
      <c r="Y276" s="1501"/>
      <c r="Z276" s="1501"/>
      <c r="AA276" s="1973"/>
      <c r="AB276" s="907"/>
      <c r="AC276" s="907"/>
      <c r="AD276" s="907"/>
      <c r="AE276" s="907"/>
      <c r="AF276" s="1982">
        <v>11</v>
      </c>
    </row>
    <row s="17832" customFormat="1" customHeight="1" ht="11.549999999999999">
      <c r="A277" s="1328"/>
      <c r="B277" s="1977"/>
      <c r="C277" s="1977"/>
      <c r="D277" s="692"/>
      <c r="K277" s="1501"/>
      <c r="L277" s="1977"/>
      <c r="M277" s="1977"/>
      <c r="N277" s="1501"/>
      <c r="O277" s="1501"/>
      <c r="P277" s="1501"/>
      <c r="Q277" s="1501"/>
      <c r="R277" s="1977"/>
      <c r="S277" s="1501"/>
      <c r="T277" s="1501"/>
      <c r="U277" s="885"/>
      <c r="V277" s="1501"/>
      <c r="W277" s="1501"/>
      <c r="X277" s="1501"/>
      <c r="Y277" s="1501"/>
      <c r="Z277" s="1501"/>
      <c r="AA277" s="1973"/>
      <c r="AB277" s="907"/>
      <c r="AC277" s="907"/>
      <c r="AD277" s="907"/>
      <c r="AE277" s="907"/>
      <c r="AF277" s="1982">
        <v>11</v>
      </c>
    </row>
    <row s="17832" customFormat="1" customHeight="1" ht="11.549999999999999">
      <c r="A278" s="1328"/>
      <c r="B278" s="1977"/>
      <c r="C278" s="1977"/>
      <c r="D278" s="692"/>
      <c r="K278" s="1501"/>
      <c r="L278" s="1977"/>
      <c r="M278" s="1977"/>
      <c r="N278" s="1501"/>
      <c r="O278" s="1501"/>
      <c r="P278" s="1501"/>
      <c r="Q278" s="1501"/>
      <c r="R278" s="1977"/>
      <c r="S278" s="1501"/>
      <c r="T278" s="1501"/>
      <c r="U278" s="885"/>
      <c r="V278" s="1501"/>
      <c r="W278" s="1501"/>
      <c r="X278" s="1501"/>
      <c r="Y278" s="1501"/>
      <c r="Z278" s="1501"/>
      <c r="AA278" s="1973"/>
      <c r="AB278" s="907"/>
      <c r="AC278" s="907"/>
      <c r="AD278" s="907"/>
      <c r="AE278" s="907"/>
      <c r="AF278" s="1982">
        <v>11</v>
      </c>
    </row>
    <row s="17832" customFormat="1" customHeight="1" ht="11.549999999999999">
      <c r="A279" s="1328"/>
      <c r="B279" s="1977"/>
      <c r="C279" s="1977"/>
      <c r="D279" s="692"/>
      <c r="K279" s="1501"/>
      <c r="L279" s="1977"/>
      <c r="M279" s="1977"/>
      <c r="N279" s="1501"/>
      <c r="O279" s="1501"/>
      <c r="P279" s="1501"/>
      <c r="Q279" s="1501"/>
      <c r="R279" s="1977"/>
      <c r="S279" s="1501"/>
      <c r="T279" s="1501"/>
      <c r="U279" s="885"/>
      <c r="V279" s="1501"/>
      <c r="W279" s="1501"/>
      <c r="X279" s="1501"/>
      <c r="Y279" s="1501"/>
      <c r="Z279" s="1501"/>
      <c r="AA279" s="1973"/>
      <c r="AB279" s="907"/>
      <c r="AC279" s="907"/>
      <c r="AD279" s="907"/>
      <c r="AE279" s="907"/>
      <c r="AF279" s="1982">
        <v>11</v>
      </c>
    </row>
    <row s="17832" customFormat="1" customHeight="1" ht="11.549999999999999">
      <c r="A280" s="1328"/>
      <c r="B280" s="1977"/>
      <c r="C280" s="1977"/>
      <c r="D280" s="692"/>
      <c r="K280" s="1501"/>
      <c r="L280" s="1977"/>
      <c r="M280" s="1977"/>
      <c r="N280" s="1501"/>
      <c r="O280" s="1501"/>
      <c r="P280" s="1501"/>
      <c r="Q280" s="1501"/>
      <c r="R280" s="1977"/>
      <c r="S280" s="1501"/>
      <c r="T280" s="1501"/>
      <c r="U280" s="885"/>
      <c r="V280" s="1501"/>
      <c r="W280" s="1501"/>
      <c r="X280" s="1501"/>
      <c r="Y280" s="1501"/>
      <c r="Z280" s="1501"/>
      <c r="AA280" s="1973"/>
      <c r="AB280" s="907"/>
      <c r="AC280" s="907"/>
      <c r="AD280" s="907"/>
      <c r="AE280" s="907"/>
      <c r="AF280" s="1982">
        <v>11</v>
      </c>
    </row>
    <row s="17832" customFormat="1" customHeight="1" ht="11.549999999999999">
      <c r="A281" s="1328"/>
      <c r="B281" s="1977"/>
      <c r="C281" s="1977"/>
      <c r="D281" s="692"/>
      <c r="K281" s="1501"/>
      <c r="L281" s="1977"/>
      <c r="M281" s="1977"/>
      <c r="N281" s="1501"/>
      <c r="O281" s="1501"/>
      <c r="P281" s="1501"/>
      <c r="Q281" s="1501"/>
      <c r="R281" s="1977"/>
      <c r="S281" s="1501"/>
      <c r="T281" s="1501"/>
      <c r="U281" s="885"/>
      <c r="V281" s="1501"/>
      <c r="W281" s="1501"/>
      <c r="X281" s="1501"/>
      <c r="Y281" s="1501"/>
      <c r="Z281" s="1501"/>
      <c r="AA281" s="1973"/>
      <c r="AB281" s="907"/>
      <c r="AC281" s="907"/>
      <c r="AD281" s="907"/>
      <c r="AE281" s="907"/>
      <c r="AF281" s="1982">
        <v>11</v>
      </c>
    </row>
    <row s="17832" customFormat="1" customHeight="1" ht="11.549999999999999">
      <c r="A282" s="1328"/>
      <c r="B282" s="1977"/>
      <c r="C282" s="1977"/>
      <c r="D282" s="692"/>
      <c r="K282" s="1501"/>
      <c r="L282" s="1977"/>
      <c r="M282" s="1977"/>
      <c r="N282" s="1501"/>
      <c r="O282" s="1501"/>
      <c r="P282" s="1501"/>
      <c r="Q282" s="1501"/>
      <c r="R282" s="1977"/>
      <c r="S282" s="1501"/>
      <c r="T282" s="1501"/>
      <c r="U282" s="885"/>
      <c r="V282" s="1501"/>
      <c r="W282" s="1501"/>
      <c r="X282" s="1501"/>
      <c r="Y282" s="1501"/>
      <c r="Z282" s="1501"/>
      <c r="AA282" s="1973"/>
      <c r="AB282" s="907"/>
      <c r="AC282" s="907"/>
      <c r="AD282" s="907"/>
      <c r="AE282" s="907"/>
      <c r="AF282" s="1982">
        <v>11</v>
      </c>
    </row>
    <row s="17832" customFormat="1" customHeight="1" ht="11.549999999999999">
      <c r="A283" s="1328"/>
      <c r="B283" s="1977"/>
      <c r="C283" s="1977"/>
      <c r="D283" s="692"/>
      <c r="K283" s="1501"/>
      <c r="L283" s="1977"/>
      <c r="M283" s="1977"/>
      <c r="N283" s="1501"/>
      <c r="O283" s="1501"/>
      <c r="P283" s="1501"/>
      <c r="Q283" s="1501"/>
      <c r="R283" s="1977"/>
      <c r="S283" s="1501"/>
      <c r="T283" s="1501"/>
      <c r="U283" s="885"/>
      <c r="V283" s="1501"/>
      <c r="W283" s="1501"/>
      <c r="X283" s="1501"/>
      <c r="Y283" s="1501"/>
      <c r="Z283" s="1501"/>
      <c r="AA283" s="1973"/>
      <c r="AB283" s="907"/>
      <c r="AC283" s="907"/>
      <c r="AD283" s="907"/>
      <c r="AE283" s="907"/>
      <c r="AF283" s="1982">
        <v>11</v>
      </c>
    </row>
    <row s="17832" customFormat="1" customHeight="1" ht="11.549999999999999">
      <c r="A284" s="1328"/>
      <c r="B284" s="1977"/>
      <c r="C284" s="1977"/>
      <c r="D284" s="692"/>
      <c r="K284" s="1501"/>
      <c r="L284" s="1977"/>
      <c r="M284" s="1977"/>
      <c r="N284" s="1501"/>
      <c r="O284" s="1501"/>
      <c r="P284" s="1501"/>
      <c r="Q284" s="1501"/>
      <c r="R284" s="1977"/>
      <c r="S284" s="1501"/>
      <c r="T284" s="1501"/>
      <c r="U284" s="885"/>
      <c r="V284" s="1501"/>
      <c r="W284" s="1501"/>
      <c r="X284" s="1501"/>
      <c r="Y284" s="1501"/>
      <c r="Z284" s="1501"/>
      <c r="AA284" s="1973"/>
      <c r="AB284" s="907"/>
      <c r="AC284" s="907"/>
      <c r="AD284" s="907"/>
      <c r="AE284" s="907"/>
      <c r="AF284" s="1982">
        <v>11</v>
      </c>
    </row>
    <row s="17832" customFormat="1" customHeight="1" ht="11.549999999999999">
      <c r="A285" s="1328"/>
      <c r="B285" s="1977"/>
      <c r="C285" s="1977"/>
      <c r="D285" s="692"/>
      <c r="K285" s="1501"/>
      <c r="L285" s="1977"/>
      <c r="M285" s="1977"/>
      <c r="N285" s="1501"/>
      <c r="O285" s="1501"/>
      <c r="P285" s="1501"/>
      <c r="Q285" s="1501"/>
      <c r="R285" s="1977"/>
      <c r="S285" s="1501"/>
      <c r="T285" s="1501"/>
      <c r="U285" s="885"/>
      <c r="V285" s="1501"/>
      <c r="W285" s="1501"/>
      <c r="X285" s="1501"/>
      <c r="Y285" s="1501"/>
      <c r="Z285" s="1501"/>
      <c r="AA285" s="1973"/>
      <c r="AB285" s="907"/>
      <c r="AC285" s="907"/>
      <c r="AD285" s="907"/>
      <c r="AE285" s="907"/>
      <c r="AF285" s="1982">
        <v>11</v>
      </c>
    </row>
    <row s="17832" customFormat="1" customHeight="1" ht="11.549999999999999">
      <c r="A286" s="1328"/>
      <c r="B286" s="1977"/>
      <c r="C286" s="1977"/>
      <c r="D286" s="692"/>
      <c r="K286" s="1501"/>
      <c r="L286" s="1977"/>
      <c r="M286" s="1977"/>
      <c r="N286" s="1501"/>
      <c r="O286" s="1501"/>
      <c r="P286" s="1501"/>
      <c r="Q286" s="1501"/>
      <c r="R286" s="1977"/>
      <c r="S286" s="1501"/>
      <c r="T286" s="1501"/>
      <c r="U286" s="885"/>
      <c r="V286" s="1501"/>
      <c r="W286" s="1501"/>
      <c r="X286" s="1501"/>
      <c r="Y286" s="1501"/>
      <c r="Z286" s="1501"/>
      <c r="AA286" s="1973"/>
      <c r="AB286" s="907"/>
      <c r="AC286" s="907"/>
      <c r="AD286" s="907"/>
      <c r="AE286" s="907"/>
      <c r="AF286" s="1982">
        <v>11</v>
      </c>
    </row>
    <row s="17832" customFormat="1" customHeight="1" ht="11.549999999999999">
      <c r="A287" s="1328"/>
      <c r="B287" s="1977"/>
      <c r="C287" s="1977"/>
      <c r="D287" s="692"/>
      <c r="K287" s="1501"/>
      <c r="L287" s="1977"/>
      <c r="M287" s="1977"/>
      <c r="N287" s="1501"/>
      <c r="O287" s="1501"/>
      <c r="P287" s="1501"/>
      <c r="Q287" s="1501"/>
      <c r="R287" s="1977"/>
      <c r="S287" s="1501"/>
      <c r="T287" s="1501"/>
      <c r="U287" s="885"/>
      <c r="V287" s="1501"/>
      <c r="W287" s="1501"/>
      <c r="X287" s="1501"/>
      <c r="Y287" s="1501"/>
      <c r="Z287" s="1501"/>
      <c r="AA287" s="1973"/>
      <c r="AB287" s="907"/>
      <c r="AC287" s="907"/>
      <c r="AD287" s="907"/>
      <c r="AE287" s="907"/>
      <c r="AF287" s="1982">
        <v>11</v>
      </c>
    </row>
    <row s="17832" customFormat="1" customHeight="1" ht="11.549999999999999">
      <c r="A288" s="1328"/>
      <c r="B288" s="1977"/>
      <c r="C288" s="1977"/>
      <c r="D288" s="692"/>
      <c r="K288" s="1501"/>
      <c r="L288" s="1977"/>
      <c r="M288" s="1977"/>
      <c r="N288" s="1501"/>
      <c r="O288" s="1501"/>
      <c r="P288" s="1501"/>
      <c r="Q288" s="1501"/>
      <c r="R288" s="1977"/>
      <c r="S288" s="1501"/>
      <c r="T288" s="1501"/>
      <c r="U288" s="885"/>
      <c r="V288" s="1501"/>
      <c r="W288" s="1501"/>
      <c r="X288" s="1501"/>
      <c r="Y288" s="1501"/>
      <c r="Z288" s="1501"/>
      <c r="AA288" s="1973"/>
      <c r="AB288" s="907"/>
      <c r="AC288" s="907"/>
      <c r="AD288" s="907"/>
      <c r="AE288" s="907"/>
      <c r="AF288" s="1982">
        <v>11</v>
      </c>
    </row>
    <row customHeight="1" ht="11.549999999999999">
      <c r="AF289" s="1972">
        <v>11</v>
      </c>
    </row>
    <row customHeight="1" ht="11.549999999999999">
      <c r="AF290" s="1972">
        <v>11</v>
      </c>
    </row>
    <row customHeight="1" ht="11.549999999999999">
      <c r="AF291" s="1972">
        <v>11</v>
      </c>
    </row>
    <row customHeight="1" ht="11.549999999999999">
      <c r="A292" s="1331"/>
      <c r="B292" s="1972"/>
      <c r="D292" s="1972"/>
      <c r="K292" s="1972"/>
      <c r="N292" s="1972"/>
      <c r="O292" s="1972"/>
      <c r="P292" s="1972"/>
      <c r="Q292" s="1972"/>
      <c r="S292" s="1972"/>
      <c r="T292" s="1972"/>
      <c r="U292" s="1972"/>
      <c r="V292" s="1972"/>
      <c r="W292" s="1972"/>
      <c r="X292" s="1972"/>
      <c r="Y292" s="1972"/>
      <c r="Z292" s="1972"/>
      <c r="AA292" s="1972"/>
      <c r="AB292" s="1972"/>
      <c r="AC292" s="1972"/>
      <c r="AD292" s="1972"/>
      <c r="AE292" s="1972"/>
      <c r="AF292" s="1972">
        <v>11</v>
      </c>
    </row>
    <row customHeight="1" ht="11.549999999999999">
      <c r="A293" s="1331"/>
      <c r="B293" s="1972"/>
      <c r="D293" s="1972"/>
      <c r="K293" s="1972"/>
      <c r="N293" s="1972"/>
      <c r="O293" s="1972"/>
      <c r="P293" s="1972"/>
      <c r="Q293" s="1972"/>
      <c r="S293" s="1972"/>
      <c r="T293" s="1972"/>
      <c r="U293" s="1972"/>
      <c r="V293" s="1972"/>
      <c r="W293" s="1972"/>
      <c r="X293" s="1972"/>
      <c r="Y293" s="1972"/>
      <c r="Z293" s="1972"/>
      <c r="AA293" s="1972"/>
      <c r="AB293" s="1972"/>
      <c r="AC293" s="1972"/>
      <c r="AD293" s="1972"/>
      <c r="AE293" s="1972"/>
      <c r="AF293" s="1972">
        <v>11</v>
      </c>
    </row>
    <row customHeight="1" ht="11.549999999999999">
      <c r="A294" s="1331"/>
      <c r="B294" s="1972"/>
      <c r="D294" s="1972"/>
      <c r="K294" s="1972"/>
      <c r="N294" s="1972"/>
      <c r="O294" s="1972"/>
      <c r="P294" s="1972"/>
      <c r="Q294" s="1972"/>
      <c r="S294" s="1972"/>
      <c r="T294" s="1972"/>
      <c r="U294" s="1972"/>
      <c r="V294" s="1972"/>
      <c r="W294" s="1972"/>
      <c r="X294" s="1972"/>
      <c r="Y294" s="1972"/>
      <c r="Z294" s="1972"/>
      <c r="AA294" s="1972"/>
      <c r="AB294" s="1972"/>
      <c r="AC294" s="1972"/>
      <c r="AD294" s="1972"/>
      <c r="AE294" s="1972"/>
      <c r="AF294" s="1972">
        <v>11</v>
      </c>
    </row>
    <row customHeight="1" ht="11.549999999999999">
      <c r="A295" s="1331"/>
      <c r="B295" s="1972"/>
      <c r="D295" s="1972"/>
      <c r="K295" s="1972"/>
      <c r="N295" s="1972"/>
      <c r="O295" s="1972"/>
      <c r="P295" s="1972"/>
      <c r="Q295" s="1972"/>
      <c r="S295" s="1972"/>
      <c r="T295" s="1972"/>
      <c r="U295" s="1972"/>
      <c r="V295" s="1972"/>
      <c r="W295" s="1972"/>
      <c r="X295" s="1972"/>
      <c r="Y295" s="1972"/>
      <c r="Z295" s="1972"/>
      <c r="AA295" s="1972"/>
      <c r="AB295" s="1972"/>
      <c r="AC295" s="1972"/>
      <c r="AD295" s="1972"/>
      <c r="AE295" s="1972"/>
      <c r="AF295" s="1972">
        <v>11</v>
      </c>
    </row>
    <row customHeight="1" ht="11.549999999999999">
      <c r="A296" s="1331"/>
      <c r="B296" s="1972"/>
      <c r="D296" s="1972"/>
      <c r="K296" s="1972"/>
      <c r="N296" s="1972"/>
      <c r="O296" s="1972"/>
      <c r="P296" s="1972"/>
      <c r="Q296" s="1972"/>
      <c r="S296" s="1972"/>
      <c r="T296" s="1972"/>
      <c r="U296" s="1972"/>
      <c r="V296" s="1972"/>
      <c r="W296" s="1972"/>
      <c r="X296" s="1972"/>
      <c r="Y296" s="1972"/>
      <c r="Z296" s="1972"/>
      <c r="AA296" s="1972"/>
      <c r="AB296" s="1972"/>
      <c r="AC296" s="1972"/>
      <c r="AD296" s="1972"/>
      <c r="AE296" s="1972"/>
      <c r="AF296" s="1972">
        <v>11</v>
      </c>
    </row>
    <row customHeight="1" ht="11.549999999999999">
      <c r="A297" s="1331"/>
      <c r="B297" s="1972"/>
      <c r="D297" s="1972"/>
      <c r="K297" s="1972"/>
      <c r="N297" s="1972"/>
      <c r="O297" s="1972"/>
      <c r="P297" s="1972"/>
      <c r="Q297" s="1972"/>
      <c r="S297" s="1972"/>
      <c r="T297" s="1972"/>
      <c r="U297" s="1972"/>
      <c r="V297" s="1972"/>
      <c r="W297" s="1972"/>
      <c r="X297" s="1972"/>
      <c r="Y297" s="1972"/>
      <c r="Z297" s="1972"/>
      <c r="AA297" s="1972"/>
      <c r="AB297" s="1972"/>
      <c r="AC297" s="1972"/>
      <c r="AD297" s="1972"/>
      <c r="AE297" s="1972"/>
      <c r="AF297" s="1972">
        <v>11</v>
      </c>
    </row>
    <row customHeight="1" ht="11.549999999999999">
      <c r="A298" s="1331"/>
      <c r="B298" s="1972"/>
      <c r="D298" s="1972"/>
      <c r="K298" s="1972"/>
      <c r="N298" s="1972"/>
      <c r="O298" s="1972"/>
      <c r="P298" s="1972"/>
      <c r="Q298" s="1972"/>
      <c r="S298" s="1972"/>
      <c r="T298" s="1972"/>
      <c r="U298" s="1972"/>
      <c r="V298" s="1972"/>
      <c r="W298" s="1972"/>
      <c r="X298" s="1972"/>
      <c r="Y298" s="1972"/>
      <c r="Z298" s="1972"/>
      <c r="AA298" s="1972"/>
      <c r="AB298" s="1972"/>
      <c r="AC298" s="1972"/>
      <c r="AD298" s="1972"/>
      <c r="AE298" s="1972"/>
      <c r="AF298" s="1972">
        <v>11</v>
      </c>
    </row>
    <row customHeight="1" ht="11.549999999999999">
      <c r="A299" s="1331"/>
      <c r="B299" s="1972"/>
      <c r="D299" s="1972"/>
      <c r="K299" s="1972"/>
      <c r="N299" s="1972"/>
      <c r="O299" s="1972"/>
      <c r="P299" s="1972"/>
      <c r="Q299" s="1972"/>
      <c r="S299" s="1972"/>
      <c r="T299" s="1972"/>
      <c r="U299" s="1972"/>
      <c r="V299" s="1972"/>
      <c r="W299" s="1972"/>
      <c r="X299" s="1972"/>
      <c r="Y299" s="1972"/>
      <c r="Z299" s="1972"/>
      <c r="AA299" s="1972"/>
      <c r="AB299" s="1972"/>
      <c r="AC299" s="1972"/>
      <c r="AD299" s="1972"/>
      <c r="AE299" s="1972"/>
      <c r="AF299" s="1972">
        <v>11</v>
      </c>
    </row>
    <row customHeight="1" ht="11.549999999999999">
      <c r="A300" s="1331"/>
      <c r="B300" s="1972"/>
      <c r="D300" s="1972"/>
      <c r="K300" s="1972"/>
      <c r="N300" s="1972"/>
      <c r="O300" s="1972"/>
      <c r="P300" s="1972"/>
      <c r="Q300" s="1972"/>
      <c r="S300" s="1972"/>
      <c r="T300" s="1972"/>
      <c r="U300" s="1972"/>
      <c r="V300" s="1972"/>
      <c r="W300" s="1972"/>
      <c r="X300" s="1972"/>
      <c r="Y300" s="1972"/>
      <c r="Z300" s="1972"/>
      <c r="AA300" s="1972"/>
      <c r="AB300" s="1972"/>
      <c r="AC300" s="1972"/>
      <c r="AD300" s="1972"/>
      <c r="AE300" s="1972"/>
      <c r="AF300" s="1972">
        <v>11</v>
      </c>
    </row>
    <row customHeight="1" ht="11.549999999999999">
      <c r="A301" s="1331"/>
      <c r="B301" s="1972"/>
      <c r="D301" s="1972"/>
      <c r="K301" s="1972"/>
      <c r="N301" s="1972"/>
      <c r="O301" s="1972"/>
      <c r="P301" s="1972"/>
      <c r="Q301" s="1972"/>
      <c r="S301" s="1972"/>
      <c r="T301" s="1972"/>
      <c r="U301" s="1972"/>
      <c r="V301" s="1972"/>
      <c r="W301" s="1972"/>
      <c r="X301" s="1972"/>
      <c r="Y301" s="1972"/>
      <c r="Z301" s="1972"/>
      <c r="AA301" s="1972"/>
      <c r="AB301" s="1972"/>
      <c r="AC301" s="1972"/>
      <c r="AD301" s="1972"/>
      <c r="AE301" s="1972"/>
      <c r="AF301" s="1972">
        <v>11</v>
      </c>
    </row>
    <row customHeight="1" ht="11.549999999999999">
      <c r="A302" s="1331"/>
      <c r="B302" s="1972"/>
      <c r="D302" s="1972"/>
      <c r="K302" s="1972"/>
      <c r="N302" s="1972"/>
      <c r="O302" s="1972"/>
      <c r="P302" s="1972"/>
      <c r="Q302" s="1972"/>
      <c r="S302" s="1972"/>
      <c r="T302" s="1972"/>
      <c r="U302" s="1972"/>
      <c r="V302" s="1972"/>
      <c r="W302" s="1972"/>
      <c r="X302" s="1972"/>
      <c r="Y302" s="1972"/>
      <c r="Z302" s="1972"/>
      <c r="AA302" s="1972"/>
      <c r="AB302" s="1972"/>
      <c r="AC302" s="1972"/>
      <c r="AD302" s="1972"/>
      <c r="AE302" s="1972"/>
      <c r="AF302" s="1972">
        <v>11</v>
      </c>
    </row>
    <row customHeight="1" ht="11.25" hidden="1">
      <c r="A303" s="1328" t="s">
        <v>82</v>
      </c>
      <c r="B303" s="1501">
        <v>0</v>
      </c>
      <c r="C303" s="1977">
        <v>0</v>
      </c>
      <c r="D303" s="1976">
        <v>3</v>
      </c>
      <c r="E303" s="1972">
        <v>7</v>
      </c>
      <c r="F303" s="1972">
        <v>54</v>
      </c>
      <c r="G303" s="1972">
        <v>10</v>
      </c>
      <c r="H303" s="1972">
        <v>0</v>
      </c>
      <c r="I303" s="1972">
        <v>40</v>
      </c>
      <c r="J303" s="1972">
        <v>102</v>
      </c>
      <c r="K303" s="1501">
        <v>9</v>
      </c>
      <c r="L303" s="1977">
        <v>5</v>
      </c>
      <c r="M303" s="1977">
        <v>3</v>
      </c>
      <c r="N303" s="1501">
        <v>3</v>
      </c>
      <c r="O303" s="1501">
        <v>3</v>
      </c>
      <c r="P303" s="1501">
        <v>3</v>
      </c>
      <c r="Q303" s="1501">
        <v>3</v>
      </c>
      <c r="R303" s="1977">
        <v>10</v>
      </c>
      <c r="S303" s="1501">
        <v>34</v>
      </c>
      <c r="T303" s="1501">
        <v>9</v>
      </c>
      <c r="U303" s="885">
        <v>8</v>
      </c>
      <c r="V303" s="1501">
        <v>8</v>
      </c>
      <c r="W303" s="1501">
        <v>8</v>
      </c>
      <c r="X303" s="1501">
        <v>8</v>
      </c>
      <c r="Y303" s="1501">
        <v>8</v>
      </c>
      <c r="Z303" s="1501">
        <v>8</v>
      </c>
      <c r="AA303" s="1973">
        <v>8</v>
      </c>
      <c r="AB303" s="1973">
        <v>8</v>
      </c>
      <c r="AC303" s="1973">
        <v>8</v>
      </c>
      <c r="AD303" s="1973">
        <v>8</v>
      </c>
      <c r="AE303" s="1973">
        <v>8</v>
      </c>
      <c r="AF303" s="1972">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9EBB85-5CDE-D582-5BAB-0421D398FCA3}"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18566" width="14.7109375" hidden="1" customWidth="1"/>
    <col min="2" max="2" style="17203" width="17.00390625" hidden="1" customWidth="1"/>
    <col min="3" max="3" style="17239" width="3.00390625" customWidth="1"/>
    <col min="4" max="4" style="17239" width="1.8515625" hidden="1" customWidth="1"/>
    <col min="5" max="6" style="17239" width="7.00390625" customWidth="1"/>
    <col min="7" max="7" style="17239" width="29.00390625" customWidth="1"/>
    <col min="8" max="8" style="17239" width="3.7109375" customWidth="1"/>
    <col min="9" max="9" style="17239" width="5.00390625" customWidth="1"/>
    <col min="10" max="11" style="17239" width="24.00390625" customWidth="1"/>
    <col min="12" max="12" style="17239" width="3.00390625" customWidth="1"/>
    <col min="13" max="13" style="17239" width="6.00390625" customWidth="1"/>
    <col min="14" max="14" style="17239" width="25.00390625" customWidth="1"/>
    <col min="15" max="18" style="17239" width="18.00390625" customWidth="1"/>
    <col min="19" max="19" style="17239" width="93.00390625" customWidth="1"/>
    <col min="20" max="20" style="17239" width="10.00390625" customWidth="1"/>
    <col min="21" max="21" style="17316" width="10.00390625" customWidth="1"/>
    <col min="22" max="22" style="17316" width="11.00390625" customWidth="1"/>
    <col min="23" max="27" style="17203" width="10.00390625" customWidth="1"/>
    <col min="28" max="83" style="17239" width="8.00390625" customWidth="1"/>
    <col min="84" max="84" style="17239" width="9.140625" hidden="1"/>
  </cols>
  <sheetData>
    <row customHeight="1" ht="22.5" hidden="1">
      <c r="CF1" s="846" t="s">
        <v>14</v>
      </c>
    </row>
    <row customHeight="1" ht="11.25" hidden="1">
      <c r="CF2" s="846">
        <v>0</v>
      </c>
    </row>
    <row customHeight="1" ht="11.25" hidden="1">
      <c r="CF3" s="846">
        <v>0</v>
      </c>
    </row>
    <row customHeight="1" ht="3">
      <c r="C4" s="850"/>
      <c r="D4" s="850"/>
      <c r="E4" s="850"/>
      <c r="F4" s="850"/>
      <c r="G4" s="850"/>
      <c r="H4" s="850"/>
      <c r="I4" s="850"/>
      <c r="J4" s="850"/>
      <c r="K4" s="507"/>
      <c r="L4" s="507"/>
      <c r="M4" s="507"/>
      <c r="CF4" s="846">
        <v>3</v>
      </c>
    </row>
    <row customHeight="1" ht="29.25">
      <c r="C5" s="850"/>
      <c r="D5" s="1398"/>
      <c r="E5" s="2578" t="str">
        <f>FHD20_NAME_FORM</f>
        <v>Форма 11. Информация о расходах на капитальный и текущий ремонт основных средств</v>
      </c>
      <c r="F5" s="2578"/>
      <c r="G5" s="2578"/>
      <c r="H5" s="2578"/>
      <c r="I5" s="2578"/>
      <c r="J5" s="2578"/>
      <c r="K5" s="2578"/>
      <c r="L5" s="954"/>
      <c r="M5" s="954"/>
      <c r="CF5" s="846">
        <v>28</v>
      </c>
    </row>
    <row s="17239" customFormat="1" customHeight="1" ht="16.8">
      <c r="A6" s="951"/>
      <c r="B6" s="1100"/>
      <c r="C6" s="850"/>
      <c r="D6" s="1399"/>
      <c r="E6" s="2517" t="str">
        <f>IF(org=0,"Не определено",org)</f>
        <v>АО "ДГК"</v>
      </c>
      <c r="F6" s="2517"/>
      <c r="G6" s="2517"/>
      <c r="H6" s="2517"/>
      <c r="I6" s="2517"/>
      <c r="J6" s="2517"/>
      <c r="K6" s="2517"/>
      <c r="L6" s="954"/>
      <c r="M6" s="954"/>
      <c r="U6" s="952"/>
      <c r="V6" s="952"/>
      <c r="W6" s="953"/>
      <c r="X6" s="1100"/>
      <c r="Y6" s="1100"/>
      <c r="Z6" s="1100"/>
      <c r="AA6" s="1100"/>
      <c r="CF6" s="1099">
        <v>16</v>
      </c>
    </row>
    <row customHeight="1" ht="11.549999999999999">
      <c r="C7" s="850"/>
      <c r="D7" s="850"/>
      <c r="E7" s="850"/>
      <c r="F7" s="850"/>
      <c r="G7" s="863"/>
      <c r="H7" s="863"/>
      <c r="I7" s="863"/>
      <c r="J7" s="863"/>
      <c r="K7" s="955"/>
      <c r="L7" s="955"/>
      <c r="M7" s="955"/>
      <c r="R7" s="1093"/>
      <c r="CF7" s="846">
        <v>11</v>
      </c>
    </row>
    <row s="17832" customFormat="1" customHeight="1" ht="4.2">
      <c r="A8" s="962"/>
      <c r="B8" s="907"/>
      <c r="C8" s="692"/>
      <c r="D8" s="692"/>
      <c r="E8" s="692"/>
      <c r="F8" s="692"/>
      <c r="G8" s="1316"/>
      <c r="H8" s="1316"/>
      <c r="I8" s="1316"/>
      <c r="J8" s="1316"/>
      <c r="K8" s="1359"/>
      <c r="L8" s="1359"/>
      <c r="M8" s="1359"/>
      <c r="R8" s="1360"/>
      <c r="U8" s="952"/>
      <c r="V8" s="952"/>
      <c r="W8" s="963"/>
      <c r="X8" s="907"/>
      <c r="Y8" s="907"/>
      <c r="Z8" s="907"/>
      <c r="AA8" s="907"/>
      <c r="CF8" s="837">
        <v>4</v>
      </c>
    </row>
    <row customHeight="1" ht="19.95">
      <c r="D9" s="630"/>
      <c r="E9" s="2442" t="s">
        <v>295</v>
      </c>
      <c r="F9" s="2443"/>
      <c r="G9" s="2443"/>
      <c r="H9" s="2443"/>
      <c r="I9" s="2443"/>
      <c r="J9" s="2443"/>
      <c r="K9" s="2443"/>
      <c r="L9" s="2443"/>
      <c r="M9" s="2443"/>
      <c r="N9" s="2443"/>
      <c r="O9" s="2443"/>
      <c r="P9" s="2443"/>
      <c r="Q9" s="2443"/>
      <c r="R9" s="2444"/>
      <c r="S9" s="2468" t="s">
        <v>296</v>
      </c>
      <c r="T9" s="675"/>
      <c r="CF9" s="846">
        <v>19</v>
      </c>
    </row>
    <row customHeight="1" ht="48.29999999999999">
      <c r="D10" s="892" t="s">
        <v>88</v>
      </c>
      <c r="E10" s="2468" t="s">
        <v>88</v>
      </c>
      <c r="F10" s="2468"/>
      <c r="G10" s="862" t="s">
        <v>297</v>
      </c>
      <c r="H10" s="2468" t="s">
        <v>88</v>
      </c>
      <c r="I10" s="2468"/>
      <c r="J10" s="862" t="s">
        <v>597</v>
      </c>
      <c r="K10" s="862" t="s">
        <v>598</v>
      </c>
      <c r="L10" s="2468" t="s">
        <v>88</v>
      </c>
      <c r="M10" s="2468"/>
      <c r="N10" s="862" t="s">
        <v>599</v>
      </c>
      <c r="O10" s="862" t="s">
        <v>600</v>
      </c>
      <c r="P10" s="862" t="s">
        <v>601</v>
      </c>
      <c r="Q10" s="862" t="s">
        <v>602</v>
      </c>
      <c r="R10" s="862" t="s">
        <v>603</v>
      </c>
      <c r="S10" s="2468"/>
      <c r="T10" s="675"/>
      <c r="CF10" s="846">
        <v>46</v>
      </c>
    </row>
    <row s="17316" customFormat="1" customHeight="1" ht="15" hidden="1">
      <c r="A11" s="1393"/>
      <c r="D11" s="1366" t="s">
        <v>106</v>
      </c>
      <c r="E11" s="1366"/>
      <c r="F11" s="1366" t="s">
        <v>107</v>
      </c>
      <c r="G11" s="1366" t="s">
        <v>90</v>
      </c>
      <c r="H11" s="1366"/>
      <c r="I11" s="1366" t="s">
        <v>91</v>
      </c>
      <c r="J11" s="1366" t="s">
        <v>108</v>
      </c>
      <c r="K11" s="1366" t="s">
        <v>92</v>
      </c>
      <c r="L11" s="1366"/>
      <c r="M11" s="1366" t="s">
        <v>93</v>
      </c>
      <c r="N11" s="1366" t="s">
        <v>109</v>
      </c>
      <c r="O11" s="1366" t="s">
        <v>145</v>
      </c>
      <c r="P11" s="1366" t="s">
        <v>146</v>
      </c>
      <c r="Q11" s="1366" t="s">
        <v>147</v>
      </c>
      <c r="R11" s="1366" t="s">
        <v>148</v>
      </c>
      <c r="S11" s="1366" t="s">
        <v>149</v>
      </c>
      <c r="U11" s="952"/>
      <c r="V11" s="952"/>
      <c r="W11" s="952"/>
      <c r="CF11" s="852">
        <v>0</v>
      </c>
    </row>
    <row s="17239" customFormat="1" customHeight="1" ht="1.05">
      <c r="A12" s="956"/>
      <c r="B12" s="703"/>
      <c r="D12" s="889"/>
      <c r="E12" s="687"/>
      <c r="F12" s="687"/>
      <c r="Q12" s="957"/>
      <c r="R12" s="958"/>
      <c r="T12" s="959"/>
      <c r="U12" s="960"/>
      <c r="V12" s="960"/>
      <c r="W12" s="961"/>
      <c r="X12" s="703"/>
      <c r="Y12" s="703"/>
      <c r="Z12" s="703"/>
      <c r="AA12" s="703"/>
      <c r="CF12" s="850">
        <v>1</v>
      </c>
    </row>
    <row s="17832" customFormat="1" customHeight="1" ht="1.05">
      <c r="A13" s="962"/>
      <c r="B13" s="907"/>
      <c r="D13" s="889" t="s">
        <v>371</v>
      </c>
      <c r="E13" s="901"/>
      <c r="F13" s="901"/>
      <c r="G13" s="901"/>
      <c r="H13" s="901"/>
      <c r="I13" s="901"/>
      <c r="J13" s="901"/>
      <c r="K13" s="901"/>
      <c r="L13" s="901"/>
      <c r="M13" s="901"/>
      <c r="N13" s="901"/>
      <c r="O13" s="901"/>
      <c r="P13" s="901"/>
      <c r="Q13" s="901"/>
      <c r="R13" s="901"/>
      <c r="T13" s="675"/>
      <c r="U13" s="952"/>
      <c r="V13" s="952"/>
      <c r="W13" s="963"/>
      <c r="X13" s="907"/>
      <c r="Y13" s="907"/>
      <c r="Z13" s="907"/>
      <c r="AA13" s="907"/>
      <c r="CF13" s="837">
        <v>1</v>
      </c>
    </row>
    <row s="17376" customFormat="1" customHeight="1" ht="15" hidden="1">
      <c r="A14" s="964" t="s">
        <v>114</v>
      </c>
      <c r="B14" s="965"/>
      <c r="C14" s="965"/>
      <c r="D14" s="2721" t="s">
        <v>106</v>
      </c>
      <c r="E14" s="2718" t="s">
        <v>102</v>
      </c>
      <c r="F14" s="2719"/>
      <c r="G14" s="2720"/>
      <c r="H14" s="2724">
        <f>IF(A14="","",INDEX(DIFFERENTIATION_UNMERGE_VD,MATCH(A14,DIFFERENTIATION_ID_DIFF,0)))</f>
        <v>0</v>
      </c>
      <c r="I14" s="2724"/>
      <c r="J14" s="2724"/>
      <c r="K14" s="2724"/>
      <c r="L14" s="2724"/>
      <c r="M14" s="2724"/>
      <c r="N14" s="2724"/>
      <c r="O14" s="2724"/>
      <c r="P14" s="2724"/>
      <c r="Q14" s="2724"/>
      <c r="R14" s="2724"/>
      <c r="S14" s="1060"/>
      <c r="T14" s="1057"/>
      <c r="U14" s="966"/>
      <c r="V14" s="966"/>
      <c r="W14" s="967"/>
      <c r="X14" s="967"/>
      <c r="Y14" s="967"/>
      <c r="Z14" s="967"/>
      <c r="AA14" s="968"/>
      <c r="AB14" s="969"/>
      <c r="AC14" s="2716"/>
      <c r="AD14" s="970"/>
      <c r="AE14" s="971" t="s">
        <v>22</v>
      </c>
      <c r="AF14" s="971"/>
      <c r="AG14" s="972" t="s">
        <v>604</v>
      </c>
      <c r="AH14" s="973">
        <v>3</v>
      </c>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7"/>
      <c r="BW14" s="967"/>
      <c r="BX14" s="967"/>
      <c r="BY14" s="967"/>
      <c r="BZ14" s="967"/>
      <c r="CA14" s="967"/>
      <c r="CB14" s="967"/>
      <c r="CC14" s="967"/>
      <c r="CD14" s="967"/>
      <c r="CE14" s="967"/>
      <c r="CF14" s="634">
        <v>0</v>
      </c>
    </row>
    <row s="17376" customFormat="1" customHeight="1" ht="15" hidden="1">
      <c r="A15" s="964"/>
      <c r="B15" s="965"/>
      <c r="C15" s="965"/>
      <c r="D15" s="2722"/>
      <c r="E15" s="2718" t="s">
        <v>559</v>
      </c>
      <c r="F15" s="2719"/>
      <c r="G15" s="2720"/>
      <c r="H15" s="2724" t="str">
        <f>IF(A14="","",INDEX(DIFFERENTIATION_UNMERGE_AREA,MATCH(A14,DIFFERENTIATION_ID_DIFF,0)))</f>
        <v/>
      </c>
      <c r="I15" s="2724"/>
      <c r="J15" s="2724"/>
      <c r="K15" s="2724"/>
      <c r="L15" s="2724"/>
      <c r="M15" s="2724"/>
      <c r="N15" s="2724"/>
      <c r="O15" s="2724"/>
      <c r="P15" s="2724"/>
      <c r="Q15" s="2724"/>
      <c r="R15" s="2724"/>
      <c r="S15" s="1060"/>
      <c r="T15" s="1057"/>
      <c r="U15" s="966"/>
      <c r="V15" s="966"/>
      <c r="W15" s="967"/>
      <c r="X15" s="967"/>
      <c r="Y15" s="967"/>
      <c r="Z15" s="967"/>
      <c r="AA15" s="968"/>
      <c r="AB15" s="969"/>
      <c r="AC15" s="2716"/>
      <c r="AD15" s="970"/>
      <c r="AE15" s="971"/>
      <c r="AF15" s="971"/>
      <c r="AG15" s="972"/>
      <c r="AH15" s="973"/>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7"/>
      <c r="BW15" s="967"/>
      <c r="BX15" s="967"/>
      <c r="BY15" s="967"/>
      <c r="BZ15" s="967"/>
      <c r="CA15" s="967"/>
      <c r="CB15" s="967"/>
      <c r="CC15" s="967"/>
      <c r="CD15" s="967"/>
      <c r="CE15" s="967"/>
      <c r="CF15" s="634">
        <v>0</v>
      </c>
    </row>
    <row s="17376" customFormat="1" customHeight="1" ht="15" hidden="1">
      <c r="A16" s="964"/>
      <c r="B16" s="965"/>
      <c r="C16" s="965"/>
      <c r="D16" s="2722"/>
      <c r="E16" s="2718" t="s">
        <v>560</v>
      </c>
      <c r="F16" s="2719"/>
      <c r="G16" s="2720"/>
      <c r="H16" s="2724" t="str">
        <f>IF(A14="","",INDEX(DIFFERENTIATION_UNMERGE_SYSTEM,MATCH(A14,DIFFERENTIATION_ID_DIFF,0)))</f>
        <v>без дифференциации</v>
      </c>
      <c r="I16" s="2724"/>
      <c r="J16" s="2724"/>
      <c r="K16" s="2724"/>
      <c r="L16" s="2724"/>
      <c r="M16" s="2724"/>
      <c r="N16" s="2724"/>
      <c r="O16" s="2724"/>
      <c r="P16" s="2724"/>
      <c r="Q16" s="2724"/>
      <c r="R16" s="2724"/>
      <c r="S16" s="1060"/>
      <c r="T16" s="1057"/>
      <c r="U16" s="966"/>
      <c r="V16" s="966"/>
      <c r="W16" s="967"/>
      <c r="X16" s="967"/>
      <c r="Y16" s="967"/>
      <c r="Z16" s="967"/>
      <c r="AA16" s="968"/>
      <c r="AB16" s="969"/>
      <c r="AC16" s="2716"/>
      <c r="AD16" s="970"/>
      <c r="AE16" s="971"/>
      <c r="AF16" s="971"/>
      <c r="AG16" s="972"/>
      <c r="AH16" s="973"/>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7"/>
      <c r="BW16" s="967"/>
      <c r="BX16" s="967"/>
      <c r="BY16" s="967"/>
      <c r="BZ16" s="967"/>
      <c r="CA16" s="967"/>
      <c r="CB16" s="967"/>
      <c r="CC16" s="967"/>
      <c r="CD16" s="967"/>
      <c r="CE16" s="967"/>
      <c r="CF16" s="634">
        <v>0</v>
      </c>
    </row>
    <row s="17376" customFormat="1" customHeight="1" ht="22.5" hidden="1">
      <c r="A17" s="974"/>
      <c r="B17" s="758"/>
      <c r="C17" s="753"/>
      <c r="D17" s="2722"/>
      <c r="E17" s="2717" t="s">
        <v>605</v>
      </c>
      <c r="F17" s="2717"/>
      <c r="G17" s="2717"/>
      <c r="H17" s="2717"/>
      <c r="I17" s="2717"/>
      <c r="J17" s="2717"/>
      <c r="K17" s="2717"/>
      <c r="L17" s="2717"/>
      <c r="M17" s="2717"/>
      <c r="N17" s="2717"/>
      <c r="O17" s="2717"/>
      <c r="P17" s="2717"/>
      <c r="Q17" s="899">
        <f>SUMIF(T18:T19,"i",Q18:Q19)</f>
        <v>0</v>
      </c>
      <c r="R17" s="1358"/>
      <c r="S17" s="1238" t="s">
        <v>606</v>
      </c>
      <c r="T17" s="1058" t="s">
        <v>607</v>
      </c>
      <c r="U17" s="2715">
        <v>1</v>
      </c>
      <c r="V17" s="2715" t="str">
        <f>INDEX(B_FHD_FLAG_INDEX_1,1,MATCH(A14,B_FHD_FLAG_DIFFERENTIATION,0))</f>
        <v>отсутствует</v>
      </c>
      <c r="W17" s="758"/>
      <c r="X17" s="758"/>
      <c r="Y17" s="758"/>
      <c r="Z17" s="758"/>
      <c r="AA17" s="852"/>
      <c r="AB17" s="758"/>
      <c r="AC17" s="2716"/>
      <c r="AD17" s="970"/>
      <c r="AE17" s="758"/>
      <c r="AF17" s="758"/>
      <c r="AG17" s="852"/>
      <c r="AH17" s="852"/>
      <c r="AI17" s="852"/>
      <c r="AJ17" s="852"/>
      <c r="AK17" s="852"/>
      <c r="AL17" s="852"/>
      <c r="AM17" s="852"/>
      <c r="AN17" s="852"/>
      <c r="AO17" s="852"/>
      <c r="AP17" s="852"/>
      <c r="AQ17" s="852"/>
      <c r="AR17" s="852"/>
      <c r="AS17" s="852"/>
      <c r="AT17" s="852"/>
      <c r="AU17" s="852"/>
      <c r="AV17" s="852"/>
      <c r="AW17" s="852"/>
      <c r="AX17" s="852"/>
      <c r="AY17" s="852"/>
      <c r="AZ17" s="852"/>
      <c r="BA17" s="852"/>
      <c r="BB17" s="852"/>
      <c r="BC17" s="852"/>
      <c r="BD17" s="852"/>
      <c r="BE17" s="852"/>
      <c r="BF17" s="852"/>
      <c r="BG17" s="852"/>
      <c r="BH17" s="852"/>
      <c r="BI17" s="852"/>
      <c r="BJ17" s="852"/>
      <c r="BK17" s="852"/>
      <c r="BL17" s="852"/>
      <c r="BM17" s="852"/>
      <c r="BN17" s="852"/>
      <c r="BO17" s="852"/>
      <c r="BP17" s="852"/>
      <c r="BQ17" s="852"/>
      <c r="BR17" s="852"/>
      <c r="BS17" s="852"/>
      <c r="BT17" s="852"/>
      <c r="BU17" s="852"/>
      <c r="BV17" s="758"/>
      <c r="BW17" s="758"/>
      <c r="BX17" s="758"/>
      <c r="BY17" s="758"/>
      <c r="BZ17" s="758"/>
      <c r="CA17" s="758"/>
      <c r="CB17" s="758"/>
      <c r="CC17" s="758"/>
      <c r="CD17" s="758"/>
      <c r="CE17" s="758"/>
      <c r="CF17" s="634">
        <v>0</v>
      </c>
    </row>
    <row s="17376" customFormat="1" customHeight="1" ht="11.25" hidden="1">
      <c r="A18" s="975"/>
      <c r="B18" s="852"/>
      <c r="C18" s="852"/>
      <c r="D18" s="2722"/>
      <c r="E18" s="976"/>
      <c r="F18" s="976">
        <v>0</v>
      </c>
      <c r="G18" s="976"/>
      <c r="H18" s="976"/>
      <c r="I18" s="976"/>
      <c r="J18" s="976"/>
      <c r="K18" s="976"/>
      <c r="L18" s="976"/>
      <c r="M18" s="976"/>
      <c r="N18" s="976"/>
      <c r="O18" s="976"/>
      <c r="P18" s="976"/>
      <c r="Q18" s="976"/>
      <c r="R18" s="976"/>
      <c r="S18" s="977"/>
      <c r="T18" s="1059"/>
      <c r="U18" s="2715"/>
      <c r="V18" s="2715"/>
      <c r="W18" s="852"/>
      <c r="X18" s="852"/>
      <c r="Y18" s="852"/>
      <c r="Z18" s="852"/>
      <c r="AA18" s="852"/>
      <c r="AB18" s="758"/>
      <c r="AC18" s="2716"/>
      <c r="AD18" s="970"/>
      <c r="AE18" s="758"/>
      <c r="AF18" s="758"/>
      <c r="AG18" s="852"/>
      <c r="AH18" s="852"/>
      <c r="AI18" s="852"/>
      <c r="AJ18" s="852"/>
      <c r="AK18" s="852"/>
      <c r="AL18" s="852"/>
      <c r="AM18" s="852"/>
      <c r="AN18" s="852"/>
      <c r="AO18" s="852"/>
      <c r="AP18" s="852"/>
      <c r="AQ18" s="852"/>
      <c r="AR18" s="852"/>
      <c r="AS18" s="852"/>
      <c r="AT18" s="852"/>
      <c r="AU18" s="852"/>
      <c r="AV18" s="852"/>
      <c r="AW18" s="852"/>
      <c r="AX18" s="852"/>
      <c r="AY18" s="852"/>
      <c r="AZ18" s="852"/>
      <c r="BA18" s="852"/>
      <c r="BB18" s="852"/>
      <c r="BC18" s="852"/>
      <c r="BD18" s="852"/>
      <c r="BE18" s="852"/>
      <c r="BF18" s="852"/>
      <c r="BG18" s="852"/>
      <c r="BH18" s="852"/>
      <c r="BI18" s="852"/>
      <c r="BJ18" s="852"/>
      <c r="BK18" s="852"/>
      <c r="BL18" s="852"/>
      <c r="BM18" s="852"/>
      <c r="BN18" s="852"/>
      <c r="BO18" s="852"/>
      <c r="BP18" s="852"/>
      <c r="BQ18" s="852"/>
      <c r="BR18" s="852"/>
      <c r="BS18" s="852"/>
      <c r="BT18" s="852"/>
      <c r="BU18" s="852"/>
      <c r="BV18" s="852"/>
      <c r="BW18" s="852"/>
      <c r="BX18" s="852"/>
      <c r="BY18" s="852"/>
      <c r="BZ18" s="852"/>
      <c r="CA18" s="852"/>
      <c r="CB18" s="852"/>
      <c r="CC18" s="852"/>
      <c r="CD18" s="852"/>
      <c r="CE18" s="852"/>
      <c r="CF18" s="634">
        <v>0</v>
      </c>
    </row>
    <row s="17376" customFormat="1" customHeight="1" ht="11.25" hidden="1">
      <c r="A19" s="974"/>
      <c r="B19" s="758"/>
      <c r="C19" s="753"/>
      <c r="D19" s="2722"/>
      <c r="E19" s="990" t="s">
        <v>22</v>
      </c>
      <c r="F19" s="991" t="s">
        <v>22</v>
      </c>
      <c r="G19" s="991" t="s">
        <v>22</v>
      </c>
      <c r="H19" s="992" t="s">
        <v>22</v>
      </c>
      <c r="I19" s="992"/>
      <c r="J19" s="992"/>
      <c r="K19" s="992"/>
      <c r="L19" s="992"/>
      <c r="M19" s="992"/>
      <c r="N19" s="992"/>
      <c r="O19" s="992"/>
      <c r="P19" s="992"/>
      <c r="Q19" s="992"/>
      <c r="R19" s="993"/>
      <c r="S19" s="1361"/>
      <c r="T19" s="1059"/>
      <c r="U19" s="2715"/>
      <c r="V19" s="2715"/>
      <c r="W19" s="758"/>
      <c r="X19" s="758"/>
      <c r="Y19" s="758"/>
      <c r="Z19" s="758"/>
      <c r="AA19" s="852"/>
      <c r="AB19" s="758"/>
      <c r="AC19" s="2716"/>
      <c r="AD19" s="970"/>
      <c r="AE19" s="758"/>
      <c r="AF19" s="758"/>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c r="BC19" s="852"/>
      <c r="BD19" s="852"/>
      <c r="BE19" s="852"/>
      <c r="BF19" s="852"/>
      <c r="BG19" s="852"/>
      <c r="BH19" s="852"/>
      <c r="BI19" s="852"/>
      <c r="BJ19" s="852"/>
      <c r="BK19" s="852"/>
      <c r="BL19" s="852"/>
      <c r="BM19" s="852"/>
      <c r="BN19" s="852"/>
      <c r="BO19" s="852"/>
      <c r="BP19" s="852"/>
      <c r="BQ19" s="852"/>
      <c r="BR19" s="852"/>
      <c r="BS19" s="852"/>
      <c r="BT19" s="852"/>
      <c r="BU19" s="852"/>
      <c r="BV19" s="758"/>
      <c r="BW19" s="758"/>
      <c r="BX19" s="758"/>
      <c r="BY19" s="758"/>
      <c r="BZ19" s="758"/>
      <c r="CA19" s="758"/>
      <c r="CB19" s="758"/>
      <c r="CC19" s="758"/>
      <c r="CD19" s="758"/>
      <c r="CE19" s="758"/>
      <c r="CF19" s="634">
        <v>0</v>
      </c>
    </row>
    <row s="17376" customFormat="1" customHeight="1" ht="22.5" hidden="1">
      <c r="A20" s="974"/>
      <c r="B20" s="758"/>
      <c r="C20" s="753"/>
      <c r="D20" s="2722"/>
      <c r="E20" s="2717" t="s">
        <v>608</v>
      </c>
      <c r="F20" s="2717"/>
      <c r="G20" s="2717"/>
      <c r="H20" s="2717"/>
      <c r="I20" s="2717"/>
      <c r="J20" s="2717"/>
      <c r="K20" s="2717"/>
      <c r="L20" s="2717"/>
      <c r="M20" s="2717"/>
      <c r="N20" s="2717"/>
      <c r="O20" s="2717"/>
      <c r="P20" s="2717"/>
      <c r="Q20" s="899">
        <f>SUMIF(T21:T22,"i",Q21:Q22)</f>
        <v>0</v>
      </c>
      <c r="R20" s="1358"/>
      <c r="S20" s="1050" t="s">
        <v>609</v>
      </c>
      <c r="T20" s="1058" t="s">
        <v>607</v>
      </c>
      <c r="U20" s="2715">
        <v>2</v>
      </c>
      <c r="V20" s="2715" t="str">
        <f>INDEX(B_FHD_FLAG_INDEX_2,1,MATCH(A14,B_FHD_FLAG_DIFFERENTIATION,0))</f>
        <v>отсутствует</v>
      </c>
      <c r="W20" s="758"/>
      <c r="X20" s="758"/>
      <c r="Y20" s="758"/>
      <c r="Z20" s="758"/>
      <c r="AA20" s="852"/>
      <c r="AB20" s="758"/>
      <c r="AC20" s="1047"/>
      <c r="AD20" s="970"/>
      <c r="AE20" s="758"/>
      <c r="AF20" s="758"/>
      <c r="AG20" s="852"/>
      <c r="AH20" s="852"/>
      <c r="AI20" s="852"/>
      <c r="AJ20" s="852"/>
      <c r="AK20" s="852"/>
      <c r="AL20" s="852"/>
      <c r="AM20" s="852"/>
      <c r="AN20" s="852"/>
      <c r="AO20" s="852"/>
      <c r="AP20" s="852"/>
      <c r="AQ20" s="852"/>
      <c r="AR20" s="852"/>
      <c r="AS20" s="852"/>
      <c r="AT20" s="852"/>
      <c r="AU20" s="852"/>
      <c r="AV20" s="852"/>
      <c r="AW20" s="852"/>
      <c r="AX20" s="852"/>
      <c r="AY20" s="852"/>
      <c r="AZ20" s="852"/>
      <c r="BA20" s="852"/>
      <c r="BB20" s="852"/>
      <c r="BC20" s="852"/>
      <c r="BD20" s="852"/>
      <c r="BE20" s="852"/>
      <c r="BF20" s="852"/>
      <c r="BG20" s="852"/>
      <c r="BH20" s="852"/>
      <c r="BI20" s="852"/>
      <c r="BJ20" s="852"/>
      <c r="BK20" s="852"/>
      <c r="BL20" s="852"/>
      <c r="BM20" s="852"/>
      <c r="BN20" s="852"/>
      <c r="BO20" s="852"/>
      <c r="BP20" s="852"/>
      <c r="BQ20" s="852"/>
      <c r="BR20" s="852"/>
      <c r="BS20" s="852"/>
      <c r="BT20" s="852"/>
      <c r="BU20" s="852"/>
      <c r="BV20" s="758"/>
      <c r="BW20" s="758"/>
      <c r="BX20" s="758"/>
      <c r="BY20" s="758"/>
      <c r="BZ20" s="758"/>
      <c r="CA20" s="758"/>
      <c r="CB20" s="758"/>
      <c r="CC20" s="758"/>
      <c r="CD20" s="758"/>
      <c r="CE20" s="758"/>
      <c r="CF20" s="634">
        <v>0</v>
      </c>
    </row>
    <row s="17376" customFormat="1" customHeight="1" ht="11.25" hidden="1">
      <c r="A21" s="1049"/>
      <c r="B21" s="852"/>
      <c r="C21" s="852"/>
      <c r="D21" s="2722"/>
      <c r="E21" s="976"/>
      <c r="F21" s="976">
        <v>0</v>
      </c>
      <c r="G21" s="976"/>
      <c r="H21" s="976"/>
      <c r="I21" s="976"/>
      <c r="J21" s="976"/>
      <c r="K21" s="976"/>
      <c r="L21" s="976"/>
      <c r="M21" s="976"/>
      <c r="N21" s="976"/>
      <c r="O21" s="976"/>
      <c r="P21" s="976"/>
      <c r="Q21" s="976"/>
      <c r="R21" s="976"/>
      <c r="S21" s="977"/>
      <c r="T21" s="1059"/>
      <c r="U21" s="2715"/>
      <c r="V21" s="2715"/>
      <c r="W21" s="852"/>
      <c r="X21" s="852"/>
      <c r="Y21" s="852"/>
      <c r="Z21" s="852"/>
      <c r="AA21" s="852"/>
      <c r="AB21" s="758"/>
      <c r="AC21" s="1047"/>
      <c r="AD21" s="970"/>
      <c r="AE21" s="758"/>
      <c r="AF21" s="758"/>
      <c r="AG21" s="852"/>
      <c r="AH21" s="852"/>
      <c r="AI21" s="852"/>
      <c r="AJ21" s="852"/>
      <c r="AK21" s="852"/>
      <c r="AL21" s="852"/>
      <c r="AM21" s="852"/>
      <c r="AN21" s="852"/>
      <c r="AO21" s="852"/>
      <c r="AP21" s="852"/>
      <c r="AQ21" s="852"/>
      <c r="AR21" s="852"/>
      <c r="AS21" s="852"/>
      <c r="AT21" s="852"/>
      <c r="AU21" s="852"/>
      <c r="AV21" s="852"/>
      <c r="AW21" s="852"/>
      <c r="AX21" s="852"/>
      <c r="AY21" s="852"/>
      <c r="AZ21" s="852"/>
      <c r="BA21" s="852"/>
      <c r="BB21" s="852"/>
      <c r="BC21" s="852"/>
      <c r="BD21" s="852"/>
      <c r="BE21" s="852"/>
      <c r="BF21" s="852"/>
      <c r="BG21" s="852"/>
      <c r="BH21" s="852"/>
      <c r="BI21" s="852"/>
      <c r="BJ21" s="852"/>
      <c r="BK21" s="852"/>
      <c r="BL21" s="852"/>
      <c r="BM21" s="852"/>
      <c r="BN21" s="852"/>
      <c r="BO21" s="852"/>
      <c r="BP21" s="852"/>
      <c r="BQ21" s="852"/>
      <c r="BR21" s="852"/>
      <c r="BS21" s="852"/>
      <c r="BT21" s="852"/>
      <c r="BU21" s="852"/>
      <c r="BV21" s="852"/>
      <c r="BW21" s="852"/>
      <c r="BX21" s="852"/>
      <c r="BY21" s="852"/>
      <c r="BZ21" s="852"/>
      <c r="CA21" s="852"/>
      <c r="CB21" s="852"/>
      <c r="CC21" s="852"/>
      <c r="CD21" s="852"/>
      <c r="CE21" s="852"/>
      <c r="CF21" s="634">
        <v>0</v>
      </c>
    </row>
    <row s="17376" customFormat="1" customHeight="1" ht="11.25" hidden="1">
      <c r="A22" s="974"/>
      <c r="B22" s="758"/>
      <c r="C22" s="753"/>
      <c r="D22" s="2723"/>
      <c r="E22" s="990" t="s">
        <v>22</v>
      </c>
      <c r="F22" s="991" t="s">
        <v>22</v>
      </c>
      <c r="G22" s="991" t="s">
        <v>22</v>
      </c>
      <c r="H22" s="992" t="s">
        <v>22</v>
      </c>
      <c r="I22" s="992"/>
      <c r="J22" s="992"/>
      <c r="K22" s="992"/>
      <c r="L22" s="992"/>
      <c r="M22" s="992"/>
      <c r="N22" s="992"/>
      <c r="O22" s="992"/>
      <c r="P22" s="992"/>
      <c r="Q22" s="992"/>
      <c r="R22" s="993"/>
      <c r="S22" s="1361"/>
      <c r="T22" s="1059"/>
      <c r="U22" s="2715"/>
      <c r="V22" s="2715"/>
      <c r="W22" s="758"/>
      <c r="X22" s="758"/>
      <c r="Y22" s="758"/>
      <c r="Z22" s="758"/>
      <c r="AA22" s="852"/>
      <c r="AB22" s="758"/>
      <c r="AC22" s="1047"/>
      <c r="AD22" s="970"/>
      <c r="AE22" s="758"/>
      <c r="AF22" s="758"/>
      <c r="AG22" s="852"/>
      <c r="AH22" s="852"/>
      <c r="AI22" s="852"/>
      <c r="AJ22" s="852"/>
      <c r="AK22" s="852"/>
      <c r="AL22" s="852"/>
      <c r="AM22" s="852"/>
      <c r="AN22" s="852"/>
      <c r="AO22" s="852"/>
      <c r="AP22" s="852"/>
      <c r="AQ22" s="852"/>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c r="BN22" s="852"/>
      <c r="BO22" s="852"/>
      <c r="BP22" s="852"/>
      <c r="BQ22" s="852"/>
      <c r="BR22" s="852"/>
      <c r="BS22" s="852"/>
      <c r="BT22" s="852"/>
      <c r="BU22" s="852"/>
      <c r="BV22" s="758"/>
      <c r="BW22" s="758"/>
      <c r="BX22" s="758"/>
      <c r="BY22" s="758"/>
      <c r="BZ22" s="758"/>
      <c r="CA22" s="758"/>
      <c r="CB22" s="758"/>
      <c r="CC22" s="758"/>
      <c r="CD22" s="758"/>
      <c r="CE22" s="758"/>
      <c r="CF22" s="634">
        <v>0</v>
      </c>
    </row>
    <row customHeight="1" ht="19.95">
      <c r="D23" s="1388"/>
      <c r="E23" s="1388"/>
      <c r="F23" s="1388"/>
      <c r="G23" s="1388"/>
      <c r="H23" s="1388"/>
      <c r="I23" s="1388"/>
      <c r="J23" s="1388"/>
      <c r="K23" s="1388"/>
      <c r="L23" s="1388"/>
      <c r="M23" s="1388"/>
      <c r="N23" s="1388"/>
      <c r="O23" s="1388"/>
      <c r="P23" s="1388"/>
      <c r="Q23" s="1388"/>
      <c r="R23" s="1388"/>
      <c r="S23" s="1388"/>
      <c r="T23" s="675"/>
      <c r="CF23" s="846">
        <v>19</v>
      </c>
    </row>
    <row customHeight="1" ht="11.549999999999999">
      <c r="D24" s="850"/>
      <c r="CF24" s="846">
        <v>11</v>
      </c>
    </row>
    <row customHeight="1" ht="11.549999999999999">
      <c r="D25" s="995"/>
      <c r="E25" s="995"/>
      <c r="F25" s="995"/>
      <c r="G25" s="996"/>
      <c r="CF25" s="846">
        <v>11</v>
      </c>
    </row>
    <row customHeight="1" ht="11.549999999999999">
      <c r="CF26" s="846">
        <v>11</v>
      </c>
    </row>
    <row customHeight="1" ht="11.549999999999999">
      <c r="D27" s="997"/>
      <c r="E27" s="2725"/>
      <c r="F27" s="2725"/>
      <c r="G27" s="2725"/>
      <c r="H27" s="2725"/>
      <c r="I27" s="2725"/>
      <c r="J27" s="2725"/>
      <c r="K27" s="2725"/>
      <c r="L27" s="2725"/>
      <c r="M27" s="2725"/>
      <c r="N27" s="2725"/>
      <c r="O27" s="2725"/>
      <c r="P27" s="2725"/>
      <c r="Q27" s="2725"/>
      <c r="R27" s="2725"/>
      <c r="CF27" s="846">
        <v>11</v>
      </c>
    </row>
    <row customHeight="1" ht="11.549999999999999">
      <c r="F28" s="1099"/>
      <c r="G28" s="1099"/>
      <c r="CF28" s="846">
        <v>11</v>
      </c>
    </row>
    <row customHeight="1" ht="11.25" hidden="1">
      <c r="A29" s="951" t="s">
        <v>82</v>
      </c>
      <c r="B29" s="790">
        <v>0</v>
      </c>
      <c r="C29" s="846">
        <v>3</v>
      </c>
      <c r="D29" s="846">
        <v>0</v>
      </c>
      <c r="E29" s="846">
        <v>7</v>
      </c>
      <c r="F29" s="846">
        <v>7</v>
      </c>
      <c r="G29" s="846">
        <v>29</v>
      </c>
      <c r="H29" s="846">
        <v>3</v>
      </c>
      <c r="I29" s="846">
        <v>5</v>
      </c>
      <c r="J29" s="846">
        <v>24</v>
      </c>
      <c r="K29" s="846">
        <v>24</v>
      </c>
      <c r="L29" s="846">
        <v>3</v>
      </c>
      <c r="M29" s="846">
        <v>6</v>
      </c>
      <c r="N29" s="846">
        <v>25</v>
      </c>
      <c r="O29" s="846">
        <v>18</v>
      </c>
      <c r="P29" s="846">
        <v>18</v>
      </c>
      <c r="Q29" s="846">
        <v>18</v>
      </c>
      <c r="R29" s="846">
        <v>18</v>
      </c>
      <c r="S29" s="846">
        <v>93</v>
      </c>
      <c r="T29" s="846">
        <v>10</v>
      </c>
      <c r="U29" s="952">
        <v>10</v>
      </c>
      <c r="V29" s="952">
        <v>11</v>
      </c>
      <c r="W29" s="953">
        <v>10</v>
      </c>
      <c r="X29" s="790">
        <v>10</v>
      </c>
      <c r="Y29" s="790">
        <v>10</v>
      </c>
      <c r="Z29" s="790">
        <v>10</v>
      </c>
      <c r="AA29" s="790">
        <v>10</v>
      </c>
      <c r="AB29" s="846">
        <v>8</v>
      </c>
      <c r="AC29" s="846">
        <v>8</v>
      </c>
      <c r="AD29" s="846">
        <v>8</v>
      </c>
      <c r="AE29" s="846">
        <v>8</v>
      </c>
      <c r="AF29" s="846">
        <v>8</v>
      </c>
      <c r="AG29" s="846">
        <v>8</v>
      </c>
      <c r="AH29" s="846">
        <v>8</v>
      </c>
      <c r="AI29" s="846">
        <v>8</v>
      </c>
      <c r="AJ29" s="846">
        <v>8</v>
      </c>
      <c r="AK29" s="846">
        <v>8</v>
      </c>
      <c r="AL29" s="846">
        <v>8</v>
      </c>
      <c r="AM29" s="846">
        <v>8</v>
      </c>
      <c r="AN29" s="846">
        <v>8</v>
      </c>
      <c r="AO29" s="846">
        <v>8</v>
      </c>
      <c r="AP29" s="846">
        <v>8</v>
      </c>
      <c r="AQ29" s="846">
        <v>8</v>
      </c>
      <c r="AR29" s="846">
        <v>8</v>
      </c>
      <c r="AS29" s="846">
        <v>8</v>
      </c>
      <c r="AT29" s="846">
        <v>8</v>
      </c>
      <c r="AU29" s="846">
        <v>8</v>
      </c>
      <c r="AV29" s="846">
        <v>8</v>
      </c>
      <c r="AW29" s="846">
        <v>8</v>
      </c>
      <c r="AX29" s="846">
        <v>8</v>
      </c>
      <c r="AY29" s="846">
        <v>8</v>
      </c>
      <c r="AZ29" s="846">
        <v>8</v>
      </c>
      <c r="BA29" s="846">
        <v>8</v>
      </c>
      <c r="BB29" s="846">
        <v>8</v>
      </c>
      <c r="BC29" s="846">
        <v>8</v>
      </c>
      <c r="BD29" s="846">
        <v>8</v>
      </c>
      <c r="BE29" s="846">
        <v>8</v>
      </c>
      <c r="BF29" s="846">
        <v>8</v>
      </c>
      <c r="BG29" s="846">
        <v>8</v>
      </c>
      <c r="BH29" s="846">
        <v>8</v>
      </c>
      <c r="BI29" s="846">
        <v>8</v>
      </c>
      <c r="BJ29" s="846">
        <v>8</v>
      </c>
      <c r="BK29" s="846">
        <v>8</v>
      </c>
      <c r="BL29" s="846">
        <v>8</v>
      </c>
      <c r="BM29" s="846">
        <v>8</v>
      </c>
      <c r="BN29" s="846">
        <v>8</v>
      </c>
      <c r="BO29" s="846">
        <v>8</v>
      </c>
      <c r="BP29" s="846">
        <v>8</v>
      </c>
      <c r="BQ29" s="846">
        <v>8</v>
      </c>
      <c r="BR29" s="846">
        <v>8</v>
      </c>
      <c r="BS29" s="846">
        <v>8</v>
      </c>
      <c r="BT29" s="846">
        <v>8</v>
      </c>
      <c r="BU29" s="846">
        <v>8</v>
      </c>
      <c r="BV29" s="846">
        <v>8</v>
      </c>
      <c r="BW29" s="846">
        <v>8</v>
      </c>
      <c r="BX29" s="846">
        <v>8</v>
      </c>
      <c r="BY29" s="846">
        <v>8</v>
      </c>
      <c r="BZ29" s="846">
        <v>8</v>
      </c>
      <c r="CA29" s="846">
        <v>8</v>
      </c>
      <c r="CB29" s="846">
        <v>8</v>
      </c>
      <c r="CC29" s="846">
        <v>8</v>
      </c>
      <c r="CD29" s="846">
        <v>8</v>
      </c>
      <c r="CE29" s="846">
        <v>8</v>
      </c>
      <c r="CF29" s="846">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405AB5-5EBA-4B19-9F48-BA3C0D4030C2}"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18498" width="10.7109375" hidden="1" customWidth="1"/>
    <col min="6" max="6" style="17315" width="16.8515625" hidden="1" customWidth="1"/>
    <col min="7" max="7" style="17316" width="5.57421875" hidden="1" customWidth="1"/>
    <col min="8" max="8" style="17239" width="3.00390625" customWidth="1"/>
    <col min="9" max="9" style="17239" width="7.00390625" customWidth="1"/>
    <col min="10" max="10" style="17239" width="56.00390625" customWidth="1"/>
    <col min="11" max="11" style="17239" width="10.00390625" customWidth="1"/>
    <col min="12" max="12" style="17239" width="40.57421875" hidden="1" customWidth="1"/>
    <col min="13" max="13" style="17239" width="40.7109375" customWidth="1"/>
    <col min="14" max="14" style="17315" width="9.7109375" hidden="1" customWidth="1"/>
    <col min="15" max="15" style="17239" width="102.00390625" customWidth="1"/>
    <col min="16" max="16" style="17315" width="9.00390625" customWidth="1"/>
    <col min="17" max="17" style="17316" width="5.00390625" customWidth="1"/>
    <col min="18" max="18" style="17316" width="3.00390625" customWidth="1"/>
    <col min="19" max="22" style="17315" width="3.00390625" customWidth="1"/>
    <col min="23" max="23" style="17316" width="10.00390625" customWidth="1"/>
    <col min="24" max="24" style="17315" width="34.00390625" customWidth="1"/>
    <col min="25" max="25" style="17315" width="9.00390625" customWidth="1"/>
    <col min="26" max="26" style="18499" width="8.00390625" customWidth="1"/>
    <col min="27" max="31" style="17315" width="8.00390625" customWidth="1"/>
    <col min="32" max="36" style="17203" width="8.00390625" customWidth="1"/>
    <col min="37" max="37" style="17239" width="5.421875" hidden="1" customWidth="1"/>
  </cols>
  <sheetData>
    <row s="17315" customFormat="1" customHeight="1" ht="33.75" hidden="1">
      <c r="A1" s="1328"/>
      <c r="B1" s="1328"/>
      <c r="C1" s="1328"/>
      <c r="D1" s="1328"/>
      <c r="E1" s="1328"/>
      <c r="G1" s="1977"/>
      <c r="H1" s="1219"/>
      <c r="L1" s="1707">
        <v>4</v>
      </c>
      <c r="M1" s="1707">
        <v>4</v>
      </c>
      <c r="Q1" s="1977"/>
      <c r="R1" s="1977"/>
      <c r="W1" s="1977"/>
      <c r="AK1" s="1707" t="s">
        <v>14</v>
      </c>
    </row>
    <row s="17315" customFormat="1" customHeight="1" ht="78.75" hidden="1">
      <c r="A2" s="1328"/>
      <c r="B2" s="2394" t="s">
        <v>610</v>
      </c>
      <c r="C2" s="2394" t="s">
        <v>611</v>
      </c>
      <c r="D2" s="2393" t="s">
        <v>612</v>
      </c>
      <c r="E2" s="2397">
        <f>RIGHT(I2,LEN(I2)-SEARCH("#",SUBSTITUTE(I2,".","#",LEN(I2)-LEN(SUBSTITUTE(I2,".","")))))</f>
      </c>
      <c r="F2" s="2399">
        <f>J2</f>
        <v>0</v>
      </c>
      <c r="G2" s="1977"/>
      <c r="H2" s="2400"/>
      <c r="I2" s="2390"/>
      <c r="J2" s="881"/>
      <c r="K2" s="2360" t="s">
        <v>551</v>
      </c>
      <c r="L2" s="1092"/>
      <c r="M2" s="1092"/>
      <c r="N2" s="884"/>
      <c r="O2" s="1866" t="s">
        <v>552</v>
      </c>
      <c r="P2" s="884"/>
      <c r="Q2" s="1977"/>
      <c r="R2" s="1977"/>
      <c r="W2" s="1977"/>
      <c r="Z2" s="885"/>
      <c r="AF2" s="1973"/>
      <c r="AG2" s="1973"/>
      <c r="AH2" s="1973"/>
      <c r="AI2" s="1973"/>
      <c r="AJ2" s="1973"/>
      <c r="AK2" s="1707">
        <v>0</v>
      </c>
    </row>
    <row customHeight="1" ht="11.25" hidden="1">
      <c r="E3" s="2392" t="s">
        <v>613</v>
      </c>
      <c r="L3" s="1972">
        <f>0</f>
        <v>0</v>
      </c>
      <c r="M3" s="1972">
        <v>1</v>
      </c>
      <c r="AK3" s="1972">
        <v>0</v>
      </c>
    </row>
    <row s="17203" customFormat="1" customHeight="1" ht="11.25" hidden="1">
      <c r="A4" s="1328"/>
      <c r="B4" s="1328"/>
      <c r="C4" s="1328"/>
      <c r="E4" s="1328"/>
      <c r="F4" s="1707"/>
      <c r="G4" s="1977"/>
      <c r="H4" s="961"/>
      <c r="N4" s="1707"/>
      <c r="O4" s="1973">
        <v>4</v>
      </c>
      <c r="P4" s="1707"/>
      <c r="Q4" s="1977"/>
      <c r="R4" s="1977"/>
      <c r="S4" s="1707"/>
      <c r="T4" s="1707"/>
      <c r="U4" s="1707"/>
      <c r="V4" s="1707"/>
      <c r="W4" s="1977"/>
      <c r="X4" s="1707"/>
      <c r="Y4" s="1707"/>
      <c r="Z4" s="885"/>
      <c r="AA4" s="1707"/>
      <c r="AB4" s="1707"/>
      <c r="AC4" s="1707"/>
      <c r="AD4" s="1707"/>
      <c r="AE4" s="1707"/>
      <c r="AK4" s="1973">
        <v>0</v>
      </c>
    </row>
    <row customHeight="1" ht="11.549999999999999">
      <c r="AK5" s="1972">
        <v>11</v>
      </c>
    </row>
    <row customHeight="1" ht="57.75">
      <c r="I6" s="2648" t="s">
        <v>614</v>
      </c>
      <c r="J6" s="2648"/>
      <c r="K6" s="2648"/>
      <c r="L6" s="2648"/>
      <c r="M6" s="2648"/>
      <c r="O6" s="897"/>
      <c r="AK6" s="1972">
        <v>55</v>
      </c>
    </row>
    <row customHeight="1" ht="25.2">
      <c r="I7" s="2590" t="str">
        <f>IF(org=0,"Не определено",org)</f>
        <v>АО "ДГК"</v>
      </c>
      <c r="J7" s="2590"/>
      <c r="K7" s="2590"/>
      <c r="L7" s="2590"/>
      <c r="M7" s="2590"/>
      <c r="AK7" s="1972">
        <v>24</v>
      </c>
    </row>
    <row customHeight="1" ht="11.549999999999999">
      <c r="I8" s="1476"/>
      <c r="J8" s="1476"/>
      <c r="K8" s="1476"/>
      <c r="L8" s="1476"/>
      <c r="M8" s="1476"/>
      <c r="AK8" s="1972">
        <v>11</v>
      </c>
    </row>
    <row s="17316" customFormat="1" customHeight="1" ht="30" hidden="1">
      <c r="A9" s="1508"/>
      <c r="B9" s="1508"/>
      <c r="C9" s="1508"/>
      <c r="E9" s="1508"/>
      <c r="H9" s="1983"/>
      <c r="L9" s="1230"/>
      <c r="M9" s="1230" t="s">
        <v>114</v>
      </c>
      <c r="AK9" s="1977">
        <v>1</v>
      </c>
    </row>
    <row customHeight="1" ht="11.549999999999999">
      <c r="E10" s="2391" t="s">
        <v>615</v>
      </c>
      <c r="I10" s="1052"/>
      <c r="J10" s="2708" t="s">
        <v>102</v>
      </c>
      <c r="K10" s="2709"/>
      <c r="L10" s="2370" t="str">
        <f>IF(L9="","",INDEX(DIFFERENTIATION_UNMERGE_VD,MATCH(L9,DIFFERENTIATION_ID_DIFF,0)))</f>
        <v/>
      </c>
      <c r="M10" s="2370">
        <f>IF(M9="","",INDEX(DIFFERENTIATION_UNMERGE_VD,MATCH(M9,DIFFERENTIATION_ID_DIFF,0)))</f>
        <v>0</v>
      </c>
      <c r="O10" s="2468" t="s">
        <v>296</v>
      </c>
      <c r="AK10" s="1972">
        <v>11</v>
      </c>
    </row>
    <row customHeight="1" ht="11.549999999999999">
      <c r="E11" s="2391" t="s">
        <v>616</v>
      </c>
      <c r="I11" s="1052"/>
      <c r="J11" s="2708" t="s">
        <v>559</v>
      </c>
      <c r="K11" s="2709"/>
      <c r="L11" s="2370" t="str">
        <f>IF(L9="","",INDEX(DIFFERENTIATION_UNMERGE_AREA,MATCH(L9,DIFFERENTIATION_ID_DIFF,0)))</f>
        <v/>
      </c>
      <c r="M11" s="2370" t="str">
        <f>IF(M9="","",INDEX(DIFFERENTIATION_UNMERGE_AREA,MATCH(M9,DIFFERENTIATION_ID_DIFF,0)))</f>
        <v/>
      </c>
      <c r="O11" s="2468"/>
      <c r="AK11" s="1972">
        <v>11</v>
      </c>
    </row>
    <row customHeight="1" ht="11.549999999999999">
      <c r="E12" s="2391" t="s">
        <v>617</v>
      </c>
      <c r="I12" s="2003"/>
      <c r="J12" s="2708" t="s">
        <v>560</v>
      </c>
      <c r="K12" s="2709"/>
      <c r="L12" s="2370" t="str">
        <f>IF(L9="","",INDEX(DIFFERENTIATION_UNMERGE_SYSTEM,MATCH(L9,DIFFERENTIATION_ID_DIFF,0)))</f>
        <v/>
      </c>
      <c r="M12" s="2370" t="str">
        <f>IF(M9="","",INDEX(DIFFERENTIATION_UNMERGE_SYSTEM,MATCH(M9,DIFFERENTIATION_ID_DIFF,0)))</f>
        <v>без дифференциации</v>
      </c>
      <c r="O12" s="2468"/>
      <c r="AK12" s="1972">
        <v>11</v>
      </c>
    </row>
    <row customHeight="1" ht="11.549999999999999">
      <c r="E13" s="2391" t="s">
        <v>618</v>
      </c>
      <c r="F13" s="2391" t="s">
        <v>619</v>
      </c>
      <c r="I13" s="2710" t="s">
        <v>295</v>
      </c>
      <c r="J13" s="2711"/>
      <c r="K13" s="2711"/>
      <c r="L13" s="2368"/>
      <c r="M13" s="2408"/>
      <c r="O13" s="2468"/>
      <c r="AK13" s="1972">
        <v>11</v>
      </c>
    </row>
    <row customHeight="1" ht="24">
      <c r="I14" s="2361" t="s">
        <v>88</v>
      </c>
      <c r="J14" s="2361" t="s">
        <v>297</v>
      </c>
      <c r="K14" s="2361" t="s">
        <v>561</v>
      </c>
      <c r="L14" s="2401" t="s">
        <v>298</v>
      </c>
      <c r="M14" s="2402" t="s">
        <v>298</v>
      </c>
      <c r="O14" s="2468"/>
      <c r="AK14" s="1972">
        <v>23</v>
      </c>
    </row>
    <row customHeight="1" ht="24">
      <c r="A15" s="2395"/>
      <c r="B15" s="2394" t="s">
        <v>620</v>
      </c>
      <c r="C15" s="2394" t="s">
        <v>621</v>
      </c>
      <c r="D15" s="2393" t="s">
        <v>622</v>
      </c>
      <c r="E15" s="2397" t="s">
        <v>623</v>
      </c>
      <c r="F15" s="2397" t="s">
        <v>623</v>
      </c>
      <c r="G15" s="1977" t="s">
        <v>583</v>
      </c>
      <c r="H15" s="2362"/>
      <c r="I15" s="1971">
        <v>1</v>
      </c>
      <c r="J15" s="2363" t="s">
        <v>624</v>
      </c>
      <c r="K15" s="2361" t="s">
        <v>301</v>
      </c>
      <c r="L15" s="1003"/>
      <c r="M15" s="1159"/>
      <c r="N15" s="884" t="s">
        <v>625</v>
      </c>
      <c r="O15" s="1866" t="s">
        <v>626</v>
      </c>
      <c r="P15" s="884" t="s">
        <v>625</v>
      </c>
      <c r="AK15" s="1972">
        <v>23</v>
      </c>
    </row>
    <row customHeight="1" ht="35.699999999999996">
      <c r="A16" s="2395"/>
      <c r="B16" s="2394" t="s">
        <v>627</v>
      </c>
      <c r="C16" s="2394" t="s">
        <v>628</v>
      </c>
      <c r="D16" s="2393" t="s">
        <v>612</v>
      </c>
      <c r="E16" s="2397" t="s">
        <v>623</v>
      </c>
      <c r="F16" s="2397" t="s">
        <v>623</v>
      </c>
      <c r="H16" s="2362"/>
      <c r="I16" s="1970">
        <v>2</v>
      </c>
      <c r="J16" s="2404" t="s">
        <v>629</v>
      </c>
      <c r="K16" s="2403" t="s">
        <v>551</v>
      </c>
      <c r="L16" s="2409"/>
      <c r="M16" s="2017"/>
      <c r="N16" s="884" t="s">
        <v>625</v>
      </c>
      <c r="O16" s="1866" t="s">
        <v>630</v>
      </c>
      <c r="P16" s="884" t="s">
        <v>625</v>
      </c>
      <c r="AK16" s="1972">
        <v>34</v>
      </c>
    </row>
    <row s="17316" customFormat="1" customHeight="1" ht="17.25" hidden="1">
      <c r="A17" s="1508"/>
      <c r="B17" s="1508"/>
      <c r="C17" s="1508"/>
      <c r="D17" s="1508"/>
      <c r="E17" s="1508"/>
      <c r="H17" s="1665"/>
      <c r="I17" s="1354" t="s">
        <v>631</v>
      </c>
      <c r="J17" s="1332"/>
      <c r="K17" s="1354"/>
      <c r="L17" s="1333"/>
      <c r="M17" s="1333"/>
      <c r="O17" s="1726"/>
      <c r="AK17" s="1977">
        <v>1</v>
      </c>
    </row>
    <row s="17315" customFormat="1" customHeight="1" ht="24">
      <c r="A18" s="1328"/>
      <c r="B18" s="1328"/>
      <c r="C18" s="1328"/>
      <c r="D18" s="1328"/>
      <c r="E18" s="1328"/>
      <c r="G18" s="1977"/>
      <c r="H18" s="1974"/>
      <c r="I18" s="911"/>
      <c r="J18" s="912" t="s">
        <v>581</v>
      </c>
      <c r="K18" s="913"/>
      <c r="L18" s="2411"/>
      <c r="M18" s="914"/>
      <c r="N18" s="884"/>
      <c r="O18" s="1866" t="s">
        <v>582</v>
      </c>
      <c r="P18" s="884"/>
      <c r="Q18" s="1977"/>
      <c r="R18" s="1977"/>
      <c r="W18" s="1977"/>
      <c r="Z18" s="885"/>
      <c r="AF18" s="1973"/>
      <c r="AG18" s="1973"/>
      <c r="AH18" s="1973"/>
      <c r="AI18" s="1973"/>
      <c r="AJ18" s="1973"/>
      <c r="AK18" s="1707">
        <v>23</v>
      </c>
    </row>
    <row customHeight="1" ht="19.95">
      <c r="A19" s="2395"/>
      <c r="B19" s="2394" t="s">
        <v>632</v>
      </c>
      <c r="C19" s="2394" t="s">
        <v>633</v>
      </c>
      <c r="D19" s="2393" t="s">
        <v>612</v>
      </c>
      <c r="E19" s="2397" t="s">
        <v>623</v>
      </c>
      <c r="F19" s="2397" t="s">
        <v>623</v>
      </c>
      <c r="H19" s="2362"/>
      <c r="I19" s="2005">
        <v>3</v>
      </c>
      <c r="J19" s="2363" t="s">
        <v>633</v>
      </c>
      <c r="K19" s="2359" t="s">
        <v>551</v>
      </c>
      <c r="L19" s="1068"/>
      <c r="M19" s="898"/>
      <c r="N19" s="884"/>
      <c r="O19" s="1866" t="s">
        <v>634</v>
      </c>
      <c r="P19" s="884"/>
      <c r="AK19" s="1972">
        <v>19</v>
      </c>
    </row>
    <row customHeight="1" ht="77.7">
      <c r="A20" s="2395"/>
      <c r="B20" s="2394" t="s">
        <v>635</v>
      </c>
      <c r="C20" s="2394" t="s">
        <v>636</v>
      </c>
      <c r="D20" s="2393" t="s">
        <v>612</v>
      </c>
      <c r="E20" s="2397" t="s">
        <v>623</v>
      </c>
      <c r="F20" s="2397" t="s">
        <v>623</v>
      </c>
      <c r="H20" s="2362"/>
      <c r="I20" s="2005">
        <v>4</v>
      </c>
      <c r="J20" s="2363" t="s">
        <v>637</v>
      </c>
      <c r="K20" s="2359" t="s">
        <v>578</v>
      </c>
      <c r="L20" s="1068"/>
      <c r="M20" s="898"/>
      <c r="N20" s="884"/>
      <c r="O20" s="1866"/>
      <c r="P20" s="884"/>
      <c r="AK20" s="1972">
        <v>74</v>
      </c>
    </row>
    <row customHeight="1" ht="35.699999999999996">
      <c r="A21" s="2395"/>
      <c r="B21" s="2394" t="s">
        <v>638</v>
      </c>
      <c r="C21" s="2394" t="s">
        <v>639</v>
      </c>
      <c r="D21" s="2393" t="s">
        <v>612</v>
      </c>
      <c r="E21" s="2397" t="s">
        <v>623</v>
      </c>
      <c r="F21" s="2397" t="s">
        <v>623</v>
      </c>
      <c r="H21" s="2362"/>
      <c r="I21" s="2005">
        <v>5</v>
      </c>
      <c r="J21" s="2363" t="s">
        <v>640</v>
      </c>
      <c r="K21" s="2359" t="s">
        <v>578</v>
      </c>
      <c r="L21" s="1068"/>
      <c r="M21" s="898"/>
      <c r="N21" s="884"/>
      <c r="O21" s="1866" t="s">
        <v>634</v>
      </c>
      <c r="P21" s="884"/>
      <c r="AK21" s="1972">
        <v>34</v>
      </c>
    </row>
    <row customHeight="1" ht="48.29999999999999">
      <c r="A22" s="2395"/>
      <c r="B22" s="2394" t="s">
        <v>641</v>
      </c>
      <c r="C22" s="2394" t="s">
        <v>642</v>
      </c>
      <c r="D22" s="2393" t="s">
        <v>612</v>
      </c>
      <c r="E22" s="2397" t="s">
        <v>623</v>
      </c>
      <c r="F22" s="2397" t="s">
        <v>623</v>
      </c>
      <c r="H22" s="2362"/>
      <c r="I22" s="2005">
        <v>6</v>
      </c>
      <c r="J22" s="2363" t="s">
        <v>643</v>
      </c>
      <c r="K22" s="2359" t="s">
        <v>578</v>
      </c>
      <c r="L22" s="1068"/>
      <c r="M22" s="898"/>
      <c r="N22" s="884"/>
      <c r="O22" s="1866" t="s">
        <v>644</v>
      </c>
      <c r="P22" s="884"/>
      <c r="AK22" s="1972">
        <v>46</v>
      </c>
    </row>
    <row customHeight="1" ht="19.95">
      <c r="A23" s="2395"/>
      <c r="B23" s="2394" t="s">
        <v>645</v>
      </c>
      <c r="C23" s="2394" t="s">
        <v>646</v>
      </c>
      <c r="D23" s="2393" t="s">
        <v>612</v>
      </c>
      <c r="E23" s="2397" t="s">
        <v>623</v>
      </c>
      <c r="F23" s="2397" t="s">
        <v>623</v>
      </c>
      <c r="H23" s="2362"/>
      <c r="I23" s="2005" t="s">
        <v>647</v>
      </c>
      <c r="J23" s="1865" t="s">
        <v>648</v>
      </c>
      <c r="K23" s="2359" t="s">
        <v>578</v>
      </c>
      <c r="L23" s="1068"/>
      <c r="M23" s="898"/>
      <c r="N23" s="884"/>
      <c r="O23" s="1866" t="s">
        <v>634</v>
      </c>
      <c r="P23" s="884"/>
      <c r="AK23" s="1972">
        <v>19</v>
      </c>
    </row>
    <row customHeight="1" ht="19.95">
      <c r="A24" s="2395"/>
      <c r="B24" s="2394" t="s">
        <v>649</v>
      </c>
      <c r="C24" s="2394" t="s">
        <v>650</v>
      </c>
      <c r="D24" s="2393" t="s">
        <v>612</v>
      </c>
      <c r="E24" s="2397" t="s">
        <v>623</v>
      </c>
      <c r="F24" s="2397" t="s">
        <v>623</v>
      </c>
      <c r="H24" s="2362"/>
      <c r="I24" s="2005" t="s">
        <v>651</v>
      </c>
      <c r="J24" s="1865" t="s">
        <v>652</v>
      </c>
      <c r="K24" s="2359" t="s">
        <v>578</v>
      </c>
      <c r="L24" s="1068"/>
      <c r="M24" s="898"/>
      <c r="N24" s="884"/>
      <c r="O24" s="1866"/>
      <c r="P24" s="884"/>
      <c r="AK24" s="1972">
        <v>19</v>
      </c>
    </row>
    <row customHeight="1" ht="24">
      <c r="A25" s="2395"/>
      <c r="B25" s="2394" t="s">
        <v>653</v>
      </c>
      <c r="C25" s="2394" t="s">
        <v>654</v>
      </c>
      <c r="D25" s="2393" t="s">
        <v>612</v>
      </c>
      <c r="E25" s="2397" t="s">
        <v>623</v>
      </c>
      <c r="F25" s="2397" t="s">
        <v>623</v>
      </c>
      <c r="H25" s="2362"/>
      <c r="I25" s="2005" t="s">
        <v>655</v>
      </c>
      <c r="J25" s="1865" t="s">
        <v>656</v>
      </c>
      <c r="K25" s="2359" t="s">
        <v>578</v>
      </c>
      <c r="L25" s="1068"/>
      <c r="M25" s="898"/>
      <c r="N25" s="884"/>
      <c r="O25" s="1866"/>
      <c r="P25" s="884"/>
      <c r="AK25" s="1972">
        <v>23</v>
      </c>
    </row>
    <row customHeight="1" ht="24">
      <c r="A26" s="2395"/>
      <c r="B26" s="2394" t="s">
        <v>657</v>
      </c>
      <c r="C26" s="2394" t="s">
        <v>658</v>
      </c>
      <c r="D26" s="2393" t="s">
        <v>612</v>
      </c>
      <c r="E26" s="2397" t="s">
        <v>623</v>
      </c>
      <c r="F26" s="2397" t="s">
        <v>623</v>
      </c>
      <c r="H26" s="2362"/>
      <c r="I26" s="2005">
        <v>7</v>
      </c>
      <c r="J26" s="2363" t="s">
        <v>658</v>
      </c>
      <c r="K26" s="2359" t="s">
        <v>659</v>
      </c>
      <c r="L26" s="1068"/>
      <c r="M26" s="898"/>
      <c r="N26" s="884"/>
      <c r="O26" s="1866"/>
      <c r="P26" s="884"/>
      <c r="AK26" s="1972">
        <v>23</v>
      </c>
    </row>
    <row customHeight="1" ht="24">
      <c r="A27" s="2395"/>
      <c r="B27" s="2394" t="s">
        <v>660</v>
      </c>
      <c r="C27" s="2394" t="s">
        <v>661</v>
      </c>
      <c r="D27" s="2393" t="s">
        <v>612</v>
      </c>
      <c r="E27" s="2397" t="s">
        <v>623</v>
      </c>
      <c r="F27" s="2397" t="s">
        <v>623</v>
      </c>
      <c r="H27" s="2362"/>
      <c r="I27" s="2005">
        <v>8</v>
      </c>
      <c r="J27" s="2363" t="s">
        <v>661</v>
      </c>
      <c r="K27" s="2359" t="s">
        <v>584</v>
      </c>
      <c r="L27" s="1068"/>
      <c r="M27" s="898"/>
      <c r="N27" s="884"/>
      <c r="O27" s="1866"/>
      <c r="P27" s="884"/>
      <c r="AK27" s="1972">
        <v>23</v>
      </c>
    </row>
    <row customHeight="1" ht="35.699999999999996">
      <c r="A28" s="2395"/>
      <c r="B28" s="2394" t="s">
        <v>662</v>
      </c>
      <c r="C28" s="2394" t="s">
        <v>663</v>
      </c>
      <c r="D28" s="2393" t="s">
        <v>612</v>
      </c>
      <c r="E28" s="2397" t="s">
        <v>623</v>
      </c>
      <c r="F28" s="2397" t="s">
        <v>623</v>
      </c>
      <c r="H28" s="2362"/>
      <c r="I28" s="2016">
        <v>9</v>
      </c>
      <c r="J28" s="2363" t="s">
        <v>664</v>
      </c>
      <c r="K28" s="2359" t="s">
        <v>555</v>
      </c>
      <c r="L28" s="1068"/>
      <c r="M28" s="898"/>
      <c r="N28" s="884"/>
      <c r="O28" s="1866"/>
      <c r="P28" s="884"/>
      <c r="AK28" s="1972">
        <v>34</v>
      </c>
    </row>
    <row customHeight="1" ht="35.699999999999996">
      <c r="A29" s="2395"/>
      <c r="B29" s="2394" t="s">
        <v>665</v>
      </c>
      <c r="C29" s="2394" t="s">
        <v>666</v>
      </c>
      <c r="D29" s="2393" t="s">
        <v>612</v>
      </c>
      <c r="E29" s="2397" t="s">
        <v>623</v>
      </c>
      <c r="F29" s="2397" t="s">
        <v>623</v>
      </c>
      <c r="H29" s="2362"/>
      <c r="I29" s="2016">
        <v>10</v>
      </c>
      <c r="J29" s="2363" t="s">
        <v>667</v>
      </c>
      <c r="K29" s="2359" t="s">
        <v>555</v>
      </c>
      <c r="L29" s="1068"/>
      <c r="M29" s="898"/>
      <c r="N29" s="884"/>
      <c r="O29" s="1866"/>
      <c r="P29" s="884"/>
      <c r="AK29" s="1972">
        <v>34</v>
      </c>
    </row>
    <row customHeight="1" ht="24">
      <c r="A30" s="2395"/>
      <c r="B30" s="2394" t="s">
        <v>668</v>
      </c>
      <c r="C30" s="2394" t="s">
        <v>669</v>
      </c>
      <c r="D30" s="2393" t="s">
        <v>612</v>
      </c>
      <c r="E30" s="2397" t="s">
        <v>623</v>
      </c>
      <c r="F30" s="2397" t="s">
        <v>623</v>
      </c>
      <c r="H30" s="2362"/>
      <c r="I30" s="2016">
        <v>11</v>
      </c>
      <c r="J30" s="2363" t="s">
        <v>669</v>
      </c>
      <c r="K30" s="2359" t="s">
        <v>585</v>
      </c>
      <c r="L30" s="2410"/>
      <c r="M30" s="1962"/>
      <c r="N30" s="884"/>
      <c r="O30" s="1866"/>
      <c r="P30" s="884"/>
      <c r="AK30" s="1972">
        <v>23</v>
      </c>
    </row>
    <row customHeight="1" ht="24">
      <c r="A31" s="2395"/>
      <c r="B31" s="2394" t="s">
        <v>670</v>
      </c>
      <c r="C31" s="2394" t="s">
        <v>671</v>
      </c>
      <c r="D31" s="2393" t="s">
        <v>612</v>
      </c>
      <c r="E31" s="2397" t="s">
        <v>623</v>
      </c>
      <c r="F31" s="2397" t="s">
        <v>623</v>
      </c>
      <c r="H31" s="2362"/>
      <c r="I31" s="2016">
        <v>12</v>
      </c>
      <c r="J31" s="2363" t="s">
        <v>671</v>
      </c>
      <c r="K31" s="2359" t="s">
        <v>585</v>
      </c>
      <c r="L31" s="2410"/>
      <c r="M31" s="1962"/>
      <c r="N31" s="884"/>
      <c r="O31" s="1866"/>
      <c r="P31" s="884"/>
      <c r="AK31" s="1972">
        <v>23</v>
      </c>
    </row>
    <row customHeight="1" ht="48.29999999999999">
      <c r="A32" s="2395"/>
      <c r="B32" s="2394" t="s">
        <v>672</v>
      </c>
      <c r="C32" s="2394" t="s">
        <v>673</v>
      </c>
      <c r="D32" s="2393" t="s">
        <v>612</v>
      </c>
      <c r="E32" s="2397" t="s">
        <v>623</v>
      </c>
      <c r="F32" s="2397" t="s">
        <v>623</v>
      </c>
      <c r="H32" s="2362"/>
      <c r="I32" s="2016">
        <v>13</v>
      </c>
      <c r="J32" s="2363" t="s">
        <v>674</v>
      </c>
      <c r="K32" s="2359" t="s">
        <v>595</v>
      </c>
      <c r="L32" s="1068"/>
      <c r="M32" s="898"/>
      <c r="N32" s="884"/>
      <c r="O32" s="1866" t="s">
        <v>634</v>
      </c>
      <c r="P32" s="884"/>
      <c r="AK32" s="1972">
        <v>46</v>
      </c>
    </row>
    <row s="17315" customFormat="1" customHeight="1" ht="48.29999999999999">
      <c r="A33" s="2395"/>
      <c r="B33" s="2394" t="s">
        <v>675</v>
      </c>
      <c r="C33" s="2394" t="s">
        <v>676</v>
      </c>
      <c r="D33" s="2393" t="s">
        <v>612</v>
      </c>
      <c r="E33" s="2397" t="s">
        <v>623</v>
      </c>
      <c r="F33" s="2397" t="s">
        <v>623</v>
      </c>
      <c r="G33" s="1977"/>
      <c r="H33" s="2362"/>
      <c r="I33" s="2016">
        <v>14</v>
      </c>
      <c r="J33" s="2375" t="s">
        <v>677</v>
      </c>
      <c r="K33" s="2364" t="s">
        <v>678</v>
      </c>
      <c r="L33" s="1068"/>
      <c r="M33" s="898"/>
      <c r="N33" s="884"/>
      <c r="O33" s="1866" t="s">
        <v>634</v>
      </c>
      <c r="P33" s="884"/>
      <c r="Q33" s="1977"/>
      <c r="R33" s="1977"/>
      <c r="W33" s="1977"/>
      <c r="Z33" s="885"/>
      <c r="AF33" s="1973"/>
      <c r="AG33" s="1973"/>
      <c r="AH33" s="1973"/>
      <c r="AI33" s="1973"/>
      <c r="AJ33" s="1973"/>
      <c r="AK33" s="1707">
        <v>46</v>
      </c>
    </row>
    <row customHeight="1" ht="108">
      <c r="A34" s="2395"/>
      <c r="B34" s="2394" t="s">
        <v>679</v>
      </c>
      <c r="C34" s="2394" t="s">
        <v>680</v>
      </c>
      <c r="D34" s="2393" t="s">
        <v>622</v>
      </c>
      <c r="E34" s="2397" t="s">
        <v>623</v>
      </c>
      <c r="F34" s="2397" t="s">
        <v>623</v>
      </c>
      <c r="G34" s="1977" t="s">
        <v>583</v>
      </c>
      <c r="H34" s="2362"/>
      <c r="I34" s="2373">
        <v>15</v>
      </c>
      <c r="J34" s="2374" t="s">
        <v>681</v>
      </c>
      <c r="K34" s="2359" t="s">
        <v>301</v>
      </c>
      <c r="L34" s="726"/>
      <c r="M34" s="1505"/>
      <c r="N34" s="884"/>
      <c r="O34" s="1866" t="s">
        <v>626</v>
      </c>
      <c r="P34" s="884"/>
      <c r="AK34" s="1972">
        <v>103</v>
      </c>
    </row>
    <row s="17832" customFormat="1" customHeight="1" ht="11.549999999999999">
      <c r="A35" s="1328"/>
      <c r="B35" s="1328"/>
      <c r="C35" s="1328"/>
      <c r="D35" s="1328"/>
      <c r="E35" s="1328"/>
      <c r="F35" s="1977"/>
      <c r="G35" s="1977"/>
      <c r="H35" s="692"/>
      <c r="N35" s="1707"/>
      <c r="P35" s="1707"/>
      <c r="Q35" s="1977"/>
      <c r="R35" s="1977"/>
      <c r="S35" s="1707"/>
      <c r="T35" s="1707"/>
      <c r="U35" s="1707"/>
      <c r="V35" s="1707"/>
      <c r="W35" s="1977"/>
      <c r="X35" s="1707"/>
      <c r="Y35" s="1707"/>
      <c r="Z35" s="885"/>
      <c r="AA35" s="1707"/>
      <c r="AB35" s="1707"/>
      <c r="AC35" s="1707"/>
      <c r="AD35" s="1707"/>
      <c r="AE35" s="1707"/>
      <c r="AF35" s="1973"/>
      <c r="AG35" s="963"/>
      <c r="AH35" s="963"/>
      <c r="AI35" s="963"/>
      <c r="AJ35" s="963"/>
      <c r="AK35" s="1982">
        <v>11</v>
      </c>
    </row>
    <row s="17832" customFormat="1" customHeight="1" ht="11.549999999999999">
      <c r="A36" s="1328"/>
      <c r="B36" s="1328"/>
      <c r="C36" s="1328"/>
      <c r="D36" s="1328"/>
      <c r="E36" s="1328"/>
      <c r="F36" s="1977"/>
      <c r="G36" s="1977"/>
      <c r="H36" s="692"/>
      <c r="N36" s="1707"/>
      <c r="P36" s="1707"/>
      <c r="Q36" s="1977"/>
      <c r="R36" s="1977"/>
      <c r="S36" s="1707"/>
      <c r="T36" s="1707"/>
      <c r="U36" s="1707"/>
      <c r="V36" s="1707"/>
      <c r="W36" s="1977"/>
      <c r="X36" s="1707"/>
      <c r="Y36" s="1707"/>
      <c r="Z36" s="885"/>
      <c r="AA36" s="1707"/>
      <c r="AB36" s="1707"/>
      <c r="AC36" s="1707"/>
      <c r="AD36" s="1707"/>
      <c r="AE36" s="1707"/>
      <c r="AF36" s="1973"/>
      <c r="AG36" s="963"/>
      <c r="AH36" s="963"/>
      <c r="AI36" s="963"/>
      <c r="AJ36" s="963"/>
      <c r="AK36" s="1982">
        <v>11</v>
      </c>
    </row>
    <row s="17832" customFormat="1" customHeight="1" ht="11.549999999999999">
      <c r="A37" s="1328"/>
      <c r="B37" s="1328"/>
      <c r="C37" s="1328"/>
      <c r="D37" s="1328"/>
      <c r="E37" s="1328"/>
      <c r="F37" s="1977"/>
      <c r="G37" s="1977"/>
      <c r="H37" s="692"/>
      <c r="L37" s="963"/>
      <c r="M37" s="963"/>
      <c r="N37" s="1707"/>
      <c r="P37" s="1707"/>
      <c r="Q37" s="1977"/>
      <c r="R37" s="1977"/>
      <c r="S37" s="1707"/>
      <c r="T37" s="1707"/>
      <c r="U37" s="1707"/>
      <c r="V37" s="1707"/>
      <c r="W37" s="1977"/>
      <c r="X37" s="1707"/>
      <c r="Y37" s="1707"/>
      <c r="Z37" s="885"/>
      <c r="AA37" s="1707"/>
      <c r="AB37" s="1707"/>
      <c r="AC37" s="1707"/>
      <c r="AD37" s="1707"/>
      <c r="AE37" s="1707"/>
      <c r="AF37" s="1973"/>
      <c r="AG37" s="963"/>
      <c r="AH37" s="963"/>
      <c r="AI37" s="963"/>
      <c r="AJ37" s="963"/>
      <c r="AK37" s="1982">
        <v>11</v>
      </c>
    </row>
    <row s="17832" customFormat="1" customHeight="1" ht="11.549999999999999">
      <c r="A38" s="1328"/>
      <c r="B38" s="1328"/>
      <c r="C38" s="1328"/>
      <c r="D38" s="1328"/>
      <c r="E38" s="1328"/>
      <c r="F38" s="1977"/>
      <c r="G38" s="1977"/>
      <c r="H38" s="692"/>
      <c r="N38" s="1707"/>
      <c r="P38" s="1707"/>
      <c r="Q38" s="1977"/>
      <c r="R38" s="1977"/>
      <c r="S38" s="1707"/>
      <c r="T38" s="1707"/>
      <c r="U38" s="1707"/>
      <c r="V38" s="1707"/>
      <c r="W38" s="1977"/>
      <c r="X38" s="1707"/>
      <c r="Y38" s="1707"/>
      <c r="Z38" s="885"/>
      <c r="AA38" s="1707"/>
      <c r="AB38" s="1707"/>
      <c r="AC38" s="1707"/>
      <c r="AD38" s="1707"/>
      <c r="AE38" s="1707"/>
      <c r="AF38" s="1973"/>
      <c r="AG38" s="963"/>
      <c r="AH38" s="963"/>
      <c r="AI38" s="963"/>
      <c r="AJ38" s="963"/>
      <c r="AK38" s="1982">
        <v>11</v>
      </c>
    </row>
    <row s="17832" customFormat="1" customHeight="1" ht="11.549999999999999">
      <c r="A39" s="1328"/>
      <c r="B39" s="1328"/>
      <c r="C39" s="1328"/>
      <c r="D39" s="1328"/>
      <c r="E39" s="1328"/>
      <c r="F39" s="1977"/>
      <c r="G39" s="1977"/>
      <c r="H39" s="692"/>
      <c r="N39" s="1707"/>
      <c r="P39" s="1707"/>
      <c r="Q39" s="1977"/>
      <c r="R39" s="1977"/>
      <c r="S39" s="1707"/>
      <c r="T39" s="1707"/>
      <c r="U39" s="1707"/>
      <c r="V39" s="1707"/>
      <c r="W39" s="1977"/>
      <c r="X39" s="1707"/>
      <c r="Y39" s="1707"/>
      <c r="Z39" s="885"/>
      <c r="AA39" s="1707"/>
      <c r="AB39" s="1707"/>
      <c r="AC39" s="1707"/>
      <c r="AD39" s="1707"/>
      <c r="AE39" s="1707"/>
      <c r="AF39" s="1973"/>
      <c r="AG39" s="963"/>
      <c r="AH39" s="963"/>
      <c r="AI39" s="963"/>
      <c r="AJ39" s="963"/>
      <c r="AK39" s="1982">
        <v>11</v>
      </c>
    </row>
    <row s="17832" customFormat="1" customHeight="1" ht="11.549999999999999">
      <c r="A40" s="1328"/>
      <c r="B40" s="1328"/>
      <c r="C40" s="1328"/>
      <c r="D40" s="1328"/>
      <c r="E40" s="1328"/>
      <c r="F40" s="1977"/>
      <c r="G40" s="1977"/>
      <c r="H40" s="692"/>
      <c r="N40" s="1707"/>
      <c r="P40" s="1707"/>
      <c r="Q40" s="1977"/>
      <c r="R40" s="1977"/>
      <c r="S40" s="1707"/>
      <c r="T40" s="1707"/>
      <c r="U40" s="1707"/>
      <c r="V40" s="1707"/>
      <c r="W40" s="1977"/>
      <c r="X40" s="1707"/>
      <c r="Y40" s="1707"/>
      <c r="Z40" s="885"/>
      <c r="AA40" s="1707"/>
      <c r="AB40" s="1707"/>
      <c r="AC40" s="1707"/>
      <c r="AD40" s="1707"/>
      <c r="AE40" s="1707"/>
      <c r="AF40" s="1973"/>
      <c r="AG40" s="963"/>
      <c r="AH40" s="963"/>
      <c r="AI40" s="963"/>
      <c r="AJ40" s="963"/>
      <c r="AK40" s="1982">
        <v>11</v>
      </c>
    </row>
    <row s="17832" customFormat="1" customHeight="1" ht="11.549999999999999">
      <c r="A41" s="1328"/>
      <c r="B41" s="1328"/>
      <c r="C41" s="1328"/>
      <c r="D41" s="1328"/>
      <c r="E41" s="1328"/>
      <c r="F41" s="1977"/>
      <c r="G41" s="1977"/>
      <c r="H41" s="692"/>
      <c r="N41" s="1707"/>
      <c r="P41" s="1707"/>
      <c r="Q41" s="1977"/>
      <c r="R41" s="1977"/>
      <c r="S41" s="1707"/>
      <c r="T41" s="1707"/>
      <c r="U41" s="1707"/>
      <c r="V41" s="1707"/>
      <c r="W41" s="1977"/>
      <c r="X41" s="1707"/>
      <c r="Y41" s="1707"/>
      <c r="Z41" s="885"/>
      <c r="AA41" s="1707"/>
      <c r="AB41" s="1707"/>
      <c r="AC41" s="1707"/>
      <c r="AD41" s="1707"/>
      <c r="AE41" s="1707"/>
      <c r="AF41" s="1973"/>
      <c r="AG41" s="963"/>
      <c r="AH41" s="963"/>
      <c r="AI41" s="963"/>
      <c r="AJ41" s="963"/>
      <c r="AK41" s="1982">
        <v>11</v>
      </c>
    </row>
    <row s="17832" customFormat="1" customHeight="1" ht="11.549999999999999">
      <c r="A42" s="1328"/>
      <c r="B42" s="1328"/>
      <c r="C42" s="1328"/>
      <c r="D42" s="1328"/>
      <c r="E42" s="1328"/>
      <c r="F42" s="1977"/>
      <c r="G42" s="1977"/>
      <c r="H42" s="692"/>
      <c r="N42" s="1707"/>
      <c r="P42" s="1707"/>
      <c r="Q42" s="1977"/>
      <c r="R42" s="1977"/>
      <c r="S42" s="1707"/>
      <c r="T42" s="1707"/>
      <c r="U42" s="1707"/>
      <c r="V42" s="1707"/>
      <c r="W42" s="1977"/>
      <c r="X42" s="1707"/>
      <c r="Y42" s="1707"/>
      <c r="Z42" s="885"/>
      <c r="AA42" s="1707"/>
      <c r="AB42" s="1707"/>
      <c r="AC42" s="1707"/>
      <c r="AD42" s="1707"/>
      <c r="AE42" s="1707"/>
      <c r="AF42" s="1973"/>
      <c r="AG42" s="963"/>
      <c r="AH42" s="963"/>
      <c r="AI42" s="963"/>
      <c r="AJ42" s="963"/>
      <c r="AK42" s="1982">
        <v>11</v>
      </c>
    </row>
    <row s="17832" customFormat="1" customHeight="1" ht="11.549999999999999">
      <c r="A43" s="1328"/>
      <c r="B43" s="1328"/>
      <c r="C43" s="1328"/>
      <c r="D43" s="1328"/>
      <c r="E43" s="1328"/>
      <c r="F43" s="1977"/>
      <c r="G43" s="1977"/>
      <c r="H43" s="692"/>
      <c r="N43" s="1707"/>
      <c r="P43" s="1707"/>
      <c r="Q43" s="1977"/>
      <c r="R43" s="1977"/>
      <c r="S43" s="1707"/>
      <c r="T43" s="1707"/>
      <c r="U43" s="1707"/>
      <c r="V43" s="1707"/>
      <c r="W43" s="1977"/>
      <c r="X43" s="1707"/>
      <c r="Y43" s="1707"/>
      <c r="Z43" s="885"/>
      <c r="AA43" s="1707"/>
      <c r="AB43" s="1707"/>
      <c r="AC43" s="1707"/>
      <c r="AD43" s="1707"/>
      <c r="AE43" s="1707"/>
      <c r="AF43" s="1973"/>
      <c r="AG43" s="963"/>
      <c r="AH43" s="963"/>
      <c r="AI43" s="963"/>
      <c r="AJ43" s="963"/>
      <c r="AK43" s="1982">
        <v>11</v>
      </c>
    </row>
    <row s="17832" customFormat="1" customHeight="1" ht="11.549999999999999">
      <c r="A44" s="1328"/>
      <c r="B44" s="1328"/>
      <c r="C44" s="1328"/>
      <c r="D44" s="1328"/>
      <c r="E44" s="1328"/>
      <c r="F44" s="1977"/>
      <c r="G44" s="1977"/>
      <c r="H44" s="692"/>
      <c r="N44" s="1707"/>
      <c r="P44" s="1707"/>
      <c r="Q44" s="1977"/>
      <c r="R44" s="1977"/>
      <c r="S44" s="1707"/>
      <c r="T44" s="1707"/>
      <c r="U44" s="1707"/>
      <c r="V44" s="1707"/>
      <c r="W44" s="1977"/>
      <c r="X44" s="1707"/>
      <c r="Y44" s="1707"/>
      <c r="Z44" s="885"/>
      <c r="AA44" s="1707"/>
      <c r="AB44" s="1707"/>
      <c r="AC44" s="1707"/>
      <c r="AD44" s="1707"/>
      <c r="AE44" s="1707"/>
      <c r="AF44" s="1973"/>
      <c r="AG44" s="963"/>
      <c r="AH44" s="963"/>
      <c r="AI44" s="963"/>
      <c r="AJ44" s="963"/>
      <c r="AK44" s="1982">
        <v>11</v>
      </c>
    </row>
    <row s="17832" customFormat="1" customHeight="1" ht="11.549999999999999">
      <c r="A45" s="1328"/>
      <c r="B45" s="1328"/>
      <c r="C45" s="1328"/>
      <c r="D45" s="1328"/>
      <c r="E45" s="1328"/>
      <c r="F45" s="1977"/>
      <c r="G45" s="1977"/>
      <c r="H45" s="692"/>
      <c r="N45" s="1707"/>
      <c r="P45" s="1707"/>
      <c r="Q45" s="1977"/>
      <c r="R45" s="1977"/>
      <c r="S45" s="1707"/>
      <c r="T45" s="1707"/>
      <c r="U45" s="1707"/>
      <c r="V45" s="1707"/>
      <c r="W45" s="1977"/>
      <c r="X45" s="1707"/>
      <c r="Y45" s="1707"/>
      <c r="Z45" s="885"/>
      <c r="AA45" s="1707"/>
      <c r="AB45" s="1707"/>
      <c r="AC45" s="1707"/>
      <c r="AD45" s="1707"/>
      <c r="AE45" s="1707"/>
      <c r="AF45" s="1973"/>
      <c r="AG45" s="963"/>
      <c r="AH45" s="963"/>
      <c r="AI45" s="963"/>
      <c r="AJ45" s="963"/>
      <c r="AK45" s="1982">
        <v>11</v>
      </c>
    </row>
    <row s="17832" customFormat="1" customHeight="1" ht="11.549999999999999">
      <c r="A46" s="1328"/>
      <c r="B46" s="1328"/>
      <c r="C46" s="1328"/>
      <c r="D46" s="1328"/>
      <c r="E46" s="1328"/>
      <c r="F46" s="1977"/>
      <c r="G46" s="1977"/>
      <c r="H46" s="692"/>
      <c r="N46" s="1707"/>
      <c r="P46" s="1707"/>
      <c r="Q46" s="1977"/>
      <c r="R46" s="1977"/>
      <c r="S46" s="1707"/>
      <c r="T46" s="1707"/>
      <c r="U46" s="1707"/>
      <c r="V46" s="1707"/>
      <c r="W46" s="1977"/>
      <c r="X46" s="1707"/>
      <c r="Y46" s="1707"/>
      <c r="Z46" s="885"/>
      <c r="AA46" s="1707"/>
      <c r="AB46" s="1707"/>
      <c r="AC46" s="1707"/>
      <c r="AD46" s="1707"/>
      <c r="AE46" s="1707"/>
      <c r="AF46" s="1973"/>
      <c r="AG46" s="963"/>
      <c r="AH46" s="963"/>
      <c r="AI46" s="963"/>
      <c r="AJ46" s="963"/>
      <c r="AK46" s="1982">
        <v>11</v>
      </c>
    </row>
    <row s="17832" customFormat="1" customHeight="1" ht="11.549999999999999">
      <c r="A47" s="1328"/>
      <c r="B47" s="1328"/>
      <c r="C47" s="1328"/>
      <c r="D47" s="1328"/>
      <c r="E47" s="1328"/>
      <c r="F47" s="1977"/>
      <c r="G47" s="1977"/>
      <c r="H47" s="692"/>
      <c r="N47" s="1707"/>
      <c r="P47" s="1707"/>
      <c r="Q47" s="1977"/>
      <c r="R47" s="1977"/>
      <c r="S47" s="1707"/>
      <c r="T47" s="1707"/>
      <c r="U47" s="1707"/>
      <c r="V47" s="1707"/>
      <c r="W47" s="1977"/>
      <c r="X47" s="1707"/>
      <c r="Y47" s="1707"/>
      <c r="Z47" s="885"/>
      <c r="AA47" s="1707"/>
      <c r="AB47" s="1707"/>
      <c r="AC47" s="1707"/>
      <c r="AD47" s="1707"/>
      <c r="AE47" s="1707"/>
      <c r="AF47" s="1973"/>
      <c r="AG47" s="963"/>
      <c r="AH47" s="963"/>
      <c r="AI47" s="963"/>
      <c r="AJ47" s="963"/>
      <c r="AK47" s="1982">
        <v>11</v>
      </c>
    </row>
    <row s="17832" customFormat="1" customHeight="1" ht="11.549999999999999">
      <c r="A48" s="1328"/>
      <c r="B48" s="1328"/>
      <c r="C48" s="1328"/>
      <c r="D48" s="1328"/>
      <c r="E48" s="1328"/>
      <c r="F48" s="1977"/>
      <c r="G48" s="1977"/>
      <c r="H48" s="692"/>
      <c r="N48" s="1707"/>
      <c r="P48" s="1707"/>
      <c r="Q48" s="1977"/>
      <c r="R48" s="1977"/>
      <c r="S48" s="1707"/>
      <c r="T48" s="1707"/>
      <c r="U48" s="1707"/>
      <c r="V48" s="1707"/>
      <c r="W48" s="1977"/>
      <c r="X48" s="1707"/>
      <c r="Y48" s="1707"/>
      <c r="Z48" s="885"/>
      <c r="AA48" s="1707"/>
      <c r="AB48" s="1707"/>
      <c r="AC48" s="1707"/>
      <c r="AD48" s="1707"/>
      <c r="AE48" s="1707"/>
      <c r="AF48" s="1973"/>
      <c r="AG48" s="963"/>
      <c r="AH48" s="963"/>
      <c r="AI48" s="963"/>
      <c r="AJ48" s="963"/>
      <c r="AK48" s="1982">
        <v>11</v>
      </c>
    </row>
    <row s="17832" customFormat="1" customHeight="1" ht="11.549999999999999">
      <c r="A49" s="1328"/>
      <c r="B49" s="1328"/>
      <c r="C49" s="1328"/>
      <c r="D49" s="1328"/>
      <c r="E49" s="1328"/>
      <c r="F49" s="1977"/>
      <c r="G49" s="1977"/>
      <c r="H49" s="692"/>
      <c r="N49" s="1707"/>
      <c r="P49" s="1707"/>
      <c r="Q49" s="1977"/>
      <c r="R49" s="1977"/>
      <c r="S49" s="1707"/>
      <c r="T49" s="1707"/>
      <c r="U49" s="1707"/>
      <c r="V49" s="1707"/>
      <c r="W49" s="1977"/>
      <c r="X49" s="1707"/>
      <c r="Y49" s="1707"/>
      <c r="Z49" s="885"/>
      <c r="AA49" s="1707"/>
      <c r="AB49" s="1707"/>
      <c r="AC49" s="1707"/>
      <c r="AD49" s="1707"/>
      <c r="AE49" s="1707"/>
      <c r="AF49" s="1973"/>
      <c r="AG49" s="963"/>
      <c r="AH49" s="963"/>
      <c r="AI49" s="963"/>
      <c r="AJ49" s="963"/>
      <c r="AK49" s="1982">
        <v>11</v>
      </c>
    </row>
    <row s="17832" customFormat="1" customHeight="1" ht="11.549999999999999">
      <c r="A50" s="1328"/>
      <c r="B50" s="1328"/>
      <c r="C50" s="1328"/>
      <c r="D50" s="1328"/>
      <c r="E50" s="1328"/>
      <c r="F50" s="1977"/>
      <c r="G50" s="1977"/>
      <c r="H50" s="692"/>
      <c r="N50" s="1707"/>
      <c r="P50" s="1707"/>
      <c r="Q50" s="1977"/>
      <c r="R50" s="1977"/>
      <c r="S50" s="1707"/>
      <c r="T50" s="1707"/>
      <c r="U50" s="1707"/>
      <c r="V50" s="1707"/>
      <c r="W50" s="1977"/>
      <c r="X50" s="1707"/>
      <c r="Y50" s="1707"/>
      <c r="Z50" s="885"/>
      <c r="AA50" s="1707"/>
      <c r="AB50" s="1707"/>
      <c r="AC50" s="1707"/>
      <c r="AD50" s="1707"/>
      <c r="AE50" s="1707"/>
      <c r="AF50" s="1973"/>
      <c r="AG50" s="963"/>
      <c r="AH50" s="963"/>
      <c r="AI50" s="963"/>
      <c r="AJ50" s="963"/>
      <c r="AK50" s="1982">
        <v>11</v>
      </c>
    </row>
    <row s="17832" customFormat="1" customHeight="1" ht="11.549999999999999">
      <c r="A51" s="1328"/>
      <c r="B51" s="1328"/>
      <c r="C51" s="1328"/>
      <c r="D51" s="1328"/>
      <c r="E51" s="1328"/>
      <c r="F51" s="1977"/>
      <c r="G51" s="1977"/>
      <c r="H51" s="692"/>
      <c r="N51" s="1707"/>
      <c r="P51" s="1707"/>
      <c r="Q51" s="1977"/>
      <c r="R51" s="1977"/>
      <c r="S51" s="1707"/>
      <c r="T51" s="1707"/>
      <c r="U51" s="1707"/>
      <c r="V51" s="1707"/>
      <c r="W51" s="1977"/>
      <c r="X51" s="1707"/>
      <c r="Y51" s="1707"/>
      <c r="Z51" s="885"/>
      <c r="AA51" s="1707"/>
      <c r="AB51" s="1707"/>
      <c r="AC51" s="1707"/>
      <c r="AD51" s="1707"/>
      <c r="AE51" s="1707"/>
      <c r="AF51" s="1973"/>
      <c r="AG51" s="963"/>
      <c r="AH51" s="963"/>
      <c r="AI51" s="963"/>
      <c r="AJ51" s="963"/>
      <c r="AK51" s="1982">
        <v>11</v>
      </c>
    </row>
    <row s="17832" customFormat="1" customHeight="1" ht="11.549999999999999">
      <c r="A52" s="1328"/>
      <c r="B52" s="1328"/>
      <c r="C52" s="1328"/>
      <c r="D52" s="1328"/>
      <c r="E52" s="1328"/>
      <c r="F52" s="1977"/>
      <c r="G52" s="1977"/>
      <c r="H52" s="692"/>
      <c r="N52" s="1707"/>
      <c r="P52" s="1707"/>
      <c r="Q52" s="1977"/>
      <c r="R52" s="1977"/>
      <c r="S52" s="1707"/>
      <c r="T52" s="1707"/>
      <c r="U52" s="1707"/>
      <c r="V52" s="1707"/>
      <c r="W52" s="1977"/>
      <c r="X52" s="1707"/>
      <c r="Y52" s="1707"/>
      <c r="Z52" s="885"/>
      <c r="AA52" s="1707"/>
      <c r="AB52" s="1707"/>
      <c r="AC52" s="1707"/>
      <c r="AD52" s="1707"/>
      <c r="AE52" s="1707"/>
      <c r="AF52" s="1973"/>
      <c r="AG52" s="963"/>
      <c r="AH52" s="963"/>
      <c r="AI52" s="963"/>
      <c r="AJ52" s="963"/>
      <c r="AK52" s="1982">
        <v>11</v>
      </c>
    </row>
    <row s="17832" customFormat="1" customHeight="1" ht="11.549999999999999">
      <c r="A53" s="1328"/>
      <c r="B53" s="1328"/>
      <c r="C53" s="1328"/>
      <c r="D53" s="1328"/>
      <c r="E53" s="1328"/>
      <c r="F53" s="1977"/>
      <c r="G53" s="1977"/>
      <c r="H53" s="692"/>
      <c r="N53" s="1707"/>
      <c r="P53" s="1707"/>
      <c r="Q53" s="1977"/>
      <c r="R53" s="1977"/>
      <c r="S53" s="1707"/>
      <c r="T53" s="1707"/>
      <c r="U53" s="1707"/>
      <c r="V53" s="1707"/>
      <c r="W53" s="1977"/>
      <c r="X53" s="1707"/>
      <c r="Y53" s="1707"/>
      <c r="Z53" s="885"/>
      <c r="AA53" s="1707"/>
      <c r="AB53" s="1707"/>
      <c r="AC53" s="1707"/>
      <c r="AD53" s="1707"/>
      <c r="AE53" s="1707"/>
      <c r="AF53" s="1973"/>
      <c r="AG53" s="963"/>
      <c r="AH53" s="963"/>
      <c r="AI53" s="963"/>
      <c r="AJ53" s="963"/>
      <c r="AK53" s="1982">
        <v>11</v>
      </c>
    </row>
    <row s="17832" customFormat="1" customHeight="1" ht="11.549999999999999">
      <c r="A54" s="1328"/>
      <c r="B54" s="1328"/>
      <c r="C54" s="1328"/>
      <c r="D54" s="1328"/>
      <c r="E54" s="1328"/>
      <c r="F54" s="1977"/>
      <c r="G54" s="1977"/>
      <c r="H54" s="692"/>
      <c r="N54" s="1707"/>
      <c r="P54" s="1707"/>
      <c r="Q54" s="1977"/>
      <c r="R54" s="1977"/>
      <c r="S54" s="1707"/>
      <c r="T54" s="1707"/>
      <c r="U54" s="1707"/>
      <c r="V54" s="1707"/>
      <c r="W54" s="1977"/>
      <c r="X54" s="1707"/>
      <c r="Y54" s="1707"/>
      <c r="Z54" s="885"/>
      <c r="AA54" s="1707"/>
      <c r="AB54" s="1707"/>
      <c r="AC54" s="1707"/>
      <c r="AD54" s="1707"/>
      <c r="AE54" s="1707"/>
      <c r="AF54" s="1973"/>
      <c r="AG54" s="963"/>
      <c r="AH54" s="963"/>
      <c r="AI54" s="963"/>
      <c r="AJ54" s="963"/>
      <c r="AK54" s="1982">
        <v>11</v>
      </c>
    </row>
    <row s="17832" customFormat="1" customHeight="1" ht="11.549999999999999">
      <c r="A55" s="1328"/>
      <c r="B55" s="1328"/>
      <c r="C55" s="1328"/>
      <c r="D55" s="1328"/>
      <c r="E55" s="1328"/>
      <c r="F55" s="1977"/>
      <c r="G55" s="1977"/>
      <c r="H55" s="692"/>
      <c r="N55" s="1707"/>
      <c r="P55" s="1707"/>
      <c r="Q55" s="1977"/>
      <c r="R55" s="1977"/>
      <c r="S55" s="1707"/>
      <c r="T55" s="1707"/>
      <c r="U55" s="1707"/>
      <c r="V55" s="1707"/>
      <c r="W55" s="1977"/>
      <c r="X55" s="1707"/>
      <c r="Y55" s="1707"/>
      <c r="Z55" s="885"/>
      <c r="AA55" s="1707"/>
      <c r="AB55" s="1707"/>
      <c r="AC55" s="1707"/>
      <c r="AD55" s="1707"/>
      <c r="AE55" s="1707"/>
      <c r="AF55" s="1973"/>
      <c r="AG55" s="963"/>
      <c r="AH55" s="963"/>
      <c r="AI55" s="963"/>
      <c r="AJ55" s="963"/>
      <c r="AK55" s="1982">
        <v>11</v>
      </c>
    </row>
    <row s="17832" customFormat="1" customHeight="1" ht="11.549999999999999">
      <c r="A56" s="1328"/>
      <c r="B56" s="1328"/>
      <c r="C56" s="1328"/>
      <c r="D56" s="1328"/>
      <c r="E56" s="1328"/>
      <c r="F56" s="1977"/>
      <c r="G56" s="1977"/>
      <c r="H56" s="692"/>
      <c r="N56" s="1707"/>
      <c r="P56" s="1707"/>
      <c r="Q56" s="1977"/>
      <c r="R56" s="1977"/>
      <c r="S56" s="1707"/>
      <c r="T56" s="1707"/>
      <c r="U56" s="1707"/>
      <c r="V56" s="1707"/>
      <c r="W56" s="1977"/>
      <c r="X56" s="1707"/>
      <c r="Y56" s="1707"/>
      <c r="Z56" s="885"/>
      <c r="AA56" s="1707"/>
      <c r="AB56" s="1707"/>
      <c r="AC56" s="1707"/>
      <c r="AD56" s="1707"/>
      <c r="AE56" s="1707"/>
      <c r="AF56" s="1973"/>
      <c r="AG56" s="963"/>
      <c r="AH56" s="963"/>
      <c r="AI56" s="963"/>
      <c r="AJ56" s="963"/>
      <c r="AK56" s="1982">
        <v>11</v>
      </c>
    </row>
    <row s="17832" customFormat="1" customHeight="1" ht="11.549999999999999">
      <c r="A57" s="1328"/>
      <c r="B57" s="1328"/>
      <c r="C57" s="1328"/>
      <c r="D57" s="1328"/>
      <c r="E57" s="1328"/>
      <c r="F57" s="1977"/>
      <c r="G57" s="1977"/>
      <c r="H57" s="692"/>
      <c r="N57" s="1707"/>
      <c r="P57" s="1707"/>
      <c r="Q57" s="1977"/>
      <c r="R57" s="1977"/>
      <c r="S57" s="1707"/>
      <c r="T57" s="1707"/>
      <c r="U57" s="1707"/>
      <c r="V57" s="1707"/>
      <c r="W57" s="1977"/>
      <c r="X57" s="1707"/>
      <c r="Y57" s="1707"/>
      <c r="Z57" s="885"/>
      <c r="AA57" s="1707"/>
      <c r="AB57" s="1707"/>
      <c r="AC57" s="1707"/>
      <c r="AD57" s="1707"/>
      <c r="AE57" s="1707"/>
      <c r="AF57" s="1973"/>
      <c r="AG57" s="963"/>
      <c r="AH57" s="963"/>
      <c r="AI57" s="963"/>
      <c r="AJ57" s="963"/>
      <c r="AK57" s="1982">
        <v>11</v>
      </c>
    </row>
    <row s="17832" customFormat="1" customHeight="1" ht="11.549999999999999">
      <c r="A58" s="1328"/>
      <c r="B58" s="1328"/>
      <c r="C58" s="1328"/>
      <c r="D58" s="1328"/>
      <c r="E58" s="1328"/>
      <c r="F58" s="1977"/>
      <c r="G58" s="1977"/>
      <c r="H58" s="692"/>
      <c r="N58" s="1707"/>
      <c r="P58" s="1707"/>
      <c r="Q58" s="1977"/>
      <c r="R58" s="1977"/>
      <c r="S58" s="1707"/>
      <c r="T58" s="1707"/>
      <c r="U58" s="1707"/>
      <c r="V58" s="1707"/>
      <c r="W58" s="1977"/>
      <c r="X58" s="1707"/>
      <c r="Y58" s="1707"/>
      <c r="Z58" s="885"/>
      <c r="AA58" s="1707"/>
      <c r="AB58" s="1707"/>
      <c r="AC58" s="1707"/>
      <c r="AD58" s="1707"/>
      <c r="AE58" s="1707"/>
      <c r="AF58" s="1973"/>
      <c r="AG58" s="963"/>
      <c r="AH58" s="963"/>
      <c r="AI58" s="963"/>
      <c r="AJ58" s="963"/>
      <c r="AK58" s="1982">
        <v>11</v>
      </c>
    </row>
    <row s="17832" customFormat="1" customHeight="1" ht="11.549999999999999">
      <c r="A59" s="1328"/>
      <c r="B59" s="1328"/>
      <c r="C59" s="1328"/>
      <c r="D59" s="1328"/>
      <c r="E59" s="1328"/>
      <c r="F59" s="1977"/>
      <c r="G59" s="1977"/>
      <c r="H59" s="692"/>
      <c r="N59" s="1707"/>
      <c r="P59" s="1707"/>
      <c r="Q59" s="1977"/>
      <c r="R59" s="1977"/>
      <c r="S59" s="1707"/>
      <c r="T59" s="1707"/>
      <c r="U59" s="1707"/>
      <c r="V59" s="1707"/>
      <c r="W59" s="1977"/>
      <c r="X59" s="1707"/>
      <c r="Y59" s="1707"/>
      <c r="Z59" s="885"/>
      <c r="AA59" s="1707"/>
      <c r="AB59" s="1707"/>
      <c r="AC59" s="1707"/>
      <c r="AD59" s="1707"/>
      <c r="AE59" s="1707"/>
      <c r="AF59" s="1973"/>
      <c r="AG59" s="963"/>
      <c r="AH59" s="963"/>
      <c r="AI59" s="963"/>
      <c r="AJ59" s="963"/>
      <c r="AK59" s="1982">
        <v>11</v>
      </c>
    </row>
    <row s="17832" customFormat="1" customHeight="1" ht="11.549999999999999">
      <c r="A60" s="1328"/>
      <c r="B60" s="1328"/>
      <c r="C60" s="1328"/>
      <c r="D60" s="1328"/>
      <c r="E60" s="1328"/>
      <c r="F60" s="1977"/>
      <c r="G60" s="1977"/>
      <c r="H60" s="692"/>
      <c r="N60" s="1707"/>
      <c r="P60" s="1707"/>
      <c r="Q60" s="1977"/>
      <c r="R60" s="1977"/>
      <c r="S60" s="1707"/>
      <c r="T60" s="1707"/>
      <c r="U60" s="1707"/>
      <c r="V60" s="1707"/>
      <c r="W60" s="1977"/>
      <c r="X60" s="1707"/>
      <c r="Y60" s="1707"/>
      <c r="Z60" s="885"/>
      <c r="AA60" s="1707"/>
      <c r="AB60" s="1707"/>
      <c r="AC60" s="1707"/>
      <c r="AD60" s="1707"/>
      <c r="AE60" s="1707"/>
      <c r="AF60" s="1973"/>
      <c r="AG60" s="963"/>
      <c r="AH60" s="963"/>
      <c r="AI60" s="963"/>
      <c r="AJ60" s="963"/>
      <c r="AK60" s="1982">
        <v>11</v>
      </c>
    </row>
    <row s="17832" customFormat="1" customHeight="1" ht="11.549999999999999">
      <c r="A61" s="1328"/>
      <c r="B61" s="1328"/>
      <c r="C61" s="1328"/>
      <c r="D61" s="1328"/>
      <c r="E61" s="1328"/>
      <c r="F61" s="1977"/>
      <c r="G61" s="1977"/>
      <c r="H61" s="692"/>
      <c r="N61" s="1707"/>
      <c r="P61" s="1707"/>
      <c r="Q61" s="1977"/>
      <c r="R61" s="1977"/>
      <c r="S61" s="1707"/>
      <c r="T61" s="1707"/>
      <c r="U61" s="1707"/>
      <c r="V61" s="1707"/>
      <c r="W61" s="1977"/>
      <c r="X61" s="1707"/>
      <c r="Y61" s="1707"/>
      <c r="Z61" s="885"/>
      <c r="AA61" s="1707"/>
      <c r="AB61" s="1707"/>
      <c r="AC61" s="1707"/>
      <c r="AD61" s="1707"/>
      <c r="AE61" s="1707"/>
      <c r="AF61" s="1973"/>
      <c r="AG61" s="963"/>
      <c r="AH61" s="963"/>
      <c r="AI61" s="963"/>
      <c r="AJ61" s="963"/>
      <c r="AK61" s="1982">
        <v>11</v>
      </c>
    </row>
    <row s="17832" customFormat="1" customHeight="1" ht="11.549999999999999">
      <c r="A62" s="1328"/>
      <c r="B62" s="1328"/>
      <c r="C62" s="1328"/>
      <c r="D62" s="1328"/>
      <c r="E62" s="1328"/>
      <c r="F62" s="1977"/>
      <c r="G62" s="1977"/>
      <c r="H62" s="692"/>
      <c r="N62" s="1707"/>
      <c r="P62" s="1707"/>
      <c r="Q62" s="1977"/>
      <c r="R62" s="1977"/>
      <c r="S62" s="1707"/>
      <c r="T62" s="1707"/>
      <c r="U62" s="1707"/>
      <c r="V62" s="1707"/>
      <c r="W62" s="1977"/>
      <c r="X62" s="1707"/>
      <c r="Y62" s="1707"/>
      <c r="Z62" s="885"/>
      <c r="AA62" s="1707"/>
      <c r="AB62" s="1707"/>
      <c r="AC62" s="1707"/>
      <c r="AD62" s="1707"/>
      <c r="AE62" s="1707"/>
      <c r="AF62" s="1973"/>
      <c r="AG62" s="963"/>
      <c r="AH62" s="963"/>
      <c r="AI62" s="963"/>
      <c r="AJ62" s="963"/>
      <c r="AK62" s="1982">
        <v>11</v>
      </c>
    </row>
    <row s="17832" customFormat="1" customHeight="1" ht="11.549999999999999">
      <c r="A63" s="1328"/>
      <c r="B63" s="1328"/>
      <c r="C63" s="1328"/>
      <c r="D63" s="1328"/>
      <c r="E63" s="1328"/>
      <c r="F63" s="1977"/>
      <c r="G63" s="1977"/>
      <c r="H63" s="692"/>
      <c r="N63" s="1707"/>
      <c r="P63" s="1707"/>
      <c r="Q63" s="1977"/>
      <c r="R63" s="1977"/>
      <c r="S63" s="1707"/>
      <c r="T63" s="1707"/>
      <c r="U63" s="1707"/>
      <c r="V63" s="1707"/>
      <c r="W63" s="1977"/>
      <c r="X63" s="1707"/>
      <c r="Y63" s="1707"/>
      <c r="Z63" s="885"/>
      <c r="AA63" s="1707"/>
      <c r="AB63" s="1707"/>
      <c r="AC63" s="1707"/>
      <c r="AD63" s="1707"/>
      <c r="AE63" s="1707"/>
      <c r="AF63" s="1973"/>
      <c r="AG63" s="963"/>
      <c r="AH63" s="963"/>
      <c r="AI63" s="963"/>
      <c r="AJ63" s="963"/>
      <c r="AK63" s="1982">
        <v>11</v>
      </c>
    </row>
    <row s="17832" customFormat="1" customHeight="1" ht="11.549999999999999">
      <c r="A64" s="1328"/>
      <c r="B64" s="1328"/>
      <c r="C64" s="1328"/>
      <c r="D64" s="1328"/>
      <c r="E64" s="1328"/>
      <c r="F64" s="1977"/>
      <c r="G64" s="1977"/>
      <c r="H64" s="692"/>
      <c r="N64" s="1707"/>
      <c r="P64" s="1707"/>
      <c r="Q64" s="1977"/>
      <c r="R64" s="1977"/>
      <c r="S64" s="1707"/>
      <c r="T64" s="1707"/>
      <c r="U64" s="1707"/>
      <c r="V64" s="1707"/>
      <c r="W64" s="1977"/>
      <c r="X64" s="1707"/>
      <c r="Y64" s="1707"/>
      <c r="Z64" s="885"/>
      <c r="AA64" s="1707"/>
      <c r="AB64" s="1707"/>
      <c r="AC64" s="1707"/>
      <c r="AD64" s="1707"/>
      <c r="AE64" s="1707"/>
      <c r="AF64" s="1973"/>
      <c r="AG64" s="963"/>
      <c r="AH64" s="963"/>
      <c r="AI64" s="963"/>
      <c r="AJ64" s="963"/>
      <c r="AK64" s="1982">
        <v>11</v>
      </c>
    </row>
    <row s="17832" customFormat="1" customHeight="1" ht="11.549999999999999">
      <c r="A65" s="1328"/>
      <c r="B65" s="1328"/>
      <c r="C65" s="1328"/>
      <c r="D65" s="1328"/>
      <c r="E65" s="1328"/>
      <c r="F65" s="1977"/>
      <c r="G65" s="1977"/>
      <c r="H65" s="692"/>
      <c r="N65" s="1707"/>
      <c r="P65" s="1707"/>
      <c r="Q65" s="1977"/>
      <c r="R65" s="1977"/>
      <c r="S65" s="1707"/>
      <c r="T65" s="1707"/>
      <c r="U65" s="1707"/>
      <c r="V65" s="1707"/>
      <c r="W65" s="1977"/>
      <c r="X65" s="1707"/>
      <c r="Y65" s="1707"/>
      <c r="Z65" s="885"/>
      <c r="AA65" s="1707"/>
      <c r="AB65" s="1707"/>
      <c r="AC65" s="1707"/>
      <c r="AD65" s="1707"/>
      <c r="AE65" s="1707"/>
      <c r="AF65" s="1973"/>
      <c r="AG65" s="963"/>
      <c r="AH65" s="963"/>
      <c r="AI65" s="963"/>
      <c r="AJ65" s="963"/>
      <c r="AK65" s="1982">
        <v>11</v>
      </c>
    </row>
    <row s="17832" customFormat="1" customHeight="1" ht="11.549999999999999">
      <c r="A66" s="1328"/>
      <c r="B66" s="1328"/>
      <c r="C66" s="1328"/>
      <c r="D66" s="1328"/>
      <c r="E66" s="1328"/>
      <c r="F66" s="1977"/>
      <c r="G66" s="1977"/>
      <c r="H66" s="692"/>
      <c r="N66" s="1707"/>
      <c r="P66" s="1707"/>
      <c r="Q66" s="1977"/>
      <c r="R66" s="1977"/>
      <c r="S66" s="1707"/>
      <c r="T66" s="1707"/>
      <c r="U66" s="1707"/>
      <c r="V66" s="1707"/>
      <c r="W66" s="1977"/>
      <c r="X66" s="1707"/>
      <c r="Y66" s="1707"/>
      <c r="Z66" s="885"/>
      <c r="AA66" s="1707"/>
      <c r="AB66" s="1707"/>
      <c r="AC66" s="1707"/>
      <c r="AD66" s="1707"/>
      <c r="AE66" s="1707"/>
      <c r="AF66" s="1973"/>
      <c r="AG66" s="963"/>
      <c r="AH66" s="963"/>
      <c r="AI66" s="963"/>
      <c r="AJ66" s="963"/>
      <c r="AK66" s="1982">
        <v>11</v>
      </c>
    </row>
    <row s="17832" customFormat="1" customHeight="1" ht="11.549999999999999">
      <c r="A67" s="1328"/>
      <c r="B67" s="1328"/>
      <c r="C67" s="1328"/>
      <c r="D67" s="1328"/>
      <c r="E67" s="1328"/>
      <c r="F67" s="1977"/>
      <c r="G67" s="1977"/>
      <c r="H67" s="692"/>
      <c r="N67" s="1707"/>
      <c r="P67" s="1707"/>
      <c r="Q67" s="1977"/>
      <c r="R67" s="1977"/>
      <c r="S67" s="1707"/>
      <c r="T67" s="1707"/>
      <c r="U67" s="1707"/>
      <c r="V67" s="1707"/>
      <c r="W67" s="1977"/>
      <c r="X67" s="1707"/>
      <c r="Y67" s="1707"/>
      <c r="Z67" s="885"/>
      <c r="AA67" s="1707"/>
      <c r="AB67" s="1707"/>
      <c r="AC67" s="1707"/>
      <c r="AD67" s="1707"/>
      <c r="AE67" s="1707"/>
      <c r="AF67" s="1973"/>
      <c r="AG67" s="963"/>
      <c r="AH67" s="963"/>
      <c r="AI67" s="963"/>
      <c r="AJ67" s="963"/>
      <c r="AK67" s="1982">
        <v>11</v>
      </c>
    </row>
    <row s="17832" customFormat="1" customHeight="1" ht="11.549999999999999">
      <c r="A68" s="1328"/>
      <c r="B68" s="1328"/>
      <c r="C68" s="1328"/>
      <c r="D68" s="1328"/>
      <c r="E68" s="1328"/>
      <c r="F68" s="1977"/>
      <c r="G68" s="1977"/>
      <c r="H68" s="692"/>
      <c r="N68" s="1707"/>
      <c r="P68" s="1707"/>
      <c r="Q68" s="1977"/>
      <c r="R68" s="1977"/>
      <c r="S68" s="1707"/>
      <c r="T68" s="1707"/>
      <c r="U68" s="1707"/>
      <c r="V68" s="1707"/>
      <c r="W68" s="1977"/>
      <c r="X68" s="1707"/>
      <c r="Y68" s="1707"/>
      <c r="Z68" s="885"/>
      <c r="AA68" s="1707"/>
      <c r="AB68" s="1707"/>
      <c r="AC68" s="1707"/>
      <c r="AD68" s="1707"/>
      <c r="AE68" s="1707"/>
      <c r="AF68" s="1973"/>
      <c r="AG68" s="963"/>
      <c r="AH68" s="963"/>
      <c r="AI68" s="963"/>
      <c r="AJ68" s="963"/>
      <c r="AK68" s="1982">
        <v>11</v>
      </c>
    </row>
    <row s="17832" customFormat="1" customHeight="1" ht="11.549999999999999">
      <c r="A69" s="1328"/>
      <c r="B69" s="1328"/>
      <c r="C69" s="1328"/>
      <c r="D69" s="1328"/>
      <c r="E69" s="1328"/>
      <c r="F69" s="1977"/>
      <c r="G69" s="1977"/>
      <c r="H69" s="692"/>
      <c r="N69" s="1707"/>
      <c r="P69" s="1707"/>
      <c r="Q69" s="1977"/>
      <c r="R69" s="1977"/>
      <c r="S69" s="1707"/>
      <c r="T69" s="1707"/>
      <c r="U69" s="1707"/>
      <c r="V69" s="1707"/>
      <c r="W69" s="1977"/>
      <c r="X69" s="1707"/>
      <c r="Y69" s="1707"/>
      <c r="Z69" s="885"/>
      <c r="AA69" s="1707"/>
      <c r="AB69" s="1707"/>
      <c r="AC69" s="1707"/>
      <c r="AD69" s="1707"/>
      <c r="AE69" s="1707"/>
      <c r="AF69" s="1973"/>
      <c r="AG69" s="963"/>
      <c r="AH69" s="963"/>
      <c r="AI69" s="963"/>
      <c r="AJ69" s="963"/>
      <c r="AK69" s="1982">
        <v>11</v>
      </c>
    </row>
    <row s="17832" customFormat="1" customHeight="1" ht="11.549999999999999">
      <c r="A70" s="1328"/>
      <c r="B70" s="1328"/>
      <c r="C70" s="1328"/>
      <c r="D70" s="1328"/>
      <c r="E70" s="1328"/>
      <c r="F70" s="1977"/>
      <c r="G70" s="1977"/>
      <c r="H70" s="692"/>
      <c r="N70" s="1707"/>
      <c r="P70" s="1707"/>
      <c r="Q70" s="1977"/>
      <c r="R70" s="1977"/>
      <c r="S70" s="1707"/>
      <c r="T70" s="1707"/>
      <c r="U70" s="1707"/>
      <c r="V70" s="1707"/>
      <c r="W70" s="1977"/>
      <c r="X70" s="1707"/>
      <c r="Y70" s="1707"/>
      <c r="Z70" s="885"/>
      <c r="AA70" s="1707"/>
      <c r="AB70" s="1707"/>
      <c r="AC70" s="1707"/>
      <c r="AD70" s="1707"/>
      <c r="AE70" s="1707"/>
      <c r="AF70" s="1973"/>
      <c r="AG70" s="963"/>
      <c r="AH70" s="963"/>
      <c r="AI70" s="963"/>
      <c r="AJ70" s="963"/>
      <c r="AK70" s="1982">
        <v>11</v>
      </c>
    </row>
    <row s="17832" customFormat="1" customHeight="1" ht="11.549999999999999">
      <c r="A71" s="1328"/>
      <c r="B71" s="1328"/>
      <c r="C71" s="1328"/>
      <c r="D71" s="1328"/>
      <c r="E71" s="1328"/>
      <c r="F71" s="1977"/>
      <c r="G71" s="1977"/>
      <c r="H71" s="692"/>
      <c r="N71" s="1707"/>
      <c r="P71" s="1707"/>
      <c r="Q71" s="1977"/>
      <c r="R71" s="1977"/>
      <c r="S71" s="1707"/>
      <c r="T71" s="1707"/>
      <c r="U71" s="1707"/>
      <c r="V71" s="1707"/>
      <c r="W71" s="1977"/>
      <c r="X71" s="1707"/>
      <c r="Y71" s="1707"/>
      <c r="Z71" s="885"/>
      <c r="AA71" s="1707"/>
      <c r="AB71" s="1707"/>
      <c r="AC71" s="1707"/>
      <c r="AD71" s="1707"/>
      <c r="AE71" s="1707"/>
      <c r="AF71" s="1973"/>
      <c r="AG71" s="963"/>
      <c r="AH71" s="963"/>
      <c r="AI71" s="963"/>
      <c r="AJ71" s="963"/>
      <c r="AK71" s="1982">
        <v>11</v>
      </c>
    </row>
    <row s="17832" customFormat="1" customHeight="1" ht="11.549999999999999">
      <c r="A72" s="1328"/>
      <c r="B72" s="1328"/>
      <c r="C72" s="1328"/>
      <c r="D72" s="1328"/>
      <c r="E72" s="1328"/>
      <c r="F72" s="1977"/>
      <c r="G72" s="1977"/>
      <c r="H72" s="692"/>
      <c r="N72" s="1707"/>
      <c r="P72" s="1707"/>
      <c r="Q72" s="1977"/>
      <c r="R72" s="1977"/>
      <c r="S72" s="1707"/>
      <c r="T72" s="1707"/>
      <c r="U72" s="1707"/>
      <c r="V72" s="1707"/>
      <c r="W72" s="1977"/>
      <c r="X72" s="1707"/>
      <c r="Y72" s="1707"/>
      <c r="Z72" s="885"/>
      <c r="AA72" s="1707"/>
      <c r="AB72" s="1707"/>
      <c r="AC72" s="1707"/>
      <c r="AD72" s="1707"/>
      <c r="AE72" s="1707"/>
      <c r="AF72" s="1973"/>
      <c r="AG72" s="963"/>
      <c r="AH72" s="963"/>
      <c r="AI72" s="963"/>
      <c r="AJ72" s="963"/>
      <c r="AK72" s="1982">
        <v>11</v>
      </c>
    </row>
    <row s="17832" customFormat="1" customHeight="1" ht="11.549999999999999">
      <c r="A73" s="1328"/>
      <c r="B73" s="1328"/>
      <c r="C73" s="1328"/>
      <c r="D73" s="1328"/>
      <c r="E73" s="1328"/>
      <c r="F73" s="1977"/>
      <c r="G73" s="1977"/>
      <c r="H73" s="692"/>
      <c r="N73" s="1707"/>
      <c r="P73" s="1707"/>
      <c r="Q73" s="1977"/>
      <c r="R73" s="1977"/>
      <c r="S73" s="1707"/>
      <c r="T73" s="1707"/>
      <c r="U73" s="1707"/>
      <c r="V73" s="1707"/>
      <c r="W73" s="1977"/>
      <c r="X73" s="1707"/>
      <c r="Y73" s="1707"/>
      <c r="Z73" s="885"/>
      <c r="AA73" s="1707"/>
      <c r="AB73" s="1707"/>
      <c r="AC73" s="1707"/>
      <c r="AD73" s="1707"/>
      <c r="AE73" s="1707"/>
      <c r="AF73" s="1973"/>
      <c r="AG73" s="963"/>
      <c r="AH73" s="963"/>
      <c r="AI73" s="963"/>
      <c r="AJ73" s="963"/>
      <c r="AK73" s="1982">
        <v>11</v>
      </c>
    </row>
    <row s="17832" customFormat="1" customHeight="1" ht="11.549999999999999">
      <c r="A74" s="1328"/>
      <c r="B74" s="1328"/>
      <c r="C74" s="1328"/>
      <c r="D74" s="1328"/>
      <c r="E74" s="1328"/>
      <c r="F74" s="1977"/>
      <c r="G74" s="1977"/>
      <c r="H74" s="692"/>
      <c r="N74" s="1707"/>
      <c r="P74" s="1707"/>
      <c r="Q74" s="1977"/>
      <c r="R74" s="1977"/>
      <c r="S74" s="1707"/>
      <c r="T74" s="1707"/>
      <c r="U74" s="1707"/>
      <c r="V74" s="1707"/>
      <c r="W74" s="1977"/>
      <c r="X74" s="1707"/>
      <c r="Y74" s="1707"/>
      <c r="Z74" s="885"/>
      <c r="AA74" s="1707"/>
      <c r="AB74" s="1707"/>
      <c r="AC74" s="1707"/>
      <c r="AD74" s="1707"/>
      <c r="AE74" s="1707"/>
      <c r="AF74" s="1973"/>
      <c r="AG74" s="963"/>
      <c r="AH74" s="963"/>
      <c r="AI74" s="963"/>
      <c r="AJ74" s="963"/>
      <c r="AK74" s="1982">
        <v>11</v>
      </c>
    </row>
    <row s="17832" customFormat="1" customHeight="1" ht="11.549999999999999">
      <c r="A75" s="1328"/>
      <c r="B75" s="1328"/>
      <c r="C75" s="1328"/>
      <c r="D75" s="1328"/>
      <c r="E75" s="1328"/>
      <c r="F75" s="1977"/>
      <c r="G75" s="1977"/>
      <c r="H75" s="692"/>
      <c r="N75" s="1707"/>
      <c r="P75" s="1707"/>
      <c r="Q75" s="1977"/>
      <c r="R75" s="1977"/>
      <c r="S75" s="1707"/>
      <c r="T75" s="1707"/>
      <c r="U75" s="1707"/>
      <c r="V75" s="1707"/>
      <c r="W75" s="1977"/>
      <c r="X75" s="1707"/>
      <c r="Y75" s="1707"/>
      <c r="Z75" s="885"/>
      <c r="AA75" s="1707"/>
      <c r="AB75" s="1707"/>
      <c r="AC75" s="1707"/>
      <c r="AD75" s="1707"/>
      <c r="AE75" s="1707"/>
      <c r="AF75" s="1973"/>
      <c r="AG75" s="963"/>
      <c r="AH75" s="963"/>
      <c r="AI75" s="963"/>
      <c r="AJ75" s="963"/>
      <c r="AK75" s="1982">
        <v>11</v>
      </c>
    </row>
    <row s="17832" customFormat="1" customHeight="1" ht="11.549999999999999">
      <c r="A76" s="1328"/>
      <c r="B76" s="1328"/>
      <c r="C76" s="1328"/>
      <c r="D76" s="1328"/>
      <c r="E76" s="1328"/>
      <c r="F76" s="1977"/>
      <c r="G76" s="1977"/>
      <c r="H76" s="692"/>
      <c r="N76" s="1707"/>
      <c r="P76" s="1707"/>
      <c r="Q76" s="1977"/>
      <c r="R76" s="1977"/>
      <c r="S76" s="1707"/>
      <c r="T76" s="1707"/>
      <c r="U76" s="1707"/>
      <c r="V76" s="1707"/>
      <c r="W76" s="1977"/>
      <c r="X76" s="1707"/>
      <c r="Y76" s="1707"/>
      <c r="Z76" s="885"/>
      <c r="AA76" s="1707"/>
      <c r="AB76" s="1707"/>
      <c r="AC76" s="1707"/>
      <c r="AD76" s="1707"/>
      <c r="AE76" s="1707"/>
      <c r="AF76" s="1973"/>
      <c r="AG76" s="963"/>
      <c r="AH76" s="963"/>
      <c r="AI76" s="963"/>
      <c r="AJ76" s="963"/>
      <c r="AK76" s="1982">
        <v>11</v>
      </c>
    </row>
    <row s="17832" customFormat="1" customHeight="1" ht="11.549999999999999">
      <c r="A77" s="1328"/>
      <c r="B77" s="1328"/>
      <c r="C77" s="1328"/>
      <c r="D77" s="1328"/>
      <c r="E77" s="1328"/>
      <c r="F77" s="1977"/>
      <c r="G77" s="1977"/>
      <c r="H77" s="692"/>
      <c r="N77" s="1707"/>
      <c r="P77" s="1707"/>
      <c r="Q77" s="1977"/>
      <c r="R77" s="1977"/>
      <c r="S77" s="1707"/>
      <c r="T77" s="1707"/>
      <c r="U77" s="1707"/>
      <c r="V77" s="1707"/>
      <c r="W77" s="1977"/>
      <c r="X77" s="1707"/>
      <c r="Y77" s="1707"/>
      <c r="Z77" s="885"/>
      <c r="AA77" s="1707"/>
      <c r="AB77" s="1707"/>
      <c r="AC77" s="1707"/>
      <c r="AD77" s="1707"/>
      <c r="AE77" s="1707"/>
      <c r="AF77" s="1973"/>
      <c r="AG77" s="963"/>
      <c r="AH77" s="963"/>
      <c r="AI77" s="963"/>
      <c r="AJ77" s="963"/>
      <c r="AK77" s="1982">
        <v>11</v>
      </c>
    </row>
    <row s="17832" customFormat="1" customHeight="1" ht="11.549999999999999">
      <c r="A78" s="1328"/>
      <c r="B78" s="1328"/>
      <c r="C78" s="1328"/>
      <c r="D78" s="1328"/>
      <c r="E78" s="1328"/>
      <c r="F78" s="1977"/>
      <c r="G78" s="1977"/>
      <c r="H78" s="692"/>
      <c r="N78" s="1707"/>
      <c r="P78" s="1707"/>
      <c r="Q78" s="1977"/>
      <c r="R78" s="1977"/>
      <c r="S78" s="1707"/>
      <c r="T78" s="1707"/>
      <c r="U78" s="1707"/>
      <c r="V78" s="1707"/>
      <c r="W78" s="1977"/>
      <c r="X78" s="1707"/>
      <c r="Y78" s="1707"/>
      <c r="Z78" s="885"/>
      <c r="AA78" s="1707"/>
      <c r="AB78" s="1707"/>
      <c r="AC78" s="1707"/>
      <c r="AD78" s="1707"/>
      <c r="AE78" s="1707"/>
      <c r="AF78" s="1973"/>
      <c r="AG78" s="963"/>
      <c r="AH78" s="963"/>
      <c r="AI78" s="963"/>
      <c r="AJ78" s="963"/>
      <c r="AK78" s="1982">
        <v>11</v>
      </c>
    </row>
    <row s="17832" customFormat="1" customHeight="1" ht="11.549999999999999">
      <c r="A79" s="1328"/>
      <c r="B79" s="1328"/>
      <c r="C79" s="1328"/>
      <c r="D79" s="1328"/>
      <c r="E79" s="1328"/>
      <c r="F79" s="1977"/>
      <c r="G79" s="1977"/>
      <c r="H79" s="692"/>
      <c r="N79" s="1707"/>
      <c r="P79" s="1707"/>
      <c r="Q79" s="1977"/>
      <c r="R79" s="1977"/>
      <c r="S79" s="1707"/>
      <c r="T79" s="1707"/>
      <c r="U79" s="1707"/>
      <c r="V79" s="1707"/>
      <c r="W79" s="1977"/>
      <c r="X79" s="1707"/>
      <c r="Y79" s="1707"/>
      <c r="Z79" s="885"/>
      <c r="AA79" s="1707"/>
      <c r="AB79" s="1707"/>
      <c r="AC79" s="1707"/>
      <c r="AD79" s="1707"/>
      <c r="AE79" s="1707"/>
      <c r="AF79" s="1973"/>
      <c r="AG79" s="963"/>
      <c r="AH79" s="963"/>
      <c r="AI79" s="963"/>
      <c r="AJ79" s="963"/>
      <c r="AK79" s="1982">
        <v>11</v>
      </c>
    </row>
    <row s="17832" customFormat="1" customHeight="1" ht="11.549999999999999">
      <c r="A80" s="1328"/>
      <c r="B80" s="1328"/>
      <c r="C80" s="1328"/>
      <c r="D80" s="1328"/>
      <c r="E80" s="1328"/>
      <c r="F80" s="1977"/>
      <c r="G80" s="1977"/>
      <c r="H80" s="692"/>
      <c r="N80" s="1707"/>
      <c r="P80" s="1707"/>
      <c r="Q80" s="1977"/>
      <c r="R80" s="1977"/>
      <c r="S80" s="1707"/>
      <c r="T80" s="1707"/>
      <c r="U80" s="1707"/>
      <c r="V80" s="1707"/>
      <c r="W80" s="1977"/>
      <c r="X80" s="1707"/>
      <c r="Y80" s="1707"/>
      <c r="Z80" s="885"/>
      <c r="AA80" s="1707"/>
      <c r="AB80" s="1707"/>
      <c r="AC80" s="1707"/>
      <c r="AD80" s="1707"/>
      <c r="AE80" s="1707"/>
      <c r="AF80" s="1973"/>
      <c r="AG80" s="963"/>
      <c r="AH80" s="963"/>
      <c r="AI80" s="963"/>
      <c r="AJ80" s="963"/>
      <c r="AK80" s="1982">
        <v>11</v>
      </c>
    </row>
    <row s="17832" customFormat="1" customHeight="1" ht="11.549999999999999">
      <c r="A81" s="1328"/>
      <c r="B81" s="1328"/>
      <c r="C81" s="1328"/>
      <c r="D81" s="1328"/>
      <c r="E81" s="1328"/>
      <c r="F81" s="1977"/>
      <c r="G81" s="1977"/>
      <c r="H81" s="692"/>
      <c r="N81" s="1707"/>
      <c r="P81" s="1707"/>
      <c r="Q81" s="1977"/>
      <c r="R81" s="1977"/>
      <c r="S81" s="1707"/>
      <c r="T81" s="1707"/>
      <c r="U81" s="1707"/>
      <c r="V81" s="1707"/>
      <c r="W81" s="1977"/>
      <c r="X81" s="1707"/>
      <c r="Y81" s="1707"/>
      <c r="Z81" s="885"/>
      <c r="AA81" s="1707"/>
      <c r="AB81" s="1707"/>
      <c r="AC81" s="1707"/>
      <c r="AD81" s="1707"/>
      <c r="AE81" s="1707"/>
      <c r="AF81" s="1973"/>
      <c r="AG81" s="963"/>
      <c r="AH81" s="963"/>
      <c r="AI81" s="963"/>
      <c r="AJ81" s="963"/>
      <c r="AK81" s="1982">
        <v>11</v>
      </c>
    </row>
    <row s="17832" customFormat="1" customHeight="1" ht="11.549999999999999">
      <c r="A82" s="1328"/>
      <c r="B82" s="1328"/>
      <c r="C82" s="1328"/>
      <c r="D82" s="1328"/>
      <c r="E82" s="1328"/>
      <c r="F82" s="1977"/>
      <c r="G82" s="1977"/>
      <c r="H82" s="692"/>
      <c r="N82" s="1707"/>
      <c r="P82" s="1707"/>
      <c r="Q82" s="1977"/>
      <c r="R82" s="1977"/>
      <c r="S82" s="1707"/>
      <c r="T82" s="1707"/>
      <c r="U82" s="1707"/>
      <c r="V82" s="1707"/>
      <c r="W82" s="1977"/>
      <c r="X82" s="1707"/>
      <c r="Y82" s="1707"/>
      <c r="Z82" s="885"/>
      <c r="AA82" s="1707"/>
      <c r="AB82" s="1707"/>
      <c r="AC82" s="1707"/>
      <c r="AD82" s="1707"/>
      <c r="AE82" s="1707"/>
      <c r="AF82" s="1973"/>
      <c r="AG82" s="963"/>
      <c r="AH82" s="963"/>
      <c r="AI82" s="963"/>
      <c r="AJ82" s="963"/>
      <c r="AK82" s="1982">
        <v>11</v>
      </c>
    </row>
    <row s="17832" customFormat="1" customHeight="1" ht="11.549999999999999">
      <c r="A83" s="1328"/>
      <c r="B83" s="1328"/>
      <c r="C83" s="1328"/>
      <c r="D83" s="1328"/>
      <c r="E83" s="1328"/>
      <c r="F83" s="1977"/>
      <c r="G83" s="1977"/>
      <c r="H83" s="692"/>
      <c r="N83" s="1707"/>
      <c r="P83" s="1707"/>
      <c r="Q83" s="1977"/>
      <c r="R83" s="1977"/>
      <c r="S83" s="1707"/>
      <c r="T83" s="1707"/>
      <c r="U83" s="1707"/>
      <c r="V83" s="1707"/>
      <c r="W83" s="1977"/>
      <c r="X83" s="1707"/>
      <c r="Y83" s="1707"/>
      <c r="Z83" s="885"/>
      <c r="AA83" s="1707"/>
      <c r="AB83" s="1707"/>
      <c r="AC83" s="1707"/>
      <c r="AD83" s="1707"/>
      <c r="AE83" s="1707"/>
      <c r="AF83" s="1973"/>
      <c r="AG83" s="963"/>
      <c r="AH83" s="963"/>
      <c r="AI83" s="963"/>
      <c r="AJ83" s="963"/>
      <c r="AK83" s="1982">
        <v>11</v>
      </c>
    </row>
    <row s="17832" customFormat="1" customHeight="1" ht="11.549999999999999">
      <c r="A84" s="1328"/>
      <c r="B84" s="1328"/>
      <c r="C84" s="1328"/>
      <c r="D84" s="1328"/>
      <c r="E84" s="1328"/>
      <c r="F84" s="1977"/>
      <c r="G84" s="1977"/>
      <c r="H84" s="692"/>
      <c r="N84" s="1707"/>
      <c r="P84" s="1707"/>
      <c r="Q84" s="1977"/>
      <c r="R84" s="1977"/>
      <c r="S84" s="1707"/>
      <c r="T84" s="1707"/>
      <c r="U84" s="1707"/>
      <c r="V84" s="1707"/>
      <c r="W84" s="1977"/>
      <c r="X84" s="1707"/>
      <c r="Y84" s="1707"/>
      <c r="Z84" s="885"/>
      <c r="AA84" s="1707"/>
      <c r="AB84" s="1707"/>
      <c r="AC84" s="1707"/>
      <c r="AD84" s="1707"/>
      <c r="AE84" s="1707"/>
      <c r="AF84" s="1973"/>
      <c r="AG84" s="963"/>
      <c r="AH84" s="963"/>
      <c r="AI84" s="963"/>
      <c r="AJ84" s="963"/>
      <c r="AK84" s="1982">
        <v>11</v>
      </c>
    </row>
    <row s="17832" customFormat="1" customHeight="1" ht="11.549999999999999">
      <c r="A85" s="1328"/>
      <c r="B85" s="1328"/>
      <c r="C85" s="1328"/>
      <c r="D85" s="1328"/>
      <c r="E85" s="1328"/>
      <c r="F85" s="1977"/>
      <c r="G85" s="1977"/>
      <c r="H85" s="692"/>
      <c r="N85" s="1707"/>
      <c r="P85" s="1707"/>
      <c r="Q85" s="1977"/>
      <c r="R85" s="1977"/>
      <c r="S85" s="1707"/>
      <c r="T85" s="1707"/>
      <c r="U85" s="1707"/>
      <c r="V85" s="1707"/>
      <c r="W85" s="1977"/>
      <c r="X85" s="1707"/>
      <c r="Y85" s="1707"/>
      <c r="Z85" s="885"/>
      <c r="AA85" s="1707"/>
      <c r="AB85" s="1707"/>
      <c r="AC85" s="1707"/>
      <c r="AD85" s="1707"/>
      <c r="AE85" s="1707"/>
      <c r="AF85" s="1973"/>
      <c r="AG85" s="963"/>
      <c r="AH85" s="963"/>
      <c r="AI85" s="963"/>
      <c r="AJ85" s="963"/>
      <c r="AK85" s="1982">
        <v>11</v>
      </c>
    </row>
    <row s="17832" customFormat="1" customHeight="1" ht="11.549999999999999">
      <c r="A86" s="1328"/>
      <c r="B86" s="1328"/>
      <c r="C86" s="1328"/>
      <c r="D86" s="1328"/>
      <c r="E86" s="1328"/>
      <c r="F86" s="1977"/>
      <c r="G86" s="1977"/>
      <c r="H86" s="692"/>
      <c r="N86" s="1707"/>
      <c r="P86" s="1707"/>
      <c r="Q86" s="1977"/>
      <c r="R86" s="1977"/>
      <c r="S86" s="1707"/>
      <c r="T86" s="1707"/>
      <c r="U86" s="1707"/>
      <c r="V86" s="1707"/>
      <c r="W86" s="1977"/>
      <c r="X86" s="1707"/>
      <c r="Y86" s="1707"/>
      <c r="Z86" s="885"/>
      <c r="AA86" s="1707"/>
      <c r="AB86" s="1707"/>
      <c r="AC86" s="1707"/>
      <c r="AD86" s="1707"/>
      <c r="AE86" s="1707"/>
      <c r="AF86" s="1973"/>
      <c r="AG86" s="963"/>
      <c r="AH86" s="963"/>
      <c r="AI86" s="963"/>
      <c r="AJ86" s="963"/>
      <c r="AK86" s="1982">
        <v>11</v>
      </c>
    </row>
    <row s="17832" customFormat="1" customHeight="1" ht="11.549999999999999">
      <c r="A87" s="1328"/>
      <c r="B87" s="1328"/>
      <c r="C87" s="1328"/>
      <c r="D87" s="1328"/>
      <c r="E87" s="1328"/>
      <c r="F87" s="1977"/>
      <c r="G87" s="1977"/>
      <c r="H87" s="692"/>
      <c r="N87" s="1707"/>
      <c r="P87" s="1707"/>
      <c r="Q87" s="1977"/>
      <c r="R87" s="1977"/>
      <c r="S87" s="1707"/>
      <c r="T87" s="1707"/>
      <c r="U87" s="1707"/>
      <c r="V87" s="1707"/>
      <c r="W87" s="1977"/>
      <c r="X87" s="1707"/>
      <c r="Y87" s="1707"/>
      <c r="Z87" s="885"/>
      <c r="AA87" s="1707"/>
      <c r="AB87" s="1707"/>
      <c r="AC87" s="1707"/>
      <c r="AD87" s="1707"/>
      <c r="AE87" s="1707"/>
      <c r="AF87" s="1973"/>
      <c r="AG87" s="963"/>
      <c r="AH87" s="963"/>
      <c r="AI87" s="963"/>
      <c r="AJ87" s="963"/>
      <c r="AK87" s="1982">
        <v>11</v>
      </c>
    </row>
    <row s="17832" customFormat="1" customHeight="1" ht="11.549999999999999">
      <c r="A88" s="1328"/>
      <c r="B88" s="1328"/>
      <c r="C88" s="1328"/>
      <c r="D88" s="1328"/>
      <c r="E88" s="1328"/>
      <c r="F88" s="1977"/>
      <c r="G88" s="1977"/>
      <c r="H88" s="692"/>
      <c r="N88" s="1707"/>
      <c r="P88" s="1707"/>
      <c r="Q88" s="1977"/>
      <c r="R88" s="1977"/>
      <c r="S88" s="1707"/>
      <c r="T88" s="1707"/>
      <c r="U88" s="1707"/>
      <c r="V88" s="1707"/>
      <c r="W88" s="1977"/>
      <c r="X88" s="1707"/>
      <c r="Y88" s="1707"/>
      <c r="Z88" s="885"/>
      <c r="AA88" s="1707"/>
      <c r="AB88" s="1707"/>
      <c r="AC88" s="1707"/>
      <c r="AD88" s="1707"/>
      <c r="AE88" s="1707"/>
      <c r="AF88" s="1973"/>
      <c r="AG88" s="963"/>
      <c r="AH88" s="963"/>
      <c r="AI88" s="963"/>
      <c r="AJ88" s="963"/>
      <c r="AK88" s="1982">
        <v>11</v>
      </c>
    </row>
    <row s="17832" customFormat="1" customHeight="1" ht="11.549999999999999">
      <c r="A89" s="1328"/>
      <c r="B89" s="1328"/>
      <c r="C89" s="1328"/>
      <c r="D89" s="1328"/>
      <c r="E89" s="1328"/>
      <c r="F89" s="1977"/>
      <c r="G89" s="1977"/>
      <c r="H89" s="692"/>
      <c r="N89" s="1707"/>
      <c r="P89" s="1707"/>
      <c r="Q89" s="1977"/>
      <c r="R89" s="1977"/>
      <c r="S89" s="1707"/>
      <c r="T89" s="1707"/>
      <c r="U89" s="1707"/>
      <c r="V89" s="1707"/>
      <c r="W89" s="1977"/>
      <c r="X89" s="1707"/>
      <c r="Y89" s="1707"/>
      <c r="Z89" s="885"/>
      <c r="AA89" s="1707"/>
      <c r="AB89" s="1707"/>
      <c r="AC89" s="1707"/>
      <c r="AD89" s="1707"/>
      <c r="AE89" s="1707"/>
      <c r="AF89" s="1973"/>
      <c r="AG89" s="963"/>
      <c r="AH89" s="963"/>
      <c r="AI89" s="963"/>
      <c r="AJ89" s="963"/>
      <c r="AK89" s="1982">
        <v>11</v>
      </c>
    </row>
    <row s="17832" customFormat="1" customHeight="1" ht="11.549999999999999">
      <c r="A90" s="1328"/>
      <c r="B90" s="1328"/>
      <c r="C90" s="1328"/>
      <c r="D90" s="1328"/>
      <c r="E90" s="1328"/>
      <c r="F90" s="1977"/>
      <c r="G90" s="1977"/>
      <c r="H90" s="692"/>
      <c r="N90" s="1707"/>
      <c r="P90" s="1707"/>
      <c r="Q90" s="1977"/>
      <c r="R90" s="1977"/>
      <c r="S90" s="1707"/>
      <c r="T90" s="1707"/>
      <c r="U90" s="1707"/>
      <c r="V90" s="1707"/>
      <c r="W90" s="1977"/>
      <c r="X90" s="1707"/>
      <c r="Y90" s="1707"/>
      <c r="Z90" s="885"/>
      <c r="AA90" s="1707"/>
      <c r="AB90" s="1707"/>
      <c r="AC90" s="1707"/>
      <c r="AD90" s="1707"/>
      <c r="AE90" s="1707"/>
      <c r="AF90" s="1973"/>
      <c r="AG90" s="963"/>
      <c r="AH90" s="963"/>
      <c r="AI90" s="963"/>
      <c r="AJ90" s="963"/>
      <c r="AK90" s="1982">
        <v>11</v>
      </c>
    </row>
    <row s="17832" customFormat="1" customHeight="1" ht="11.549999999999999">
      <c r="A91" s="1328"/>
      <c r="B91" s="1328"/>
      <c r="C91" s="1328"/>
      <c r="D91" s="1328"/>
      <c r="E91" s="1328"/>
      <c r="F91" s="1977"/>
      <c r="G91" s="1977"/>
      <c r="H91" s="692"/>
      <c r="N91" s="1707"/>
      <c r="P91" s="1707"/>
      <c r="Q91" s="1977"/>
      <c r="R91" s="1977"/>
      <c r="S91" s="1707"/>
      <c r="T91" s="1707"/>
      <c r="U91" s="1707"/>
      <c r="V91" s="1707"/>
      <c r="W91" s="1977"/>
      <c r="X91" s="1707"/>
      <c r="Y91" s="1707"/>
      <c r="Z91" s="885"/>
      <c r="AA91" s="1707"/>
      <c r="AB91" s="1707"/>
      <c r="AC91" s="1707"/>
      <c r="AD91" s="1707"/>
      <c r="AE91" s="1707"/>
      <c r="AF91" s="1973"/>
      <c r="AG91" s="963"/>
      <c r="AH91" s="963"/>
      <c r="AI91" s="963"/>
      <c r="AJ91" s="963"/>
      <c r="AK91" s="1982">
        <v>11</v>
      </c>
    </row>
    <row s="17832" customFormat="1" customHeight="1" ht="11.549999999999999">
      <c r="A92" s="1328"/>
      <c r="B92" s="1328"/>
      <c r="C92" s="1328"/>
      <c r="D92" s="1328"/>
      <c r="E92" s="1328"/>
      <c r="F92" s="1977"/>
      <c r="G92" s="1977"/>
      <c r="H92" s="692"/>
      <c r="N92" s="1707"/>
      <c r="P92" s="1707"/>
      <c r="Q92" s="1977"/>
      <c r="R92" s="1977"/>
      <c r="S92" s="1707"/>
      <c r="T92" s="1707"/>
      <c r="U92" s="1707"/>
      <c r="V92" s="1707"/>
      <c r="W92" s="1977"/>
      <c r="X92" s="1707"/>
      <c r="Y92" s="1707"/>
      <c r="Z92" s="885"/>
      <c r="AA92" s="1707"/>
      <c r="AB92" s="1707"/>
      <c r="AC92" s="1707"/>
      <c r="AD92" s="1707"/>
      <c r="AE92" s="1707"/>
      <c r="AF92" s="1973"/>
      <c r="AG92" s="963"/>
      <c r="AH92" s="963"/>
      <c r="AI92" s="963"/>
      <c r="AJ92" s="963"/>
      <c r="AK92" s="1982">
        <v>11</v>
      </c>
    </row>
    <row s="17832" customFormat="1" customHeight="1" ht="11.549999999999999">
      <c r="A93" s="1328"/>
      <c r="B93" s="1328"/>
      <c r="C93" s="1328"/>
      <c r="D93" s="1328"/>
      <c r="E93" s="1328"/>
      <c r="F93" s="1977"/>
      <c r="G93" s="1977"/>
      <c r="H93" s="692"/>
      <c r="N93" s="1707"/>
      <c r="P93" s="1707"/>
      <c r="Q93" s="1977"/>
      <c r="R93" s="1977"/>
      <c r="S93" s="1707"/>
      <c r="T93" s="1707"/>
      <c r="U93" s="1707"/>
      <c r="V93" s="1707"/>
      <c r="W93" s="1977"/>
      <c r="X93" s="1707"/>
      <c r="Y93" s="1707"/>
      <c r="Z93" s="885"/>
      <c r="AA93" s="1707"/>
      <c r="AB93" s="1707"/>
      <c r="AC93" s="1707"/>
      <c r="AD93" s="1707"/>
      <c r="AE93" s="1707"/>
      <c r="AF93" s="1973"/>
      <c r="AG93" s="963"/>
      <c r="AH93" s="963"/>
      <c r="AI93" s="963"/>
      <c r="AJ93" s="963"/>
      <c r="AK93" s="1982">
        <v>11</v>
      </c>
    </row>
    <row s="17832" customFormat="1" customHeight="1" ht="11.549999999999999">
      <c r="A94" s="1328"/>
      <c r="B94" s="1328"/>
      <c r="C94" s="1328"/>
      <c r="D94" s="1328"/>
      <c r="E94" s="1328"/>
      <c r="F94" s="1977"/>
      <c r="G94" s="1977"/>
      <c r="H94" s="692"/>
      <c r="N94" s="1707"/>
      <c r="P94" s="1707"/>
      <c r="Q94" s="1977"/>
      <c r="R94" s="1977"/>
      <c r="S94" s="1707"/>
      <c r="T94" s="1707"/>
      <c r="U94" s="1707"/>
      <c r="V94" s="1707"/>
      <c r="W94" s="1977"/>
      <c r="X94" s="1707"/>
      <c r="Y94" s="1707"/>
      <c r="Z94" s="885"/>
      <c r="AA94" s="1707"/>
      <c r="AB94" s="1707"/>
      <c r="AC94" s="1707"/>
      <c r="AD94" s="1707"/>
      <c r="AE94" s="1707"/>
      <c r="AF94" s="1973"/>
      <c r="AG94" s="963"/>
      <c r="AH94" s="963"/>
      <c r="AI94" s="963"/>
      <c r="AJ94" s="963"/>
      <c r="AK94" s="1982">
        <v>11</v>
      </c>
    </row>
    <row s="17832" customFormat="1" customHeight="1" ht="11.549999999999999">
      <c r="A95" s="1328"/>
      <c r="B95" s="1328"/>
      <c r="C95" s="1328"/>
      <c r="D95" s="1328"/>
      <c r="E95" s="1328"/>
      <c r="F95" s="1977"/>
      <c r="G95" s="1977"/>
      <c r="H95" s="692"/>
      <c r="N95" s="1707"/>
      <c r="P95" s="1707"/>
      <c r="Q95" s="1977"/>
      <c r="R95" s="1977"/>
      <c r="S95" s="1707"/>
      <c r="T95" s="1707"/>
      <c r="U95" s="1707"/>
      <c r="V95" s="1707"/>
      <c r="W95" s="1977"/>
      <c r="X95" s="1707"/>
      <c r="Y95" s="1707"/>
      <c r="Z95" s="885"/>
      <c r="AA95" s="1707"/>
      <c r="AB95" s="1707"/>
      <c r="AC95" s="1707"/>
      <c r="AD95" s="1707"/>
      <c r="AE95" s="1707"/>
      <c r="AF95" s="1973"/>
      <c r="AG95" s="963"/>
      <c r="AH95" s="963"/>
      <c r="AI95" s="963"/>
      <c r="AJ95" s="963"/>
      <c r="AK95" s="1982">
        <v>11</v>
      </c>
    </row>
    <row s="17832" customFormat="1" customHeight="1" ht="11.549999999999999">
      <c r="A96" s="1328"/>
      <c r="B96" s="1328"/>
      <c r="C96" s="1328"/>
      <c r="D96" s="1328"/>
      <c r="E96" s="1328"/>
      <c r="F96" s="1977"/>
      <c r="G96" s="1977"/>
      <c r="H96" s="692"/>
      <c r="N96" s="1707"/>
      <c r="P96" s="1707"/>
      <c r="Q96" s="1977"/>
      <c r="R96" s="1977"/>
      <c r="S96" s="1707"/>
      <c r="T96" s="1707"/>
      <c r="U96" s="1707"/>
      <c r="V96" s="1707"/>
      <c r="W96" s="1977"/>
      <c r="X96" s="1707"/>
      <c r="Y96" s="1707"/>
      <c r="Z96" s="885"/>
      <c r="AA96" s="1707"/>
      <c r="AB96" s="1707"/>
      <c r="AC96" s="1707"/>
      <c r="AD96" s="1707"/>
      <c r="AE96" s="1707"/>
      <c r="AF96" s="1973"/>
      <c r="AG96" s="963"/>
      <c r="AH96" s="963"/>
      <c r="AI96" s="963"/>
      <c r="AJ96" s="963"/>
      <c r="AK96" s="1982">
        <v>11</v>
      </c>
    </row>
    <row s="17832" customFormat="1" customHeight="1" ht="11.549999999999999">
      <c r="A97" s="1328"/>
      <c r="B97" s="1328"/>
      <c r="C97" s="1328"/>
      <c r="D97" s="1328"/>
      <c r="E97" s="1328"/>
      <c r="F97" s="1977"/>
      <c r="G97" s="1977"/>
      <c r="H97" s="692"/>
      <c r="N97" s="1707"/>
      <c r="P97" s="1707"/>
      <c r="Q97" s="1977"/>
      <c r="R97" s="1977"/>
      <c r="S97" s="1707"/>
      <c r="T97" s="1707"/>
      <c r="U97" s="1707"/>
      <c r="V97" s="1707"/>
      <c r="W97" s="1977"/>
      <c r="X97" s="1707"/>
      <c r="Y97" s="1707"/>
      <c r="Z97" s="885"/>
      <c r="AA97" s="1707"/>
      <c r="AB97" s="1707"/>
      <c r="AC97" s="1707"/>
      <c r="AD97" s="1707"/>
      <c r="AE97" s="1707"/>
      <c r="AF97" s="1973"/>
      <c r="AG97" s="963"/>
      <c r="AH97" s="963"/>
      <c r="AI97" s="963"/>
      <c r="AJ97" s="963"/>
      <c r="AK97" s="1982">
        <v>11</v>
      </c>
    </row>
    <row s="17832" customFormat="1" customHeight="1" ht="11.549999999999999">
      <c r="A98" s="1328"/>
      <c r="B98" s="1328"/>
      <c r="C98" s="1328"/>
      <c r="D98" s="1328"/>
      <c r="E98" s="1328"/>
      <c r="F98" s="1977"/>
      <c r="G98" s="1977"/>
      <c r="H98" s="692"/>
      <c r="N98" s="1707"/>
      <c r="P98" s="1707"/>
      <c r="Q98" s="1977"/>
      <c r="R98" s="1977"/>
      <c r="S98" s="1707"/>
      <c r="T98" s="1707"/>
      <c r="U98" s="1707"/>
      <c r="V98" s="1707"/>
      <c r="W98" s="1977"/>
      <c r="X98" s="1707"/>
      <c r="Y98" s="1707"/>
      <c r="Z98" s="885"/>
      <c r="AA98" s="1707"/>
      <c r="AB98" s="1707"/>
      <c r="AC98" s="1707"/>
      <c r="AD98" s="1707"/>
      <c r="AE98" s="1707"/>
      <c r="AF98" s="1973"/>
      <c r="AG98" s="963"/>
      <c r="AH98" s="963"/>
      <c r="AI98" s="963"/>
      <c r="AJ98" s="963"/>
      <c r="AK98" s="1982">
        <v>11</v>
      </c>
    </row>
    <row s="17832" customFormat="1" customHeight="1" ht="11.549999999999999">
      <c r="A99" s="1328"/>
      <c r="B99" s="1328"/>
      <c r="C99" s="1328"/>
      <c r="D99" s="1328"/>
      <c r="E99" s="1328"/>
      <c r="F99" s="1977"/>
      <c r="G99" s="1977"/>
      <c r="H99" s="692"/>
      <c r="N99" s="1707"/>
      <c r="P99" s="1707"/>
      <c r="Q99" s="1977"/>
      <c r="R99" s="1977"/>
      <c r="S99" s="1707"/>
      <c r="T99" s="1707"/>
      <c r="U99" s="1707"/>
      <c r="V99" s="1707"/>
      <c r="W99" s="1977"/>
      <c r="X99" s="1707"/>
      <c r="Y99" s="1707"/>
      <c r="Z99" s="885"/>
      <c r="AA99" s="1707"/>
      <c r="AB99" s="1707"/>
      <c r="AC99" s="1707"/>
      <c r="AD99" s="1707"/>
      <c r="AE99" s="1707"/>
      <c r="AF99" s="1973"/>
      <c r="AG99" s="963"/>
      <c r="AH99" s="963"/>
      <c r="AI99" s="963"/>
      <c r="AJ99" s="963"/>
      <c r="AK99" s="1982">
        <v>11</v>
      </c>
    </row>
    <row s="17832" customFormat="1" customHeight="1" ht="11.549999999999999">
      <c r="A100" s="1328"/>
      <c r="B100" s="1328"/>
      <c r="C100" s="1328"/>
      <c r="D100" s="1328"/>
      <c r="E100" s="1328"/>
      <c r="F100" s="1977"/>
      <c r="G100" s="1977"/>
      <c r="H100" s="692"/>
      <c r="N100" s="1707"/>
      <c r="P100" s="1707"/>
      <c r="Q100" s="1977"/>
      <c r="R100" s="1977"/>
      <c r="S100" s="1707"/>
      <c r="T100" s="1707"/>
      <c r="U100" s="1707"/>
      <c r="V100" s="1707"/>
      <c r="W100" s="1977"/>
      <c r="X100" s="1707"/>
      <c r="Y100" s="1707"/>
      <c r="Z100" s="885"/>
      <c r="AA100" s="1707"/>
      <c r="AB100" s="1707"/>
      <c r="AC100" s="1707"/>
      <c r="AD100" s="1707"/>
      <c r="AE100" s="1707"/>
      <c r="AF100" s="1973"/>
      <c r="AG100" s="963"/>
      <c r="AH100" s="963"/>
      <c r="AI100" s="963"/>
      <c r="AJ100" s="963"/>
      <c r="AK100" s="1982">
        <v>11</v>
      </c>
    </row>
    <row s="17832" customFormat="1" customHeight="1" ht="11.549999999999999">
      <c r="A101" s="1328"/>
      <c r="B101" s="1328"/>
      <c r="C101" s="1328"/>
      <c r="D101" s="1328"/>
      <c r="E101" s="1328"/>
      <c r="F101" s="1977"/>
      <c r="G101" s="1977"/>
      <c r="H101" s="692"/>
      <c r="N101" s="1707"/>
      <c r="P101" s="1707"/>
      <c r="Q101" s="1977"/>
      <c r="R101" s="1977"/>
      <c r="S101" s="1707"/>
      <c r="T101" s="1707"/>
      <c r="U101" s="1707"/>
      <c r="V101" s="1707"/>
      <c r="W101" s="1977"/>
      <c r="X101" s="1707"/>
      <c r="Y101" s="1707"/>
      <c r="Z101" s="885"/>
      <c r="AA101" s="1707"/>
      <c r="AB101" s="1707"/>
      <c r="AC101" s="1707"/>
      <c r="AD101" s="1707"/>
      <c r="AE101" s="1707"/>
      <c r="AF101" s="1973"/>
      <c r="AG101" s="963"/>
      <c r="AH101" s="963"/>
      <c r="AI101" s="963"/>
      <c r="AJ101" s="963"/>
      <c r="AK101" s="1982">
        <v>11</v>
      </c>
    </row>
    <row s="17832" customFormat="1" customHeight="1" ht="11.549999999999999">
      <c r="A102" s="1328"/>
      <c r="B102" s="1328"/>
      <c r="C102" s="1328"/>
      <c r="D102" s="1328"/>
      <c r="E102" s="1328"/>
      <c r="F102" s="1977"/>
      <c r="G102" s="1977"/>
      <c r="H102" s="692"/>
      <c r="N102" s="1707"/>
      <c r="P102" s="1707"/>
      <c r="Q102" s="1977"/>
      <c r="R102" s="1977"/>
      <c r="S102" s="1707"/>
      <c r="T102" s="1707"/>
      <c r="U102" s="1707"/>
      <c r="V102" s="1707"/>
      <c r="W102" s="1977"/>
      <c r="X102" s="1707"/>
      <c r="Y102" s="1707"/>
      <c r="Z102" s="885"/>
      <c r="AA102" s="1707"/>
      <c r="AB102" s="1707"/>
      <c r="AC102" s="1707"/>
      <c r="AD102" s="1707"/>
      <c r="AE102" s="1707"/>
      <c r="AF102" s="1973"/>
      <c r="AG102" s="963"/>
      <c r="AH102" s="963"/>
      <c r="AI102" s="963"/>
      <c r="AJ102" s="963"/>
      <c r="AK102" s="1982">
        <v>11</v>
      </c>
    </row>
    <row s="17832" customFormat="1" customHeight="1" ht="11.549999999999999">
      <c r="A103" s="1328"/>
      <c r="B103" s="1328"/>
      <c r="C103" s="1328"/>
      <c r="D103" s="1328"/>
      <c r="E103" s="1328"/>
      <c r="F103" s="1977"/>
      <c r="G103" s="1977"/>
      <c r="H103" s="692"/>
      <c r="N103" s="1707"/>
      <c r="P103" s="1707"/>
      <c r="Q103" s="1977"/>
      <c r="R103" s="1977"/>
      <c r="S103" s="1707"/>
      <c r="T103" s="1707"/>
      <c r="U103" s="1707"/>
      <c r="V103" s="1707"/>
      <c r="W103" s="1977"/>
      <c r="X103" s="1707"/>
      <c r="Y103" s="1707"/>
      <c r="Z103" s="885"/>
      <c r="AA103" s="1707"/>
      <c r="AB103" s="1707"/>
      <c r="AC103" s="1707"/>
      <c r="AD103" s="1707"/>
      <c r="AE103" s="1707"/>
      <c r="AF103" s="1973"/>
      <c r="AG103" s="963"/>
      <c r="AH103" s="963"/>
      <c r="AI103" s="963"/>
      <c r="AJ103" s="963"/>
      <c r="AK103" s="1982">
        <v>11</v>
      </c>
    </row>
    <row s="17832" customFormat="1" customHeight="1" ht="11.549999999999999">
      <c r="A104" s="1328"/>
      <c r="B104" s="1328"/>
      <c r="C104" s="1328"/>
      <c r="D104" s="1328"/>
      <c r="E104" s="1328"/>
      <c r="F104" s="1977"/>
      <c r="G104" s="1977"/>
      <c r="H104" s="692"/>
      <c r="N104" s="1707"/>
      <c r="P104" s="1707"/>
      <c r="Q104" s="1977"/>
      <c r="R104" s="1977"/>
      <c r="S104" s="1707"/>
      <c r="T104" s="1707"/>
      <c r="U104" s="1707"/>
      <c r="V104" s="1707"/>
      <c r="W104" s="1977"/>
      <c r="X104" s="1707"/>
      <c r="Y104" s="1707"/>
      <c r="Z104" s="885"/>
      <c r="AA104" s="1707"/>
      <c r="AB104" s="1707"/>
      <c r="AC104" s="1707"/>
      <c r="AD104" s="1707"/>
      <c r="AE104" s="1707"/>
      <c r="AF104" s="1973"/>
      <c r="AG104" s="963"/>
      <c r="AH104" s="963"/>
      <c r="AI104" s="963"/>
      <c r="AJ104" s="963"/>
      <c r="AK104" s="1982">
        <v>11</v>
      </c>
    </row>
    <row s="17832" customFormat="1" customHeight="1" ht="11.549999999999999">
      <c r="A105" s="1328"/>
      <c r="B105" s="1328"/>
      <c r="C105" s="1328"/>
      <c r="D105" s="1328"/>
      <c r="E105" s="1328"/>
      <c r="F105" s="1977"/>
      <c r="G105" s="1977"/>
      <c r="H105" s="692"/>
      <c r="N105" s="1707"/>
      <c r="P105" s="1707"/>
      <c r="Q105" s="1977"/>
      <c r="R105" s="1977"/>
      <c r="S105" s="1707"/>
      <c r="T105" s="1707"/>
      <c r="U105" s="1707"/>
      <c r="V105" s="1707"/>
      <c r="W105" s="1977"/>
      <c r="X105" s="1707"/>
      <c r="Y105" s="1707"/>
      <c r="Z105" s="885"/>
      <c r="AA105" s="1707"/>
      <c r="AB105" s="1707"/>
      <c r="AC105" s="1707"/>
      <c r="AD105" s="1707"/>
      <c r="AE105" s="1707"/>
      <c r="AF105" s="1973"/>
      <c r="AG105" s="963"/>
      <c r="AH105" s="963"/>
      <c r="AI105" s="963"/>
      <c r="AJ105" s="963"/>
      <c r="AK105" s="1982">
        <v>11</v>
      </c>
    </row>
    <row s="17832" customFormat="1" customHeight="1" ht="11.549999999999999">
      <c r="A106" s="1328"/>
      <c r="B106" s="1328"/>
      <c r="C106" s="1328"/>
      <c r="D106" s="1328"/>
      <c r="E106" s="1328"/>
      <c r="F106" s="1977"/>
      <c r="G106" s="1977"/>
      <c r="H106" s="692"/>
      <c r="N106" s="1707"/>
      <c r="P106" s="1707"/>
      <c r="Q106" s="1977"/>
      <c r="R106" s="1977"/>
      <c r="S106" s="1707"/>
      <c r="T106" s="1707"/>
      <c r="U106" s="1707"/>
      <c r="V106" s="1707"/>
      <c r="W106" s="1977"/>
      <c r="X106" s="1707"/>
      <c r="Y106" s="1707"/>
      <c r="Z106" s="885"/>
      <c r="AA106" s="1707"/>
      <c r="AB106" s="1707"/>
      <c r="AC106" s="1707"/>
      <c r="AD106" s="1707"/>
      <c r="AE106" s="1707"/>
      <c r="AF106" s="1973"/>
      <c r="AG106" s="963"/>
      <c r="AH106" s="963"/>
      <c r="AI106" s="963"/>
      <c r="AJ106" s="963"/>
      <c r="AK106" s="1982">
        <v>11</v>
      </c>
    </row>
    <row s="17832" customFormat="1" customHeight="1" ht="11.549999999999999">
      <c r="A107" s="1328"/>
      <c r="B107" s="1328"/>
      <c r="C107" s="1328"/>
      <c r="D107" s="1328"/>
      <c r="E107" s="1328"/>
      <c r="F107" s="1977"/>
      <c r="G107" s="1977"/>
      <c r="H107" s="692"/>
      <c r="N107" s="1707"/>
      <c r="P107" s="1707"/>
      <c r="Q107" s="1977"/>
      <c r="R107" s="1977"/>
      <c r="S107" s="1707"/>
      <c r="T107" s="1707"/>
      <c r="U107" s="1707"/>
      <c r="V107" s="1707"/>
      <c r="W107" s="1977"/>
      <c r="X107" s="1707"/>
      <c r="Y107" s="1707"/>
      <c r="Z107" s="885"/>
      <c r="AA107" s="1707"/>
      <c r="AB107" s="1707"/>
      <c r="AC107" s="1707"/>
      <c r="AD107" s="1707"/>
      <c r="AE107" s="1707"/>
      <c r="AF107" s="1973"/>
      <c r="AG107" s="963"/>
      <c r="AH107" s="963"/>
      <c r="AI107" s="963"/>
      <c r="AJ107" s="963"/>
      <c r="AK107" s="1982">
        <v>11</v>
      </c>
    </row>
    <row s="17832" customFormat="1" customHeight="1" ht="11.549999999999999">
      <c r="A108" s="1328"/>
      <c r="B108" s="1328"/>
      <c r="C108" s="1328"/>
      <c r="D108" s="1328"/>
      <c r="E108" s="1328"/>
      <c r="F108" s="1977"/>
      <c r="G108" s="1977"/>
      <c r="H108" s="692"/>
      <c r="N108" s="1707"/>
      <c r="P108" s="1707"/>
      <c r="Q108" s="1977"/>
      <c r="R108" s="1977"/>
      <c r="S108" s="1707"/>
      <c r="T108" s="1707"/>
      <c r="U108" s="1707"/>
      <c r="V108" s="1707"/>
      <c r="W108" s="1977"/>
      <c r="X108" s="1707"/>
      <c r="Y108" s="1707"/>
      <c r="Z108" s="885"/>
      <c r="AA108" s="1707"/>
      <c r="AB108" s="1707"/>
      <c r="AC108" s="1707"/>
      <c r="AD108" s="1707"/>
      <c r="AE108" s="1707"/>
      <c r="AF108" s="1973"/>
      <c r="AG108" s="963"/>
      <c r="AH108" s="963"/>
      <c r="AI108" s="963"/>
      <c r="AJ108" s="963"/>
      <c r="AK108" s="1982">
        <v>11</v>
      </c>
    </row>
    <row s="17832" customFormat="1" customHeight="1" ht="11.549999999999999">
      <c r="A109" s="1328"/>
      <c r="B109" s="1328"/>
      <c r="C109" s="1328"/>
      <c r="D109" s="1328"/>
      <c r="E109" s="1328"/>
      <c r="F109" s="1977"/>
      <c r="G109" s="1977"/>
      <c r="H109" s="692"/>
      <c r="N109" s="1707"/>
      <c r="P109" s="1707"/>
      <c r="Q109" s="1977"/>
      <c r="R109" s="1977"/>
      <c r="S109" s="1707"/>
      <c r="T109" s="1707"/>
      <c r="U109" s="1707"/>
      <c r="V109" s="1707"/>
      <c r="W109" s="1977"/>
      <c r="X109" s="1707"/>
      <c r="Y109" s="1707"/>
      <c r="Z109" s="885"/>
      <c r="AA109" s="1707"/>
      <c r="AB109" s="1707"/>
      <c r="AC109" s="1707"/>
      <c r="AD109" s="1707"/>
      <c r="AE109" s="1707"/>
      <c r="AF109" s="1973"/>
      <c r="AG109" s="963"/>
      <c r="AH109" s="963"/>
      <c r="AI109" s="963"/>
      <c r="AJ109" s="963"/>
      <c r="AK109" s="1982">
        <v>11</v>
      </c>
    </row>
    <row s="17832" customFormat="1" customHeight="1" ht="11.549999999999999">
      <c r="A110" s="1328"/>
      <c r="B110" s="1328"/>
      <c r="C110" s="1328"/>
      <c r="D110" s="1328"/>
      <c r="E110" s="1328"/>
      <c r="F110" s="1977"/>
      <c r="G110" s="1977"/>
      <c r="H110" s="692"/>
      <c r="N110" s="1707"/>
      <c r="P110" s="1707"/>
      <c r="Q110" s="1977"/>
      <c r="R110" s="1977"/>
      <c r="S110" s="1707"/>
      <c r="T110" s="1707"/>
      <c r="U110" s="1707"/>
      <c r="V110" s="1707"/>
      <c r="W110" s="1977"/>
      <c r="X110" s="1707"/>
      <c r="Y110" s="1707"/>
      <c r="Z110" s="885"/>
      <c r="AA110" s="1707"/>
      <c r="AB110" s="1707"/>
      <c r="AC110" s="1707"/>
      <c r="AD110" s="1707"/>
      <c r="AE110" s="1707"/>
      <c r="AF110" s="1973"/>
      <c r="AG110" s="963"/>
      <c r="AH110" s="963"/>
      <c r="AI110" s="963"/>
      <c r="AJ110" s="963"/>
      <c r="AK110" s="1982">
        <v>11</v>
      </c>
    </row>
    <row s="17832" customFormat="1" customHeight="1" ht="11.549999999999999">
      <c r="A111" s="1328"/>
      <c r="B111" s="1328"/>
      <c r="C111" s="1328"/>
      <c r="D111" s="1328"/>
      <c r="E111" s="1328"/>
      <c r="F111" s="1977"/>
      <c r="G111" s="1977"/>
      <c r="H111" s="692"/>
      <c r="N111" s="1707"/>
      <c r="P111" s="1707"/>
      <c r="Q111" s="1977"/>
      <c r="R111" s="1977"/>
      <c r="S111" s="1707"/>
      <c r="T111" s="1707"/>
      <c r="U111" s="1707"/>
      <c r="V111" s="1707"/>
      <c r="W111" s="1977"/>
      <c r="X111" s="1707"/>
      <c r="Y111" s="1707"/>
      <c r="Z111" s="885"/>
      <c r="AA111" s="1707"/>
      <c r="AB111" s="1707"/>
      <c r="AC111" s="1707"/>
      <c r="AD111" s="1707"/>
      <c r="AE111" s="1707"/>
      <c r="AF111" s="1973"/>
      <c r="AG111" s="963"/>
      <c r="AH111" s="963"/>
      <c r="AI111" s="963"/>
      <c r="AJ111" s="963"/>
      <c r="AK111" s="1982">
        <v>11</v>
      </c>
    </row>
    <row s="17832" customFormat="1" customHeight="1" ht="11.549999999999999">
      <c r="A112" s="1328"/>
      <c r="B112" s="1328"/>
      <c r="C112" s="1328"/>
      <c r="D112" s="1328"/>
      <c r="E112" s="1328"/>
      <c r="F112" s="1977"/>
      <c r="G112" s="1977"/>
      <c r="H112" s="692"/>
      <c r="N112" s="1707"/>
      <c r="P112" s="1707"/>
      <c r="Q112" s="1977"/>
      <c r="R112" s="1977"/>
      <c r="S112" s="1707"/>
      <c r="T112" s="1707"/>
      <c r="U112" s="1707"/>
      <c r="V112" s="1707"/>
      <c r="W112" s="1977"/>
      <c r="X112" s="1707"/>
      <c r="Y112" s="1707"/>
      <c r="Z112" s="885"/>
      <c r="AA112" s="1707"/>
      <c r="AB112" s="1707"/>
      <c r="AC112" s="1707"/>
      <c r="AD112" s="1707"/>
      <c r="AE112" s="1707"/>
      <c r="AF112" s="1973"/>
      <c r="AG112" s="963"/>
      <c r="AH112" s="963"/>
      <c r="AI112" s="963"/>
      <c r="AJ112" s="963"/>
      <c r="AK112" s="1982">
        <v>11</v>
      </c>
    </row>
    <row s="17832" customFormat="1" customHeight="1" ht="11.549999999999999">
      <c r="A113" s="1328"/>
      <c r="B113" s="1328"/>
      <c r="C113" s="1328"/>
      <c r="D113" s="1328"/>
      <c r="E113" s="1328"/>
      <c r="F113" s="1977"/>
      <c r="G113" s="1977"/>
      <c r="H113" s="692"/>
      <c r="N113" s="1707"/>
      <c r="P113" s="1707"/>
      <c r="Q113" s="1977"/>
      <c r="R113" s="1977"/>
      <c r="S113" s="1707"/>
      <c r="T113" s="1707"/>
      <c r="U113" s="1707"/>
      <c r="V113" s="1707"/>
      <c r="W113" s="1977"/>
      <c r="X113" s="1707"/>
      <c r="Y113" s="1707"/>
      <c r="Z113" s="885"/>
      <c r="AA113" s="1707"/>
      <c r="AB113" s="1707"/>
      <c r="AC113" s="1707"/>
      <c r="AD113" s="1707"/>
      <c r="AE113" s="1707"/>
      <c r="AF113" s="1973"/>
      <c r="AG113" s="963"/>
      <c r="AH113" s="963"/>
      <c r="AI113" s="963"/>
      <c r="AJ113" s="963"/>
      <c r="AK113" s="1982">
        <v>11</v>
      </c>
    </row>
    <row s="17832" customFormat="1" customHeight="1" ht="11.549999999999999">
      <c r="A114" s="1328"/>
      <c r="B114" s="1328"/>
      <c r="C114" s="1328"/>
      <c r="D114" s="1328"/>
      <c r="E114" s="1328"/>
      <c r="F114" s="1977"/>
      <c r="G114" s="1977"/>
      <c r="H114" s="692"/>
      <c r="N114" s="1707"/>
      <c r="P114" s="1707"/>
      <c r="Q114" s="1977"/>
      <c r="R114" s="1977"/>
      <c r="S114" s="1707"/>
      <c r="T114" s="1707"/>
      <c r="U114" s="1707"/>
      <c r="V114" s="1707"/>
      <c r="W114" s="1977"/>
      <c r="X114" s="1707"/>
      <c r="Y114" s="1707"/>
      <c r="Z114" s="885"/>
      <c r="AA114" s="1707"/>
      <c r="AB114" s="1707"/>
      <c r="AC114" s="1707"/>
      <c r="AD114" s="1707"/>
      <c r="AE114" s="1707"/>
      <c r="AF114" s="1973"/>
      <c r="AG114" s="963"/>
      <c r="AH114" s="963"/>
      <c r="AI114" s="963"/>
      <c r="AJ114" s="963"/>
      <c r="AK114" s="1982">
        <v>11</v>
      </c>
    </row>
    <row s="17832" customFormat="1" customHeight="1" ht="11.549999999999999">
      <c r="A115" s="1328"/>
      <c r="B115" s="1328"/>
      <c r="C115" s="1328"/>
      <c r="D115" s="1328"/>
      <c r="E115" s="1328"/>
      <c r="F115" s="1977"/>
      <c r="G115" s="1977"/>
      <c r="H115" s="692"/>
      <c r="N115" s="1707"/>
      <c r="P115" s="1707"/>
      <c r="Q115" s="1977"/>
      <c r="R115" s="1977"/>
      <c r="S115" s="1707"/>
      <c r="T115" s="1707"/>
      <c r="U115" s="1707"/>
      <c r="V115" s="1707"/>
      <c r="W115" s="1977"/>
      <c r="X115" s="1707"/>
      <c r="Y115" s="1707"/>
      <c r="Z115" s="885"/>
      <c r="AA115" s="1707"/>
      <c r="AB115" s="1707"/>
      <c r="AC115" s="1707"/>
      <c r="AD115" s="1707"/>
      <c r="AE115" s="1707"/>
      <c r="AF115" s="1973"/>
      <c r="AG115" s="963"/>
      <c r="AH115" s="963"/>
      <c r="AI115" s="963"/>
      <c r="AJ115" s="963"/>
      <c r="AK115" s="1982">
        <v>11</v>
      </c>
    </row>
    <row s="17832" customFormat="1" customHeight="1" ht="11.549999999999999">
      <c r="A116" s="1328"/>
      <c r="B116" s="1328"/>
      <c r="C116" s="1328"/>
      <c r="D116" s="1328"/>
      <c r="E116" s="1328"/>
      <c r="F116" s="1977"/>
      <c r="G116" s="1977"/>
      <c r="H116" s="692"/>
      <c r="N116" s="1707"/>
      <c r="P116" s="1707"/>
      <c r="Q116" s="1977"/>
      <c r="R116" s="1977"/>
      <c r="S116" s="1707"/>
      <c r="T116" s="1707"/>
      <c r="U116" s="1707"/>
      <c r="V116" s="1707"/>
      <c r="W116" s="1977"/>
      <c r="X116" s="1707"/>
      <c r="Y116" s="1707"/>
      <c r="Z116" s="885"/>
      <c r="AA116" s="1707"/>
      <c r="AB116" s="1707"/>
      <c r="AC116" s="1707"/>
      <c r="AD116" s="1707"/>
      <c r="AE116" s="1707"/>
      <c r="AF116" s="1973"/>
      <c r="AG116" s="963"/>
      <c r="AH116" s="963"/>
      <c r="AI116" s="963"/>
      <c r="AJ116" s="963"/>
      <c r="AK116" s="1982">
        <v>11</v>
      </c>
    </row>
    <row s="17832" customFormat="1" customHeight="1" ht="11.549999999999999">
      <c r="A117" s="1328"/>
      <c r="B117" s="1328"/>
      <c r="C117" s="1328"/>
      <c r="D117" s="1328"/>
      <c r="E117" s="1328"/>
      <c r="F117" s="1977"/>
      <c r="G117" s="1977"/>
      <c r="H117" s="692"/>
      <c r="N117" s="1707"/>
      <c r="P117" s="1707"/>
      <c r="Q117" s="1977"/>
      <c r="R117" s="1977"/>
      <c r="S117" s="1707"/>
      <c r="T117" s="1707"/>
      <c r="U117" s="1707"/>
      <c r="V117" s="1707"/>
      <c r="W117" s="1977"/>
      <c r="X117" s="1707"/>
      <c r="Y117" s="1707"/>
      <c r="Z117" s="885"/>
      <c r="AA117" s="1707"/>
      <c r="AB117" s="1707"/>
      <c r="AC117" s="1707"/>
      <c r="AD117" s="1707"/>
      <c r="AE117" s="1707"/>
      <c r="AF117" s="1973"/>
      <c r="AG117" s="963"/>
      <c r="AH117" s="963"/>
      <c r="AI117" s="963"/>
      <c r="AJ117" s="963"/>
      <c r="AK117" s="1982">
        <v>11</v>
      </c>
    </row>
    <row s="17832" customFormat="1" customHeight="1" ht="11.549999999999999">
      <c r="A118" s="1328"/>
      <c r="B118" s="1328"/>
      <c r="C118" s="1328"/>
      <c r="D118" s="1328"/>
      <c r="E118" s="1328"/>
      <c r="F118" s="1977"/>
      <c r="G118" s="1977"/>
      <c r="H118" s="692"/>
      <c r="N118" s="1707"/>
      <c r="P118" s="1707"/>
      <c r="Q118" s="1977"/>
      <c r="R118" s="1977"/>
      <c r="S118" s="1707"/>
      <c r="T118" s="1707"/>
      <c r="U118" s="1707"/>
      <c r="V118" s="1707"/>
      <c r="W118" s="1977"/>
      <c r="X118" s="1707"/>
      <c r="Y118" s="1707"/>
      <c r="Z118" s="885"/>
      <c r="AA118" s="1707"/>
      <c r="AB118" s="1707"/>
      <c r="AC118" s="1707"/>
      <c r="AD118" s="1707"/>
      <c r="AE118" s="1707"/>
      <c r="AF118" s="1973"/>
      <c r="AG118" s="963"/>
      <c r="AH118" s="963"/>
      <c r="AI118" s="963"/>
      <c r="AJ118" s="963"/>
      <c r="AK118" s="1982">
        <v>11</v>
      </c>
    </row>
    <row s="17832" customFormat="1" customHeight="1" ht="11.549999999999999">
      <c r="A119" s="1328"/>
      <c r="B119" s="1328"/>
      <c r="C119" s="1328"/>
      <c r="D119" s="1328"/>
      <c r="E119" s="1328"/>
      <c r="F119" s="1977"/>
      <c r="G119" s="1977"/>
      <c r="H119" s="692"/>
      <c r="N119" s="1707"/>
      <c r="P119" s="1707"/>
      <c r="Q119" s="1977"/>
      <c r="R119" s="1977"/>
      <c r="S119" s="1707"/>
      <c r="T119" s="1707"/>
      <c r="U119" s="1707"/>
      <c r="V119" s="1707"/>
      <c r="W119" s="1977"/>
      <c r="X119" s="1707"/>
      <c r="Y119" s="1707"/>
      <c r="Z119" s="885"/>
      <c r="AA119" s="1707"/>
      <c r="AB119" s="1707"/>
      <c r="AC119" s="1707"/>
      <c r="AD119" s="1707"/>
      <c r="AE119" s="1707"/>
      <c r="AF119" s="1973"/>
      <c r="AG119" s="963"/>
      <c r="AH119" s="963"/>
      <c r="AI119" s="963"/>
      <c r="AJ119" s="963"/>
      <c r="AK119" s="1982">
        <v>11</v>
      </c>
    </row>
    <row s="17832" customFormat="1" customHeight="1" ht="11.549999999999999">
      <c r="A120" s="1328"/>
      <c r="B120" s="1328"/>
      <c r="C120" s="1328"/>
      <c r="D120" s="1328"/>
      <c r="E120" s="1328"/>
      <c r="F120" s="1977"/>
      <c r="G120" s="1977"/>
      <c r="H120" s="692"/>
      <c r="N120" s="1707"/>
      <c r="P120" s="1707"/>
      <c r="Q120" s="1977"/>
      <c r="R120" s="1977"/>
      <c r="S120" s="1707"/>
      <c r="T120" s="1707"/>
      <c r="U120" s="1707"/>
      <c r="V120" s="1707"/>
      <c r="W120" s="1977"/>
      <c r="X120" s="1707"/>
      <c r="Y120" s="1707"/>
      <c r="Z120" s="885"/>
      <c r="AA120" s="1707"/>
      <c r="AB120" s="1707"/>
      <c r="AC120" s="1707"/>
      <c r="AD120" s="1707"/>
      <c r="AE120" s="1707"/>
      <c r="AF120" s="1973"/>
      <c r="AG120" s="963"/>
      <c r="AH120" s="963"/>
      <c r="AI120" s="963"/>
      <c r="AJ120" s="963"/>
      <c r="AK120" s="1982">
        <v>11</v>
      </c>
    </row>
    <row s="17832" customFormat="1" customHeight="1" ht="11.549999999999999">
      <c r="A121" s="1328"/>
      <c r="B121" s="1328"/>
      <c r="C121" s="1328"/>
      <c r="D121" s="1328"/>
      <c r="E121" s="1328"/>
      <c r="F121" s="1977"/>
      <c r="G121" s="1977"/>
      <c r="H121" s="692"/>
      <c r="N121" s="1707"/>
      <c r="P121" s="1707"/>
      <c r="Q121" s="1977"/>
      <c r="R121" s="1977"/>
      <c r="S121" s="1707"/>
      <c r="T121" s="1707"/>
      <c r="U121" s="1707"/>
      <c r="V121" s="1707"/>
      <c r="W121" s="1977"/>
      <c r="X121" s="1707"/>
      <c r="Y121" s="1707"/>
      <c r="Z121" s="885"/>
      <c r="AA121" s="1707"/>
      <c r="AB121" s="1707"/>
      <c r="AC121" s="1707"/>
      <c r="AD121" s="1707"/>
      <c r="AE121" s="1707"/>
      <c r="AF121" s="1973"/>
      <c r="AG121" s="963"/>
      <c r="AH121" s="963"/>
      <c r="AI121" s="963"/>
      <c r="AJ121" s="963"/>
      <c r="AK121" s="1982">
        <v>11</v>
      </c>
    </row>
    <row s="17832" customFormat="1" customHeight="1" ht="11.549999999999999">
      <c r="A122" s="1328"/>
      <c r="B122" s="1328"/>
      <c r="C122" s="1328"/>
      <c r="D122" s="1328"/>
      <c r="E122" s="1328"/>
      <c r="F122" s="1977"/>
      <c r="G122" s="1977"/>
      <c r="H122" s="692"/>
      <c r="N122" s="1707"/>
      <c r="P122" s="1707"/>
      <c r="Q122" s="1977"/>
      <c r="R122" s="1977"/>
      <c r="S122" s="1707"/>
      <c r="T122" s="1707"/>
      <c r="U122" s="1707"/>
      <c r="V122" s="1707"/>
      <c r="W122" s="1977"/>
      <c r="X122" s="1707"/>
      <c r="Y122" s="1707"/>
      <c r="Z122" s="885"/>
      <c r="AA122" s="1707"/>
      <c r="AB122" s="1707"/>
      <c r="AC122" s="1707"/>
      <c r="AD122" s="1707"/>
      <c r="AE122" s="1707"/>
      <c r="AF122" s="1973"/>
      <c r="AG122" s="963"/>
      <c r="AH122" s="963"/>
      <c r="AI122" s="963"/>
      <c r="AJ122" s="963"/>
      <c r="AK122" s="1982">
        <v>11</v>
      </c>
    </row>
    <row s="17832" customFormat="1" customHeight="1" ht="11.549999999999999">
      <c r="A123" s="1328"/>
      <c r="B123" s="1328"/>
      <c r="C123" s="1328"/>
      <c r="D123" s="1328"/>
      <c r="E123" s="1328"/>
      <c r="F123" s="1977"/>
      <c r="G123" s="1977"/>
      <c r="H123" s="692"/>
      <c r="N123" s="1707"/>
      <c r="P123" s="1707"/>
      <c r="Q123" s="1977"/>
      <c r="R123" s="1977"/>
      <c r="S123" s="1707"/>
      <c r="T123" s="1707"/>
      <c r="U123" s="1707"/>
      <c r="V123" s="1707"/>
      <c r="W123" s="1977"/>
      <c r="X123" s="1707"/>
      <c r="Y123" s="1707"/>
      <c r="Z123" s="885"/>
      <c r="AA123" s="1707"/>
      <c r="AB123" s="1707"/>
      <c r="AC123" s="1707"/>
      <c r="AD123" s="1707"/>
      <c r="AE123" s="1707"/>
      <c r="AF123" s="1973"/>
      <c r="AG123" s="963"/>
      <c r="AH123" s="963"/>
      <c r="AI123" s="963"/>
      <c r="AJ123" s="963"/>
      <c r="AK123" s="1982">
        <v>11</v>
      </c>
    </row>
    <row s="17832" customFormat="1" customHeight="1" ht="11.549999999999999">
      <c r="A124" s="1328"/>
      <c r="B124" s="1328"/>
      <c r="C124" s="1328"/>
      <c r="D124" s="1328"/>
      <c r="E124" s="1328"/>
      <c r="F124" s="1977"/>
      <c r="G124" s="1977"/>
      <c r="H124" s="692"/>
      <c r="N124" s="1707"/>
      <c r="P124" s="1707"/>
      <c r="Q124" s="1977"/>
      <c r="R124" s="1977"/>
      <c r="S124" s="1707"/>
      <c r="T124" s="1707"/>
      <c r="U124" s="1707"/>
      <c r="V124" s="1707"/>
      <c r="W124" s="1977"/>
      <c r="X124" s="1707"/>
      <c r="Y124" s="1707"/>
      <c r="Z124" s="885"/>
      <c r="AA124" s="1707"/>
      <c r="AB124" s="1707"/>
      <c r="AC124" s="1707"/>
      <c r="AD124" s="1707"/>
      <c r="AE124" s="1707"/>
      <c r="AF124" s="1973"/>
      <c r="AG124" s="963"/>
      <c r="AH124" s="963"/>
      <c r="AI124" s="963"/>
      <c r="AJ124" s="963"/>
      <c r="AK124" s="1982">
        <v>11</v>
      </c>
    </row>
    <row s="17832" customFormat="1" customHeight="1" ht="11.549999999999999">
      <c r="A125" s="1328"/>
      <c r="B125" s="1328"/>
      <c r="C125" s="1328"/>
      <c r="D125" s="1328"/>
      <c r="E125" s="1328"/>
      <c r="F125" s="1977"/>
      <c r="G125" s="1977"/>
      <c r="H125" s="692"/>
      <c r="N125" s="1707"/>
      <c r="P125" s="1707"/>
      <c r="Q125" s="1977"/>
      <c r="R125" s="1977"/>
      <c r="S125" s="1707"/>
      <c r="T125" s="1707"/>
      <c r="U125" s="1707"/>
      <c r="V125" s="1707"/>
      <c r="W125" s="1977"/>
      <c r="X125" s="1707"/>
      <c r="Y125" s="1707"/>
      <c r="Z125" s="885"/>
      <c r="AA125" s="1707"/>
      <c r="AB125" s="1707"/>
      <c r="AC125" s="1707"/>
      <c r="AD125" s="1707"/>
      <c r="AE125" s="1707"/>
      <c r="AF125" s="1973"/>
      <c r="AG125" s="963"/>
      <c r="AH125" s="963"/>
      <c r="AI125" s="963"/>
      <c r="AJ125" s="963"/>
      <c r="AK125" s="1982">
        <v>11</v>
      </c>
    </row>
    <row s="17832" customFormat="1" customHeight="1" ht="11.549999999999999">
      <c r="A126" s="1328"/>
      <c r="B126" s="1328"/>
      <c r="C126" s="1328"/>
      <c r="D126" s="1328"/>
      <c r="E126" s="1328"/>
      <c r="F126" s="1977"/>
      <c r="G126" s="1977"/>
      <c r="H126" s="692"/>
      <c r="N126" s="1707"/>
      <c r="P126" s="1707"/>
      <c r="Q126" s="1977"/>
      <c r="R126" s="1977"/>
      <c r="S126" s="1707"/>
      <c r="T126" s="1707"/>
      <c r="U126" s="1707"/>
      <c r="V126" s="1707"/>
      <c r="W126" s="1977"/>
      <c r="X126" s="1707"/>
      <c r="Y126" s="1707"/>
      <c r="Z126" s="885"/>
      <c r="AA126" s="1707"/>
      <c r="AB126" s="1707"/>
      <c r="AC126" s="1707"/>
      <c r="AD126" s="1707"/>
      <c r="AE126" s="1707"/>
      <c r="AF126" s="1973"/>
      <c r="AG126" s="963"/>
      <c r="AH126" s="963"/>
      <c r="AI126" s="963"/>
      <c r="AJ126" s="963"/>
      <c r="AK126" s="1982">
        <v>11</v>
      </c>
    </row>
    <row s="17832" customFormat="1" customHeight="1" ht="11.549999999999999">
      <c r="A127" s="1328"/>
      <c r="B127" s="1328"/>
      <c r="C127" s="1328"/>
      <c r="D127" s="1328"/>
      <c r="E127" s="1328"/>
      <c r="F127" s="1977"/>
      <c r="G127" s="1977"/>
      <c r="H127" s="692"/>
      <c r="N127" s="1707"/>
      <c r="P127" s="1707"/>
      <c r="Q127" s="1977"/>
      <c r="R127" s="1977"/>
      <c r="S127" s="1707"/>
      <c r="T127" s="1707"/>
      <c r="U127" s="1707"/>
      <c r="V127" s="1707"/>
      <c r="W127" s="1977"/>
      <c r="X127" s="1707"/>
      <c r="Y127" s="1707"/>
      <c r="Z127" s="885"/>
      <c r="AA127" s="1707"/>
      <c r="AB127" s="1707"/>
      <c r="AC127" s="1707"/>
      <c r="AD127" s="1707"/>
      <c r="AE127" s="1707"/>
      <c r="AF127" s="1973"/>
      <c r="AG127" s="963"/>
      <c r="AH127" s="963"/>
      <c r="AI127" s="963"/>
      <c r="AJ127" s="963"/>
      <c r="AK127" s="1982">
        <v>11</v>
      </c>
    </row>
    <row s="17832" customFormat="1" customHeight="1" ht="11.549999999999999">
      <c r="A128" s="1328"/>
      <c r="B128" s="1328"/>
      <c r="C128" s="1328"/>
      <c r="D128" s="1328"/>
      <c r="E128" s="1328"/>
      <c r="F128" s="1977"/>
      <c r="G128" s="1977"/>
      <c r="H128" s="692"/>
      <c r="N128" s="1707"/>
      <c r="P128" s="1707"/>
      <c r="Q128" s="1977"/>
      <c r="R128" s="1977"/>
      <c r="S128" s="1707"/>
      <c r="T128" s="1707"/>
      <c r="U128" s="1707"/>
      <c r="V128" s="1707"/>
      <c r="W128" s="1977"/>
      <c r="X128" s="1707"/>
      <c r="Y128" s="1707"/>
      <c r="Z128" s="885"/>
      <c r="AA128" s="1707"/>
      <c r="AB128" s="1707"/>
      <c r="AC128" s="1707"/>
      <c r="AD128" s="1707"/>
      <c r="AE128" s="1707"/>
      <c r="AF128" s="1973"/>
      <c r="AG128" s="963"/>
      <c r="AH128" s="963"/>
      <c r="AI128" s="963"/>
      <c r="AJ128" s="963"/>
      <c r="AK128" s="1982">
        <v>11</v>
      </c>
    </row>
    <row s="17832" customFormat="1" customHeight="1" ht="11.549999999999999">
      <c r="A129" s="1328"/>
      <c r="B129" s="1328"/>
      <c r="C129" s="1328"/>
      <c r="D129" s="1328"/>
      <c r="E129" s="1328"/>
      <c r="F129" s="1977"/>
      <c r="G129" s="1977"/>
      <c r="H129" s="692"/>
      <c r="N129" s="1707"/>
      <c r="P129" s="1707"/>
      <c r="Q129" s="1977"/>
      <c r="R129" s="1977"/>
      <c r="S129" s="1707"/>
      <c r="T129" s="1707"/>
      <c r="U129" s="1707"/>
      <c r="V129" s="1707"/>
      <c r="W129" s="1977"/>
      <c r="X129" s="1707"/>
      <c r="Y129" s="1707"/>
      <c r="Z129" s="885"/>
      <c r="AA129" s="1707"/>
      <c r="AB129" s="1707"/>
      <c r="AC129" s="1707"/>
      <c r="AD129" s="1707"/>
      <c r="AE129" s="1707"/>
      <c r="AF129" s="1973"/>
      <c r="AG129" s="963"/>
      <c r="AH129" s="963"/>
      <c r="AI129" s="963"/>
      <c r="AJ129" s="963"/>
      <c r="AK129" s="1982">
        <v>11</v>
      </c>
    </row>
    <row s="17832" customFormat="1" customHeight="1" ht="11.549999999999999">
      <c r="A130" s="1328"/>
      <c r="B130" s="1328"/>
      <c r="C130" s="1328"/>
      <c r="D130" s="1328"/>
      <c r="E130" s="1328"/>
      <c r="F130" s="1977"/>
      <c r="G130" s="1977"/>
      <c r="H130" s="692"/>
      <c r="N130" s="1707"/>
      <c r="P130" s="1707"/>
      <c r="Q130" s="1977"/>
      <c r="R130" s="1977"/>
      <c r="S130" s="1707"/>
      <c r="T130" s="1707"/>
      <c r="U130" s="1707"/>
      <c r="V130" s="1707"/>
      <c r="W130" s="1977"/>
      <c r="X130" s="1707"/>
      <c r="Y130" s="1707"/>
      <c r="Z130" s="885"/>
      <c r="AA130" s="1707"/>
      <c r="AB130" s="1707"/>
      <c r="AC130" s="1707"/>
      <c r="AD130" s="1707"/>
      <c r="AE130" s="1707"/>
      <c r="AF130" s="1973"/>
      <c r="AG130" s="963"/>
      <c r="AH130" s="963"/>
      <c r="AI130" s="963"/>
      <c r="AJ130" s="963"/>
      <c r="AK130" s="1982">
        <v>11</v>
      </c>
    </row>
    <row s="17832" customFormat="1" customHeight="1" ht="11.549999999999999">
      <c r="A131" s="1328"/>
      <c r="B131" s="1328"/>
      <c r="C131" s="1328"/>
      <c r="D131" s="1328"/>
      <c r="E131" s="1328"/>
      <c r="F131" s="1977"/>
      <c r="G131" s="1977"/>
      <c r="H131" s="692"/>
      <c r="N131" s="1707"/>
      <c r="P131" s="1707"/>
      <c r="Q131" s="1977"/>
      <c r="R131" s="1977"/>
      <c r="S131" s="1707"/>
      <c r="T131" s="1707"/>
      <c r="U131" s="1707"/>
      <c r="V131" s="1707"/>
      <c r="W131" s="1977"/>
      <c r="X131" s="1707"/>
      <c r="Y131" s="1707"/>
      <c r="Z131" s="885"/>
      <c r="AA131" s="1707"/>
      <c r="AB131" s="1707"/>
      <c r="AC131" s="1707"/>
      <c r="AD131" s="1707"/>
      <c r="AE131" s="1707"/>
      <c r="AF131" s="1973"/>
      <c r="AG131" s="963"/>
      <c r="AH131" s="963"/>
      <c r="AI131" s="963"/>
      <c r="AJ131" s="963"/>
      <c r="AK131" s="1982">
        <v>11</v>
      </c>
    </row>
    <row s="17832" customFormat="1" customHeight="1" ht="11.549999999999999">
      <c r="A132" s="1328"/>
      <c r="B132" s="1328"/>
      <c r="C132" s="1328"/>
      <c r="D132" s="1328"/>
      <c r="E132" s="1328"/>
      <c r="F132" s="1977"/>
      <c r="G132" s="1977"/>
      <c r="H132" s="692"/>
      <c r="N132" s="1707"/>
      <c r="P132" s="1707"/>
      <c r="Q132" s="1977"/>
      <c r="R132" s="1977"/>
      <c r="S132" s="1707"/>
      <c r="T132" s="1707"/>
      <c r="U132" s="1707"/>
      <c r="V132" s="1707"/>
      <c r="W132" s="1977"/>
      <c r="X132" s="1707"/>
      <c r="Y132" s="1707"/>
      <c r="Z132" s="885"/>
      <c r="AA132" s="1707"/>
      <c r="AB132" s="1707"/>
      <c r="AC132" s="1707"/>
      <c r="AD132" s="1707"/>
      <c r="AE132" s="1707"/>
      <c r="AF132" s="1973"/>
      <c r="AG132" s="963"/>
      <c r="AH132" s="963"/>
      <c r="AI132" s="963"/>
      <c r="AJ132" s="963"/>
      <c r="AK132" s="1982">
        <v>11</v>
      </c>
    </row>
    <row s="17832" customFormat="1" customHeight="1" ht="11.549999999999999">
      <c r="A133" s="1328"/>
      <c r="B133" s="1328"/>
      <c r="C133" s="1328"/>
      <c r="D133" s="1328"/>
      <c r="E133" s="1328"/>
      <c r="F133" s="1977"/>
      <c r="G133" s="1977"/>
      <c r="H133" s="692"/>
      <c r="N133" s="1707"/>
      <c r="P133" s="1707"/>
      <c r="Q133" s="1977"/>
      <c r="R133" s="1977"/>
      <c r="S133" s="1707"/>
      <c r="T133" s="1707"/>
      <c r="U133" s="1707"/>
      <c r="V133" s="1707"/>
      <c r="W133" s="1977"/>
      <c r="X133" s="1707"/>
      <c r="Y133" s="1707"/>
      <c r="Z133" s="885"/>
      <c r="AA133" s="1707"/>
      <c r="AB133" s="1707"/>
      <c r="AC133" s="1707"/>
      <c r="AD133" s="1707"/>
      <c r="AE133" s="1707"/>
      <c r="AF133" s="1973"/>
      <c r="AG133" s="963"/>
      <c r="AH133" s="963"/>
      <c r="AI133" s="963"/>
      <c r="AJ133" s="963"/>
      <c r="AK133" s="1982">
        <v>11</v>
      </c>
    </row>
    <row s="17832" customFormat="1" customHeight="1" ht="11.549999999999999">
      <c r="A134" s="1328"/>
      <c r="B134" s="1328"/>
      <c r="C134" s="1328"/>
      <c r="D134" s="1328"/>
      <c r="E134" s="1328"/>
      <c r="F134" s="1977"/>
      <c r="G134" s="1977"/>
      <c r="H134" s="692"/>
      <c r="N134" s="1707"/>
      <c r="P134" s="1707"/>
      <c r="Q134" s="1977"/>
      <c r="R134" s="1977"/>
      <c r="S134" s="1707"/>
      <c r="T134" s="1707"/>
      <c r="U134" s="1707"/>
      <c r="V134" s="1707"/>
      <c r="W134" s="1977"/>
      <c r="X134" s="1707"/>
      <c r="Y134" s="1707"/>
      <c r="Z134" s="885"/>
      <c r="AA134" s="1707"/>
      <c r="AB134" s="1707"/>
      <c r="AC134" s="1707"/>
      <c r="AD134" s="1707"/>
      <c r="AE134" s="1707"/>
      <c r="AF134" s="1973"/>
      <c r="AG134" s="963"/>
      <c r="AH134" s="963"/>
      <c r="AI134" s="963"/>
      <c r="AJ134" s="963"/>
      <c r="AK134" s="1982">
        <v>11</v>
      </c>
    </row>
    <row s="17832" customFormat="1" customHeight="1" ht="11.549999999999999">
      <c r="A135" s="1328"/>
      <c r="B135" s="1328"/>
      <c r="C135" s="1328"/>
      <c r="D135" s="1328"/>
      <c r="E135" s="1328"/>
      <c r="F135" s="1977"/>
      <c r="G135" s="1977"/>
      <c r="H135" s="692"/>
      <c r="N135" s="1707"/>
      <c r="P135" s="1707"/>
      <c r="Q135" s="1977"/>
      <c r="R135" s="1977"/>
      <c r="S135" s="1707"/>
      <c r="T135" s="1707"/>
      <c r="U135" s="1707"/>
      <c r="V135" s="1707"/>
      <c r="W135" s="1977"/>
      <c r="X135" s="1707"/>
      <c r="Y135" s="1707"/>
      <c r="Z135" s="885"/>
      <c r="AA135" s="1707"/>
      <c r="AB135" s="1707"/>
      <c r="AC135" s="1707"/>
      <c r="AD135" s="1707"/>
      <c r="AE135" s="1707"/>
      <c r="AF135" s="1973"/>
      <c r="AG135" s="963"/>
      <c r="AH135" s="963"/>
      <c r="AI135" s="963"/>
      <c r="AJ135" s="963"/>
      <c r="AK135" s="1982">
        <v>11</v>
      </c>
    </row>
    <row s="17832" customFormat="1" customHeight="1" ht="11.549999999999999">
      <c r="A136" s="1328"/>
      <c r="B136" s="1328"/>
      <c r="C136" s="1328"/>
      <c r="D136" s="1328"/>
      <c r="E136" s="1328"/>
      <c r="F136" s="1977"/>
      <c r="G136" s="1977"/>
      <c r="H136" s="692"/>
      <c r="N136" s="1707"/>
      <c r="P136" s="1707"/>
      <c r="Q136" s="1977"/>
      <c r="R136" s="1977"/>
      <c r="S136" s="1707"/>
      <c r="T136" s="1707"/>
      <c r="U136" s="1707"/>
      <c r="V136" s="1707"/>
      <c r="W136" s="1977"/>
      <c r="X136" s="1707"/>
      <c r="Y136" s="1707"/>
      <c r="Z136" s="885"/>
      <c r="AA136" s="1707"/>
      <c r="AB136" s="1707"/>
      <c r="AC136" s="1707"/>
      <c r="AD136" s="1707"/>
      <c r="AE136" s="1707"/>
      <c r="AF136" s="1973"/>
      <c r="AG136" s="963"/>
      <c r="AH136" s="963"/>
      <c r="AI136" s="963"/>
      <c r="AJ136" s="963"/>
      <c r="AK136" s="1982">
        <v>11</v>
      </c>
    </row>
    <row s="17832" customFormat="1" customHeight="1" ht="11.549999999999999">
      <c r="A137" s="1328"/>
      <c r="B137" s="1328"/>
      <c r="C137" s="1328"/>
      <c r="D137" s="1328"/>
      <c r="E137" s="1328"/>
      <c r="F137" s="1977"/>
      <c r="G137" s="1977"/>
      <c r="H137" s="692"/>
      <c r="N137" s="1707"/>
      <c r="P137" s="1707"/>
      <c r="Q137" s="1977"/>
      <c r="R137" s="1977"/>
      <c r="S137" s="1707"/>
      <c r="T137" s="1707"/>
      <c r="U137" s="1707"/>
      <c r="V137" s="1707"/>
      <c r="W137" s="1977"/>
      <c r="X137" s="1707"/>
      <c r="Y137" s="1707"/>
      <c r="Z137" s="885"/>
      <c r="AA137" s="1707"/>
      <c r="AB137" s="1707"/>
      <c r="AC137" s="1707"/>
      <c r="AD137" s="1707"/>
      <c r="AE137" s="1707"/>
      <c r="AF137" s="1973"/>
      <c r="AG137" s="963"/>
      <c r="AH137" s="963"/>
      <c r="AI137" s="963"/>
      <c r="AJ137" s="963"/>
      <c r="AK137" s="1982">
        <v>11</v>
      </c>
    </row>
    <row s="17832" customFormat="1" customHeight="1" ht="11.549999999999999">
      <c r="A138" s="1328"/>
      <c r="B138" s="1328"/>
      <c r="C138" s="1328"/>
      <c r="D138" s="1328"/>
      <c r="E138" s="1328"/>
      <c r="F138" s="1977"/>
      <c r="G138" s="1977"/>
      <c r="H138" s="692"/>
      <c r="N138" s="1707"/>
      <c r="P138" s="1707"/>
      <c r="Q138" s="1977"/>
      <c r="R138" s="1977"/>
      <c r="S138" s="1707"/>
      <c r="T138" s="1707"/>
      <c r="U138" s="1707"/>
      <c r="V138" s="1707"/>
      <c r="W138" s="1977"/>
      <c r="X138" s="1707"/>
      <c r="Y138" s="1707"/>
      <c r="Z138" s="885"/>
      <c r="AA138" s="1707"/>
      <c r="AB138" s="1707"/>
      <c r="AC138" s="1707"/>
      <c r="AD138" s="1707"/>
      <c r="AE138" s="1707"/>
      <c r="AF138" s="1973"/>
      <c r="AG138" s="963"/>
      <c r="AH138" s="963"/>
      <c r="AI138" s="963"/>
      <c r="AJ138" s="963"/>
      <c r="AK138" s="1982">
        <v>11</v>
      </c>
    </row>
    <row s="17832" customFormat="1" customHeight="1" ht="11.549999999999999">
      <c r="A139" s="1328"/>
      <c r="B139" s="1328"/>
      <c r="C139" s="1328"/>
      <c r="D139" s="1328"/>
      <c r="E139" s="1328"/>
      <c r="F139" s="1977"/>
      <c r="G139" s="1977"/>
      <c r="H139" s="692"/>
      <c r="N139" s="1707"/>
      <c r="P139" s="1707"/>
      <c r="Q139" s="1977"/>
      <c r="R139" s="1977"/>
      <c r="S139" s="1707"/>
      <c r="T139" s="1707"/>
      <c r="U139" s="1707"/>
      <c r="V139" s="1707"/>
      <c r="W139" s="1977"/>
      <c r="X139" s="1707"/>
      <c r="Y139" s="1707"/>
      <c r="Z139" s="885"/>
      <c r="AA139" s="1707"/>
      <c r="AB139" s="1707"/>
      <c r="AC139" s="1707"/>
      <c r="AD139" s="1707"/>
      <c r="AE139" s="1707"/>
      <c r="AF139" s="1973"/>
      <c r="AG139" s="963"/>
      <c r="AH139" s="963"/>
      <c r="AI139" s="963"/>
      <c r="AJ139" s="963"/>
      <c r="AK139" s="1982">
        <v>11</v>
      </c>
    </row>
    <row s="17832" customFormat="1" customHeight="1" ht="11.549999999999999">
      <c r="A140" s="1328"/>
      <c r="B140" s="1328"/>
      <c r="C140" s="1328"/>
      <c r="D140" s="1328"/>
      <c r="E140" s="1328"/>
      <c r="F140" s="1977"/>
      <c r="G140" s="1977"/>
      <c r="H140" s="692"/>
      <c r="N140" s="1707"/>
      <c r="P140" s="1707"/>
      <c r="Q140" s="1977"/>
      <c r="R140" s="1977"/>
      <c r="S140" s="1707"/>
      <c r="T140" s="1707"/>
      <c r="U140" s="1707"/>
      <c r="V140" s="1707"/>
      <c r="W140" s="1977"/>
      <c r="X140" s="1707"/>
      <c r="Y140" s="1707"/>
      <c r="Z140" s="885"/>
      <c r="AA140" s="1707"/>
      <c r="AB140" s="1707"/>
      <c r="AC140" s="1707"/>
      <c r="AD140" s="1707"/>
      <c r="AE140" s="1707"/>
      <c r="AF140" s="1973"/>
      <c r="AG140" s="963"/>
      <c r="AH140" s="963"/>
      <c r="AI140" s="963"/>
      <c r="AJ140" s="963"/>
      <c r="AK140" s="1982">
        <v>11</v>
      </c>
    </row>
    <row s="17832" customFormat="1" customHeight="1" ht="11.549999999999999">
      <c r="A141" s="1328"/>
      <c r="B141" s="1328"/>
      <c r="C141" s="1328"/>
      <c r="D141" s="1328"/>
      <c r="E141" s="1328"/>
      <c r="F141" s="1977"/>
      <c r="G141" s="1977"/>
      <c r="H141" s="692"/>
      <c r="N141" s="1707"/>
      <c r="P141" s="1707"/>
      <c r="Q141" s="1977"/>
      <c r="R141" s="1977"/>
      <c r="S141" s="1707"/>
      <c r="T141" s="1707"/>
      <c r="U141" s="1707"/>
      <c r="V141" s="1707"/>
      <c r="W141" s="1977"/>
      <c r="X141" s="1707"/>
      <c r="Y141" s="1707"/>
      <c r="Z141" s="885"/>
      <c r="AA141" s="1707"/>
      <c r="AB141" s="1707"/>
      <c r="AC141" s="1707"/>
      <c r="AD141" s="1707"/>
      <c r="AE141" s="1707"/>
      <c r="AF141" s="1973"/>
      <c r="AG141" s="963"/>
      <c r="AH141" s="963"/>
      <c r="AI141" s="963"/>
      <c r="AJ141" s="963"/>
      <c r="AK141" s="1982">
        <v>11</v>
      </c>
    </row>
    <row s="17832" customFormat="1" customHeight="1" ht="11.549999999999999">
      <c r="A142" s="1328"/>
      <c r="B142" s="1328"/>
      <c r="C142" s="1328"/>
      <c r="D142" s="1328"/>
      <c r="E142" s="1328"/>
      <c r="F142" s="1977"/>
      <c r="G142" s="1977"/>
      <c r="H142" s="692"/>
      <c r="N142" s="1707"/>
      <c r="P142" s="1707"/>
      <c r="Q142" s="1977"/>
      <c r="R142" s="1977"/>
      <c r="S142" s="1707"/>
      <c r="T142" s="1707"/>
      <c r="U142" s="1707"/>
      <c r="V142" s="1707"/>
      <c r="W142" s="1977"/>
      <c r="X142" s="1707"/>
      <c r="Y142" s="1707"/>
      <c r="Z142" s="885"/>
      <c r="AA142" s="1707"/>
      <c r="AB142" s="1707"/>
      <c r="AC142" s="1707"/>
      <c r="AD142" s="1707"/>
      <c r="AE142" s="1707"/>
      <c r="AF142" s="1973"/>
      <c r="AG142" s="963"/>
      <c r="AH142" s="963"/>
      <c r="AI142" s="963"/>
      <c r="AJ142" s="963"/>
      <c r="AK142" s="1982">
        <v>11</v>
      </c>
    </row>
    <row s="17832" customFormat="1" customHeight="1" ht="11.549999999999999">
      <c r="A143" s="1328"/>
      <c r="B143" s="1328"/>
      <c r="C143" s="1328"/>
      <c r="D143" s="1328"/>
      <c r="E143" s="1328"/>
      <c r="F143" s="1977"/>
      <c r="G143" s="1977"/>
      <c r="H143" s="692"/>
      <c r="N143" s="1707"/>
      <c r="P143" s="1707"/>
      <c r="Q143" s="1977"/>
      <c r="R143" s="1977"/>
      <c r="S143" s="1707"/>
      <c r="T143" s="1707"/>
      <c r="U143" s="1707"/>
      <c r="V143" s="1707"/>
      <c r="W143" s="1977"/>
      <c r="X143" s="1707"/>
      <c r="Y143" s="1707"/>
      <c r="Z143" s="885"/>
      <c r="AA143" s="1707"/>
      <c r="AB143" s="1707"/>
      <c r="AC143" s="1707"/>
      <c r="AD143" s="1707"/>
      <c r="AE143" s="1707"/>
      <c r="AF143" s="1973"/>
      <c r="AG143" s="963"/>
      <c r="AH143" s="963"/>
      <c r="AI143" s="963"/>
      <c r="AJ143" s="963"/>
      <c r="AK143" s="1982">
        <v>11</v>
      </c>
    </row>
    <row s="17832" customFormat="1" customHeight="1" ht="11.549999999999999">
      <c r="A144" s="1328"/>
      <c r="B144" s="1328"/>
      <c r="C144" s="1328"/>
      <c r="D144" s="1328"/>
      <c r="E144" s="1328"/>
      <c r="F144" s="1977"/>
      <c r="G144" s="1977"/>
      <c r="H144" s="692"/>
      <c r="N144" s="1707"/>
      <c r="P144" s="1707"/>
      <c r="Q144" s="1977"/>
      <c r="R144" s="1977"/>
      <c r="S144" s="1707"/>
      <c r="T144" s="1707"/>
      <c r="U144" s="1707"/>
      <c r="V144" s="1707"/>
      <c r="W144" s="1977"/>
      <c r="X144" s="1707"/>
      <c r="Y144" s="1707"/>
      <c r="Z144" s="885"/>
      <c r="AA144" s="1707"/>
      <c r="AB144" s="1707"/>
      <c r="AC144" s="1707"/>
      <c r="AD144" s="1707"/>
      <c r="AE144" s="1707"/>
      <c r="AF144" s="1973"/>
      <c r="AG144" s="963"/>
      <c r="AH144" s="963"/>
      <c r="AI144" s="963"/>
      <c r="AJ144" s="963"/>
      <c r="AK144" s="1982">
        <v>11</v>
      </c>
    </row>
    <row s="17832" customFormat="1" customHeight="1" ht="11.549999999999999">
      <c r="A145" s="1328"/>
      <c r="B145" s="1328"/>
      <c r="C145" s="1328"/>
      <c r="D145" s="1328"/>
      <c r="E145" s="1328"/>
      <c r="F145" s="1977"/>
      <c r="G145" s="1977"/>
      <c r="H145" s="692"/>
      <c r="N145" s="1707"/>
      <c r="P145" s="1707"/>
      <c r="Q145" s="1977"/>
      <c r="R145" s="1977"/>
      <c r="S145" s="1707"/>
      <c r="T145" s="1707"/>
      <c r="U145" s="1707"/>
      <c r="V145" s="1707"/>
      <c r="W145" s="1977"/>
      <c r="X145" s="1707"/>
      <c r="Y145" s="1707"/>
      <c r="Z145" s="885"/>
      <c r="AA145" s="1707"/>
      <c r="AB145" s="1707"/>
      <c r="AC145" s="1707"/>
      <c r="AD145" s="1707"/>
      <c r="AE145" s="1707"/>
      <c r="AF145" s="1973"/>
      <c r="AG145" s="963"/>
      <c r="AH145" s="963"/>
      <c r="AI145" s="963"/>
      <c r="AJ145" s="963"/>
      <c r="AK145" s="1982">
        <v>11</v>
      </c>
    </row>
    <row s="17832" customFormat="1" customHeight="1" ht="11.549999999999999">
      <c r="A146" s="1328"/>
      <c r="B146" s="1328"/>
      <c r="C146" s="1328"/>
      <c r="D146" s="1328"/>
      <c r="E146" s="1328"/>
      <c r="F146" s="1977"/>
      <c r="G146" s="1977"/>
      <c r="H146" s="692"/>
      <c r="N146" s="1707"/>
      <c r="P146" s="1707"/>
      <c r="Q146" s="1977"/>
      <c r="R146" s="1977"/>
      <c r="S146" s="1707"/>
      <c r="T146" s="1707"/>
      <c r="U146" s="1707"/>
      <c r="V146" s="1707"/>
      <c r="W146" s="1977"/>
      <c r="X146" s="1707"/>
      <c r="Y146" s="1707"/>
      <c r="Z146" s="885"/>
      <c r="AA146" s="1707"/>
      <c r="AB146" s="1707"/>
      <c r="AC146" s="1707"/>
      <c r="AD146" s="1707"/>
      <c r="AE146" s="1707"/>
      <c r="AF146" s="1973"/>
      <c r="AG146" s="963"/>
      <c r="AH146" s="963"/>
      <c r="AI146" s="963"/>
      <c r="AJ146" s="963"/>
      <c r="AK146" s="1982">
        <v>11</v>
      </c>
    </row>
    <row s="17832" customFormat="1" customHeight="1" ht="11.549999999999999">
      <c r="A147" s="1328"/>
      <c r="B147" s="1328"/>
      <c r="C147" s="1328"/>
      <c r="D147" s="1328"/>
      <c r="E147" s="1328"/>
      <c r="F147" s="1977"/>
      <c r="G147" s="1977"/>
      <c r="H147" s="692"/>
      <c r="N147" s="1707"/>
      <c r="P147" s="1707"/>
      <c r="Q147" s="1977"/>
      <c r="R147" s="1977"/>
      <c r="S147" s="1707"/>
      <c r="T147" s="1707"/>
      <c r="U147" s="1707"/>
      <c r="V147" s="1707"/>
      <c r="W147" s="1977"/>
      <c r="X147" s="1707"/>
      <c r="Y147" s="1707"/>
      <c r="Z147" s="885"/>
      <c r="AA147" s="1707"/>
      <c r="AB147" s="1707"/>
      <c r="AC147" s="1707"/>
      <c r="AD147" s="1707"/>
      <c r="AE147" s="1707"/>
      <c r="AF147" s="1973"/>
      <c r="AG147" s="963"/>
      <c r="AH147" s="963"/>
      <c r="AI147" s="963"/>
      <c r="AJ147" s="963"/>
      <c r="AK147" s="1982">
        <v>11</v>
      </c>
    </row>
    <row s="17832" customFormat="1" customHeight="1" ht="11.549999999999999">
      <c r="A148" s="1328"/>
      <c r="B148" s="1328"/>
      <c r="C148" s="1328"/>
      <c r="D148" s="1328"/>
      <c r="E148" s="1328"/>
      <c r="F148" s="1977"/>
      <c r="G148" s="1977"/>
      <c r="H148" s="692"/>
      <c r="N148" s="1707"/>
      <c r="P148" s="1707"/>
      <c r="Q148" s="1977"/>
      <c r="R148" s="1977"/>
      <c r="S148" s="1707"/>
      <c r="T148" s="1707"/>
      <c r="U148" s="1707"/>
      <c r="V148" s="1707"/>
      <c r="W148" s="1977"/>
      <c r="X148" s="1707"/>
      <c r="Y148" s="1707"/>
      <c r="Z148" s="885"/>
      <c r="AA148" s="1707"/>
      <c r="AB148" s="1707"/>
      <c r="AC148" s="1707"/>
      <c r="AD148" s="1707"/>
      <c r="AE148" s="1707"/>
      <c r="AF148" s="1973"/>
      <c r="AG148" s="963"/>
      <c r="AH148" s="963"/>
      <c r="AI148" s="963"/>
      <c r="AJ148" s="963"/>
      <c r="AK148" s="1982">
        <v>11</v>
      </c>
    </row>
    <row s="17832" customFormat="1" customHeight="1" ht="11.549999999999999">
      <c r="A149" s="1328"/>
      <c r="B149" s="1328"/>
      <c r="C149" s="1328"/>
      <c r="D149" s="1328"/>
      <c r="E149" s="1328"/>
      <c r="F149" s="1977"/>
      <c r="G149" s="1977"/>
      <c r="H149" s="692"/>
      <c r="N149" s="1707"/>
      <c r="P149" s="1707"/>
      <c r="Q149" s="1977"/>
      <c r="R149" s="1977"/>
      <c r="S149" s="1707"/>
      <c r="T149" s="1707"/>
      <c r="U149" s="1707"/>
      <c r="V149" s="1707"/>
      <c r="W149" s="1977"/>
      <c r="X149" s="1707"/>
      <c r="Y149" s="1707"/>
      <c r="Z149" s="885"/>
      <c r="AA149" s="1707"/>
      <c r="AB149" s="1707"/>
      <c r="AC149" s="1707"/>
      <c r="AD149" s="1707"/>
      <c r="AE149" s="1707"/>
      <c r="AF149" s="1973"/>
      <c r="AG149" s="963"/>
      <c r="AH149" s="963"/>
      <c r="AI149" s="963"/>
      <c r="AJ149" s="963"/>
      <c r="AK149" s="1982">
        <v>11</v>
      </c>
    </row>
    <row s="17832" customFormat="1" customHeight="1" ht="11.549999999999999">
      <c r="A150" s="1328"/>
      <c r="B150" s="1328"/>
      <c r="C150" s="1328"/>
      <c r="D150" s="1328"/>
      <c r="E150" s="1328"/>
      <c r="F150" s="1977"/>
      <c r="G150" s="1977"/>
      <c r="H150" s="692"/>
      <c r="N150" s="1707"/>
      <c r="P150" s="1707"/>
      <c r="Q150" s="1977"/>
      <c r="R150" s="1977"/>
      <c r="S150" s="1707"/>
      <c r="T150" s="1707"/>
      <c r="U150" s="1707"/>
      <c r="V150" s="1707"/>
      <c r="W150" s="1977"/>
      <c r="X150" s="1707"/>
      <c r="Y150" s="1707"/>
      <c r="Z150" s="885"/>
      <c r="AA150" s="1707"/>
      <c r="AB150" s="1707"/>
      <c r="AC150" s="1707"/>
      <c r="AD150" s="1707"/>
      <c r="AE150" s="1707"/>
      <c r="AF150" s="1973"/>
      <c r="AG150" s="963"/>
      <c r="AH150" s="963"/>
      <c r="AI150" s="963"/>
      <c r="AJ150" s="963"/>
      <c r="AK150" s="1982">
        <v>11</v>
      </c>
    </row>
    <row s="17832" customFormat="1" customHeight="1" ht="11.549999999999999">
      <c r="A151" s="1328"/>
      <c r="B151" s="1328"/>
      <c r="C151" s="1328"/>
      <c r="D151" s="1328"/>
      <c r="E151" s="1328"/>
      <c r="F151" s="1977"/>
      <c r="G151" s="1977"/>
      <c r="H151" s="692"/>
      <c r="N151" s="1707"/>
      <c r="P151" s="1707"/>
      <c r="Q151" s="1977"/>
      <c r="R151" s="1977"/>
      <c r="S151" s="1707"/>
      <c r="T151" s="1707"/>
      <c r="U151" s="1707"/>
      <c r="V151" s="1707"/>
      <c r="W151" s="1977"/>
      <c r="X151" s="1707"/>
      <c r="Y151" s="1707"/>
      <c r="Z151" s="885"/>
      <c r="AA151" s="1707"/>
      <c r="AB151" s="1707"/>
      <c r="AC151" s="1707"/>
      <c r="AD151" s="1707"/>
      <c r="AE151" s="1707"/>
      <c r="AF151" s="1973"/>
      <c r="AG151" s="963"/>
      <c r="AH151" s="963"/>
      <c r="AI151" s="963"/>
      <c r="AJ151" s="963"/>
      <c r="AK151" s="1982">
        <v>11</v>
      </c>
    </row>
    <row s="17832" customFormat="1" customHeight="1" ht="11.549999999999999">
      <c r="A152" s="1328"/>
      <c r="B152" s="1328"/>
      <c r="C152" s="1328"/>
      <c r="D152" s="1328"/>
      <c r="E152" s="1328"/>
      <c r="F152" s="1977"/>
      <c r="G152" s="1977"/>
      <c r="H152" s="692"/>
      <c r="N152" s="1707"/>
      <c r="P152" s="1707"/>
      <c r="Q152" s="1977"/>
      <c r="R152" s="1977"/>
      <c r="S152" s="1707"/>
      <c r="T152" s="1707"/>
      <c r="U152" s="1707"/>
      <c r="V152" s="1707"/>
      <c r="W152" s="1977"/>
      <c r="X152" s="1707"/>
      <c r="Y152" s="1707"/>
      <c r="Z152" s="885"/>
      <c r="AA152" s="1707"/>
      <c r="AB152" s="1707"/>
      <c r="AC152" s="1707"/>
      <c r="AD152" s="1707"/>
      <c r="AE152" s="1707"/>
      <c r="AF152" s="1973"/>
      <c r="AG152" s="963"/>
      <c r="AH152" s="963"/>
      <c r="AI152" s="963"/>
      <c r="AJ152" s="963"/>
      <c r="AK152" s="1982">
        <v>11</v>
      </c>
    </row>
    <row s="17832" customFormat="1" customHeight="1" ht="11.549999999999999">
      <c r="A153" s="1328"/>
      <c r="B153" s="1328"/>
      <c r="C153" s="1328"/>
      <c r="D153" s="1328"/>
      <c r="E153" s="1328"/>
      <c r="F153" s="1977"/>
      <c r="G153" s="1977"/>
      <c r="H153" s="692"/>
      <c r="N153" s="1707"/>
      <c r="P153" s="1707"/>
      <c r="Q153" s="1977"/>
      <c r="R153" s="1977"/>
      <c r="S153" s="1707"/>
      <c r="T153" s="1707"/>
      <c r="U153" s="1707"/>
      <c r="V153" s="1707"/>
      <c r="W153" s="1977"/>
      <c r="X153" s="1707"/>
      <c r="Y153" s="1707"/>
      <c r="Z153" s="885"/>
      <c r="AA153" s="1707"/>
      <c r="AB153" s="1707"/>
      <c r="AC153" s="1707"/>
      <c r="AD153" s="1707"/>
      <c r="AE153" s="1707"/>
      <c r="AF153" s="1973"/>
      <c r="AG153" s="963"/>
      <c r="AH153" s="963"/>
      <c r="AI153" s="963"/>
      <c r="AJ153" s="963"/>
      <c r="AK153" s="1982">
        <v>11</v>
      </c>
    </row>
    <row s="17832" customFormat="1" customHeight="1" ht="11.549999999999999">
      <c r="A154" s="1328"/>
      <c r="B154" s="1328"/>
      <c r="C154" s="1328"/>
      <c r="D154" s="1328"/>
      <c r="E154" s="1328"/>
      <c r="F154" s="1977"/>
      <c r="G154" s="1977"/>
      <c r="H154" s="692"/>
      <c r="N154" s="1707"/>
      <c r="P154" s="1707"/>
      <c r="Q154" s="1977"/>
      <c r="R154" s="1977"/>
      <c r="S154" s="1707"/>
      <c r="T154" s="1707"/>
      <c r="U154" s="1707"/>
      <c r="V154" s="1707"/>
      <c r="W154" s="1977"/>
      <c r="X154" s="1707"/>
      <c r="Y154" s="1707"/>
      <c r="Z154" s="885"/>
      <c r="AA154" s="1707"/>
      <c r="AB154" s="1707"/>
      <c r="AC154" s="1707"/>
      <c r="AD154" s="1707"/>
      <c r="AE154" s="1707"/>
      <c r="AF154" s="1973"/>
      <c r="AG154" s="963"/>
      <c r="AH154" s="963"/>
      <c r="AI154" s="963"/>
      <c r="AJ154" s="963"/>
      <c r="AK154" s="1982">
        <v>11</v>
      </c>
    </row>
    <row s="17832" customFormat="1" customHeight="1" ht="11.549999999999999">
      <c r="A155" s="1328"/>
      <c r="B155" s="1328"/>
      <c r="C155" s="1328"/>
      <c r="D155" s="1328"/>
      <c r="E155" s="1328"/>
      <c r="F155" s="1977"/>
      <c r="G155" s="1977"/>
      <c r="H155" s="692"/>
      <c r="N155" s="1707"/>
      <c r="P155" s="1707"/>
      <c r="Q155" s="1977"/>
      <c r="R155" s="1977"/>
      <c r="S155" s="1707"/>
      <c r="T155" s="1707"/>
      <c r="U155" s="1707"/>
      <c r="V155" s="1707"/>
      <c r="W155" s="1977"/>
      <c r="X155" s="1707"/>
      <c r="Y155" s="1707"/>
      <c r="Z155" s="885"/>
      <c r="AA155" s="1707"/>
      <c r="AB155" s="1707"/>
      <c r="AC155" s="1707"/>
      <c r="AD155" s="1707"/>
      <c r="AE155" s="1707"/>
      <c r="AF155" s="1973"/>
      <c r="AG155" s="963"/>
      <c r="AH155" s="963"/>
      <c r="AI155" s="963"/>
      <c r="AJ155" s="963"/>
      <c r="AK155" s="1982">
        <v>11</v>
      </c>
    </row>
    <row s="17832" customFormat="1" customHeight="1" ht="11.549999999999999">
      <c r="A156" s="1328"/>
      <c r="B156" s="1328"/>
      <c r="C156" s="1328"/>
      <c r="D156" s="1328"/>
      <c r="E156" s="1328"/>
      <c r="F156" s="1977"/>
      <c r="G156" s="1977"/>
      <c r="H156" s="692"/>
      <c r="N156" s="1707"/>
      <c r="P156" s="1707"/>
      <c r="Q156" s="1977"/>
      <c r="R156" s="1977"/>
      <c r="S156" s="1707"/>
      <c r="T156" s="1707"/>
      <c r="U156" s="1707"/>
      <c r="V156" s="1707"/>
      <c r="W156" s="1977"/>
      <c r="X156" s="1707"/>
      <c r="Y156" s="1707"/>
      <c r="Z156" s="885"/>
      <c r="AA156" s="1707"/>
      <c r="AB156" s="1707"/>
      <c r="AC156" s="1707"/>
      <c r="AD156" s="1707"/>
      <c r="AE156" s="1707"/>
      <c r="AF156" s="1973"/>
      <c r="AG156" s="963"/>
      <c r="AH156" s="963"/>
      <c r="AI156" s="963"/>
      <c r="AJ156" s="963"/>
      <c r="AK156" s="1982">
        <v>11</v>
      </c>
    </row>
    <row s="17832" customFormat="1" customHeight="1" ht="11.549999999999999">
      <c r="A157" s="1328"/>
      <c r="B157" s="1328"/>
      <c r="C157" s="1328"/>
      <c r="D157" s="1328"/>
      <c r="E157" s="1328"/>
      <c r="F157" s="1977"/>
      <c r="G157" s="1977"/>
      <c r="H157" s="692"/>
      <c r="N157" s="1707"/>
      <c r="P157" s="1707"/>
      <c r="Q157" s="1977"/>
      <c r="R157" s="1977"/>
      <c r="S157" s="1707"/>
      <c r="T157" s="1707"/>
      <c r="U157" s="1707"/>
      <c r="V157" s="1707"/>
      <c r="W157" s="1977"/>
      <c r="X157" s="1707"/>
      <c r="Y157" s="1707"/>
      <c r="Z157" s="885"/>
      <c r="AA157" s="1707"/>
      <c r="AB157" s="1707"/>
      <c r="AC157" s="1707"/>
      <c r="AD157" s="1707"/>
      <c r="AE157" s="1707"/>
      <c r="AF157" s="1973"/>
      <c r="AG157" s="963"/>
      <c r="AH157" s="963"/>
      <c r="AI157" s="963"/>
      <c r="AJ157" s="963"/>
      <c r="AK157" s="1982">
        <v>11</v>
      </c>
    </row>
    <row s="17832" customFormat="1" customHeight="1" ht="11.549999999999999">
      <c r="A158" s="1328"/>
      <c r="B158" s="1328"/>
      <c r="C158" s="1328"/>
      <c r="D158" s="1328"/>
      <c r="E158" s="1328"/>
      <c r="F158" s="1977"/>
      <c r="G158" s="1977"/>
      <c r="H158" s="692"/>
      <c r="N158" s="1707"/>
      <c r="P158" s="1707"/>
      <c r="Q158" s="1977"/>
      <c r="R158" s="1977"/>
      <c r="S158" s="1707"/>
      <c r="T158" s="1707"/>
      <c r="U158" s="1707"/>
      <c r="V158" s="1707"/>
      <c r="W158" s="1977"/>
      <c r="X158" s="1707"/>
      <c r="Y158" s="1707"/>
      <c r="Z158" s="885"/>
      <c r="AA158" s="1707"/>
      <c r="AB158" s="1707"/>
      <c r="AC158" s="1707"/>
      <c r="AD158" s="1707"/>
      <c r="AE158" s="1707"/>
      <c r="AF158" s="1973"/>
      <c r="AG158" s="963"/>
      <c r="AH158" s="963"/>
      <c r="AI158" s="963"/>
      <c r="AJ158" s="963"/>
      <c r="AK158" s="1982">
        <v>11</v>
      </c>
    </row>
    <row s="17832" customFormat="1" customHeight="1" ht="11.549999999999999">
      <c r="A159" s="1328"/>
      <c r="B159" s="1328"/>
      <c r="C159" s="1328"/>
      <c r="D159" s="1328"/>
      <c r="E159" s="1328"/>
      <c r="F159" s="1977"/>
      <c r="G159" s="1977"/>
      <c r="H159" s="692"/>
      <c r="N159" s="1707"/>
      <c r="P159" s="1707"/>
      <c r="Q159" s="1977"/>
      <c r="R159" s="1977"/>
      <c r="S159" s="1707"/>
      <c r="T159" s="1707"/>
      <c r="U159" s="1707"/>
      <c r="V159" s="1707"/>
      <c r="W159" s="1977"/>
      <c r="X159" s="1707"/>
      <c r="Y159" s="1707"/>
      <c r="Z159" s="885"/>
      <c r="AA159" s="1707"/>
      <c r="AB159" s="1707"/>
      <c r="AC159" s="1707"/>
      <c r="AD159" s="1707"/>
      <c r="AE159" s="1707"/>
      <c r="AF159" s="1973"/>
      <c r="AG159" s="963"/>
      <c r="AH159" s="963"/>
      <c r="AI159" s="963"/>
      <c r="AJ159" s="963"/>
      <c r="AK159" s="1982">
        <v>11</v>
      </c>
    </row>
    <row s="17832" customFormat="1" customHeight="1" ht="11.549999999999999">
      <c r="A160" s="1328"/>
      <c r="B160" s="1328"/>
      <c r="C160" s="1328"/>
      <c r="D160" s="1328"/>
      <c r="E160" s="1328"/>
      <c r="F160" s="1977"/>
      <c r="G160" s="1977"/>
      <c r="H160" s="692"/>
      <c r="N160" s="1707"/>
      <c r="P160" s="1707"/>
      <c r="Q160" s="1977"/>
      <c r="R160" s="1977"/>
      <c r="S160" s="1707"/>
      <c r="T160" s="1707"/>
      <c r="U160" s="1707"/>
      <c r="V160" s="1707"/>
      <c r="W160" s="1977"/>
      <c r="X160" s="1707"/>
      <c r="Y160" s="1707"/>
      <c r="Z160" s="885"/>
      <c r="AA160" s="1707"/>
      <c r="AB160" s="1707"/>
      <c r="AC160" s="1707"/>
      <c r="AD160" s="1707"/>
      <c r="AE160" s="1707"/>
      <c r="AF160" s="1973"/>
      <c r="AG160" s="963"/>
      <c r="AH160" s="963"/>
      <c r="AI160" s="963"/>
      <c r="AJ160" s="963"/>
      <c r="AK160" s="1982">
        <v>11</v>
      </c>
    </row>
    <row s="17832" customFormat="1" customHeight="1" ht="11.549999999999999">
      <c r="A161" s="1328"/>
      <c r="B161" s="1328"/>
      <c r="C161" s="1328"/>
      <c r="D161" s="1328"/>
      <c r="E161" s="1328"/>
      <c r="F161" s="1977"/>
      <c r="G161" s="1977"/>
      <c r="H161" s="692"/>
      <c r="N161" s="1707"/>
      <c r="P161" s="1707"/>
      <c r="Q161" s="1977"/>
      <c r="R161" s="1977"/>
      <c r="S161" s="1707"/>
      <c r="T161" s="1707"/>
      <c r="U161" s="1707"/>
      <c r="V161" s="1707"/>
      <c r="W161" s="1977"/>
      <c r="X161" s="1707"/>
      <c r="Y161" s="1707"/>
      <c r="Z161" s="885"/>
      <c r="AA161" s="1707"/>
      <c r="AB161" s="1707"/>
      <c r="AC161" s="1707"/>
      <c r="AD161" s="1707"/>
      <c r="AE161" s="1707"/>
      <c r="AF161" s="1973"/>
      <c r="AG161" s="963"/>
      <c r="AH161" s="963"/>
      <c r="AI161" s="963"/>
      <c r="AJ161" s="963"/>
      <c r="AK161" s="1982">
        <v>11</v>
      </c>
    </row>
    <row s="17832" customFormat="1" customHeight="1" ht="11.549999999999999">
      <c r="A162" s="1328"/>
      <c r="B162" s="1328"/>
      <c r="C162" s="1328"/>
      <c r="D162" s="1328"/>
      <c r="E162" s="1328"/>
      <c r="F162" s="1977"/>
      <c r="G162" s="1977"/>
      <c r="H162" s="692"/>
      <c r="N162" s="1707"/>
      <c r="P162" s="1707"/>
      <c r="Q162" s="1977"/>
      <c r="R162" s="1977"/>
      <c r="S162" s="1707"/>
      <c r="T162" s="1707"/>
      <c r="U162" s="1707"/>
      <c r="V162" s="1707"/>
      <c r="W162" s="1977"/>
      <c r="X162" s="1707"/>
      <c r="Y162" s="1707"/>
      <c r="Z162" s="885"/>
      <c r="AA162" s="1707"/>
      <c r="AB162" s="1707"/>
      <c r="AC162" s="1707"/>
      <c r="AD162" s="1707"/>
      <c r="AE162" s="1707"/>
      <c r="AF162" s="1973"/>
      <c r="AG162" s="963"/>
      <c r="AH162" s="963"/>
      <c r="AI162" s="963"/>
      <c r="AJ162" s="963"/>
      <c r="AK162" s="1982">
        <v>11</v>
      </c>
    </row>
    <row s="17832" customFormat="1" customHeight="1" ht="11.549999999999999">
      <c r="A163" s="1328"/>
      <c r="B163" s="1328"/>
      <c r="C163" s="1328"/>
      <c r="D163" s="1328"/>
      <c r="E163" s="1328"/>
      <c r="F163" s="1977"/>
      <c r="G163" s="1977"/>
      <c r="H163" s="692"/>
      <c r="N163" s="1707"/>
      <c r="P163" s="1707"/>
      <c r="Q163" s="1977"/>
      <c r="R163" s="1977"/>
      <c r="S163" s="1707"/>
      <c r="T163" s="1707"/>
      <c r="U163" s="1707"/>
      <c r="V163" s="1707"/>
      <c r="W163" s="1977"/>
      <c r="X163" s="1707"/>
      <c r="Y163" s="1707"/>
      <c r="Z163" s="885"/>
      <c r="AA163" s="1707"/>
      <c r="AB163" s="1707"/>
      <c r="AC163" s="1707"/>
      <c r="AD163" s="1707"/>
      <c r="AE163" s="1707"/>
      <c r="AF163" s="1973"/>
      <c r="AG163" s="963"/>
      <c r="AH163" s="963"/>
      <c r="AI163" s="963"/>
      <c r="AJ163" s="963"/>
      <c r="AK163" s="1982">
        <v>11</v>
      </c>
    </row>
    <row s="17832" customFormat="1" customHeight="1" ht="11.549999999999999">
      <c r="A164" s="1328"/>
      <c r="B164" s="1328"/>
      <c r="C164" s="1328"/>
      <c r="D164" s="1328"/>
      <c r="E164" s="1328"/>
      <c r="F164" s="1977"/>
      <c r="G164" s="1977"/>
      <c r="H164" s="692"/>
      <c r="N164" s="1707"/>
      <c r="P164" s="1707"/>
      <c r="Q164" s="1977"/>
      <c r="R164" s="1977"/>
      <c r="S164" s="1707"/>
      <c r="T164" s="1707"/>
      <c r="U164" s="1707"/>
      <c r="V164" s="1707"/>
      <c r="W164" s="1977"/>
      <c r="X164" s="1707"/>
      <c r="Y164" s="1707"/>
      <c r="Z164" s="885"/>
      <c r="AA164" s="1707"/>
      <c r="AB164" s="1707"/>
      <c r="AC164" s="1707"/>
      <c r="AD164" s="1707"/>
      <c r="AE164" s="1707"/>
      <c r="AF164" s="1973"/>
      <c r="AG164" s="963"/>
      <c r="AH164" s="963"/>
      <c r="AI164" s="963"/>
      <c r="AJ164" s="963"/>
      <c r="AK164" s="1982">
        <v>11</v>
      </c>
    </row>
    <row s="17832" customFormat="1" customHeight="1" ht="11.549999999999999">
      <c r="A165" s="1328"/>
      <c r="B165" s="1328"/>
      <c r="C165" s="1328"/>
      <c r="D165" s="1328"/>
      <c r="E165" s="1328"/>
      <c r="F165" s="1977"/>
      <c r="G165" s="1977"/>
      <c r="H165" s="692"/>
      <c r="N165" s="1707"/>
      <c r="P165" s="1707"/>
      <c r="Q165" s="1977"/>
      <c r="R165" s="1977"/>
      <c r="S165" s="1707"/>
      <c r="T165" s="1707"/>
      <c r="U165" s="1707"/>
      <c r="V165" s="1707"/>
      <c r="W165" s="1977"/>
      <c r="X165" s="1707"/>
      <c r="Y165" s="1707"/>
      <c r="Z165" s="885"/>
      <c r="AA165" s="1707"/>
      <c r="AB165" s="1707"/>
      <c r="AC165" s="1707"/>
      <c r="AD165" s="1707"/>
      <c r="AE165" s="1707"/>
      <c r="AF165" s="1973"/>
      <c r="AG165" s="963"/>
      <c r="AH165" s="963"/>
      <c r="AI165" s="963"/>
      <c r="AJ165" s="963"/>
      <c r="AK165" s="1982">
        <v>11</v>
      </c>
    </row>
    <row s="17832" customFormat="1" customHeight="1" ht="11.549999999999999">
      <c r="A166" s="1328"/>
      <c r="B166" s="1328"/>
      <c r="C166" s="1328"/>
      <c r="D166" s="1328"/>
      <c r="E166" s="1328"/>
      <c r="F166" s="1977"/>
      <c r="G166" s="1977"/>
      <c r="H166" s="692"/>
      <c r="N166" s="1707"/>
      <c r="P166" s="1707"/>
      <c r="Q166" s="1977"/>
      <c r="R166" s="1977"/>
      <c r="S166" s="1707"/>
      <c r="T166" s="1707"/>
      <c r="U166" s="1707"/>
      <c r="V166" s="1707"/>
      <c r="W166" s="1977"/>
      <c r="X166" s="1707"/>
      <c r="Y166" s="1707"/>
      <c r="Z166" s="885"/>
      <c r="AA166" s="1707"/>
      <c r="AB166" s="1707"/>
      <c r="AC166" s="1707"/>
      <c r="AD166" s="1707"/>
      <c r="AE166" s="1707"/>
      <c r="AF166" s="1973"/>
      <c r="AG166" s="963"/>
      <c r="AH166" s="963"/>
      <c r="AI166" s="963"/>
      <c r="AJ166" s="963"/>
      <c r="AK166" s="1982">
        <v>11</v>
      </c>
    </row>
    <row s="17832" customFormat="1" customHeight="1" ht="11.549999999999999">
      <c r="A167" s="1328"/>
      <c r="B167" s="1328"/>
      <c r="C167" s="1328"/>
      <c r="D167" s="1328"/>
      <c r="E167" s="1328"/>
      <c r="F167" s="1977"/>
      <c r="G167" s="1977"/>
      <c r="H167" s="692"/>
      <c r="N167" s="1707"/>
      <c r="P167" s="1707"/>
      <c r="Q167" s="1977"/>
      <c r="R167" s="1977"/>
      <c r="S167" s="1707"/>
      <c r="T167" s="1707"/>
      <c r="U167" s="1707"/>
      <c r="V167" s="1707"/>
      <c r="W167" s="1977"/>
      <c r="X167" s="1707"/>
      <c r="Y167" s="1707"/>
      <c r="Z167" s="885"/>
      <c r="AA167" s="1707"/>
      <c r="AB167" s="1707"/>
      <c r="AC167" s="1707"/>
      <c r="AD167" s="1707"/>
      <c r="AE167" s="1707"/>
      <c r="AF167" s="1973"/>
      <c r="AG167" s="963"/>
      <c r="AH167" s="963"/>
      <c r="AI167" s="963"/>
      <c r="AJ167" s="963"/>
      <c r="AK167" s="1982">
        <v>11</v>
      </c>
    </row>
    <row s="17832" customFormat="1" customHeight="1" ht="11.549999999999999">
      <c r="A168" s="1328"/>
      <c r="B168" s="1328"/>
      <c r="C168" s="1328"/>
      <c r="D168" s="1328"/>
      <c r="E168" s="1328"/>
      <c r="F168" s="1977"/>
      <c r="G168" s="1977"/>
      <c r="H168" s="692"/>
      <c r="N168" s="1707"/>
      <c r="P168" s="1707"/>
      <c r="Q168" s="1977"/>
      <c r="R168" s="1977"/>
      <c r="S168" s="1707"/>
      <c r="T168" s="1707"/>
      <c r="U168" s="1707"/>
      <c r="V168" s="1707"/>
      <c r="W168" s="1977"/>
      <c r="X168" s="1707"/>
      <c r="Y168" s="1707"/>
      <c r="Z168" s="885"/>
      <c r="AA168" s="1707"/>
      <c r="AB168" s="1707"/>
      <c r="AC168" s="1707"/>
      <c r="AD168" s="1707"/>
      <c r="AE168" s="1707"/>
      <c r="AF168" s="1973"/>
      <c r="AG168" s="963"/>
      <c r="AH168" s="963"/>
      <c r="AI168" s="963"/>
      <c r="AJ168" s="963"/>
      <c r="AK168" s="1982">
        <v>11</v>
      </c>
    </row>
    <row s="17832" customFormat="1" customHeight="1" ht="11.549999999999999">
      <c r="A169" s="1328"/>
      <c r="B169" s="1328"/>
      <c r="C169" s="1328"/>
      <c r="D169" s="1328"/>
      <c r="E169" s="1328"/>
      <c r="F169" s="1977"/>
      <c r="G169" s="1977"/>
      <c r="H169" s="692"/>
      <c r="N169" s="1707"/>
      <c r="P169" s="1707"/>
      <c r="Q169" s="1977"/>
      <c r="R169" s="1977"/>
      <c r="S169" s="1707"/>
      <c r="T169" s="1707"/>
      <c r="U169" s="1707"/>
      <c r="V169" s="1707"/>
      <c r="W169" s="1977"/>
      <c r="X169" s="1707"/>
      <c r="Y169" s="1707"/>
      <c r="Z169" s="885"/>
      <c r="AA169" s="1707"/>
      <c r="AB169" s="1707"/>
      <c r="AC169" s="1707"/>
      <c r="AD169" s="1707"/>
      <c r="AE169" s="1707"/>
      <c r="AF169" s="1973"/>
      <c r="AG169" s="963"/>
      <c r="AH169" s="963"/>
      <c r="AI169" s="963"/>
      <c r="AJ169" s="963"/>
      <c r="AK169" s="1982">
        <v>11</v>
      </c>
    </row>
    <row s="17832" customFormat="1" customHeight="1" ht="11.549999999999999">
      <c r="A170" s="1328"/>
      <c r="B170" s="1328"/>
      <c r="C170" s="1328"/>
      <c r="D170" s="1328"/>
      <c r="E170" s="1328"/>
      <c r="F170" s="1977"/>
      <c r="G170" s="1977"/>
      <c r="H170" s="692"/>
      <c r="N170" s="1707"/>
      <c r="P170" s="1707"/>
      <c r="Q170" s="1977"/>
      <c r="R170" s="1977"/>
      <c r="S170" s="1707"/>
      <c r="T170" s="1707"/>
      <c r="U170" s="1707"/>
      <c r="V170" s="1707"/>
      <c r="W170" s="1977"/>
      <c r="X170" s="1707"/>
      <c r="Y170" s="1707"/>
      <c r="Z170" s="885"/>
      <c r="AA170" s="1707"/>
      <c r="AB170" s="1707"/>
      <c r="AC170" s="1707"/>
      <c r="AD170" s="1707"/>
      <c r="AE170" s="1707"/>
      <c r="AF170" s="1973"/>
      <c r="AG170" s="963"/>
      <c r="AH170" s="963"/>
      <c r="AI170" s="963"/>
      <c r="AJ170" s="963"/>
      <c r="AK170" s="1982">
        <v>11</v>
      </c>
    </row>
    <row s="17832" customFormat="1" customHeight="1" ht="11.549999999999999">
      <c r="A171" s="1328"/>
      <c r="B171" s="1328"/>
      <c r="C171" s="1328"/>
      <c r="D171" s="1328"/>
      <c r="E171" s="1328"/>
      <c r="F171" s="1977"/>
      <c r="G171" s="1977"/>
      <c r="H171" s="692"/>
      <c r="N171" s="1707"/>
      <c r="P171" s="1707"/>
      <c r="Q171" s="1977"/>
      <c r="R171" s="1977"/>
      <c r="S171" s="1707"/>
      <c r="T171" s="1707"/>
      <c r="U171" s="1707"/>
      <c r="V171" s="1707"/>
      <c r="W171" s="1977"/>
      <c r="X171" s="1707"/>
      <c r="Y171" s="1707"/>
      <c r="Z171" s="885"/>
      <c r="AA171" s="1707"/>
      <c r="AB171" s="1707"/>
      <c r="AC171" s="1707"/>
      <c r="AD171" s="1707"/>
      <c r="AE171" s="1707"/>
      <c r="AF171" s="1973"/>
      <c r="AG171" s="963"/>
      <c r="AH171" s="963"/>
      <c r="AI171" s="963"/>
      <c r="AJ171" s="963"/>
      <c r="AK171" s="1982">
        <v>11</v>
      </c>
    </row>
    <row s="17832" customFormat="1" customHeight="1" ht="11.549999999999999">
      <c r="A172" s="1328"/>
      <c r="B172" s="1328"/>
      <c r="C172" s="1328"/>
      <c r="D172" s="1328"/>
      <c r="E172" s="1328"/>
      <c r="F172" s="1977"/>
      <c r="G172" s="1977"/>
      <c r="H172" s="692"/>
      <c r="N172" s="1707"/>
      <c r="P172" s="1707"/>
      <c r="Q172" s="1977"/>
      <c r="R172" s="1977"/>
      <c r="S172" s="1707"/>
      <c r="T172" s="1707"/>
      <c r="U172" s="1707"/>
      <c r="V172" s="1707"/>
      <c r="W172" s="1977"/>
      <c r="X172" s="1707"/>
      <c r="Y172" s="1707"/>
      <c r="Z172" s="885"/>
      <c r="AA172" s="1707"/>
      <c r="AB172" s="1707"/>
      <c r="AC172" s="1707"/>
      <c r="AD172" s="1707"/>
      <c r="AE172" s="1707"/>
      <c r="AF172" s="1973"/>
      <c r="AG172" s="963"/>
      <c r="AH172" s="963"/>
      <c r="AI172" s="963"/>
      <c r="AJ172" s="963"/>
      <c r="AK172" s="1982">
        <v>11</v>
      </c>
    </row>
    <row s="17832" customFormat="1" customHeight="1" ht="11.549999999999999">
      <c r="A173" s="1328"/>
      <c r="B173" s="1328"/>
      <c r="C173" s="1328"/>
      <c r="D173" s="1328"/>
      <c r="E173" s="1328"/>
      <c r="F173" s="1977"/>
      <c r="G173" s="1977"/>
      <c r="H173" s="692"/>
      <c r="N173" s="1707"/>
      <c r="P173" s="1707"/>
      <c r="Q173" s="1977"/>
      <c r="R173" s="1977"/>
      <c r="S173" s="1707"/>
      <c r="T173" s="1707"/>
      <c r="U173" s="1707"/>
      <c r="V173" s="1707"/>
      <c r="W173" s="1977"/>
      <c r="X173" s="1707"/>
      <c r="Y173" s="1707"/>
      <c r="Z173" s="885"/>
      <c r="AA173" s="1707"/>
      <c r="AB173" s="1707"/>
      <c r="AC173" s="1707"/>
      <c r="AD173" s="1707"/>
      <c r="AE173" s="1707"/>
      <c r="AF173" s="1973"/>
      <c r="AG173" s="963"/>
      <c r="AH173" s="963"/>
      <c r="AI173" s="963"/>
      <c r="AJ173" s="963"/>
      <c r="AK173" s="1982">
        <v>11</v>
      </c>
    </row>
    <row s="17832" customFormat="1" customHeight="1" ht="11.549999999999999">
      <c r="A174" s="1328"/>
      <c r="B174" s="1328"/>
      <c r="C174" s="1328"/>
      <c r="D174" s="1328"/>
      <c r="E174" s="1328"/>
      <c r="F174" s="1977"/>
      <c r="G174" s="1977"/>
      <c r="H174" s="692"/>
      <c r="N174" s="1707"/>
      <c r="P174" s="1707"/>
      <c r="Q174" s="1977"/>
      <c r="R174" s="1977"/>
      <c r="S174" s="1707"/>
      <c r="T174" s="1707"/>
      <c r="U174" s="1707"/>
      <c r="V174" s="1707"/>
      <c r="W174" s="1977"/>
      <c r="X174" s="1707"/>
      <c r="Y174" s="1707"/>
      <c r="Z174" s="885"/>
      <c r="AA174" s="1707"/>
      <c r="AB174" s="1707"/>
      <c r="AC174" s="1707"/>
      <c r="AD174" s="1707"/>
      <c r="AE174" s="1707"/>
      <c r="AF174" s="1973"/>
      <c r="AG174" s="963"/>
      <c r="AH174" s="963"/>
      <c r="AI174" s="963"/>
      <c r="AJ174" s="963"/>
      <c r="AK174" s="1982">
        <v>11</v>
      </c>
    </row>
    <row s="17832" customFormat="1" customHeight="1" ht="11.549999999999999">
      <c r="A175" s="1328"/>
      <c r="B175" s="1328"/>
      <c r="C175" s="1328"/>
      <c r="D175" s="1328"/>
      <c r="E175" s="1328"/>
      <c r="F175" s="1977"/>
      <c r="G175" s="1977"/>
      <c r="H175" s="692"/>
      <c r="N175" s="1707"/>
      <c r="P175" s="1707"/>
      <c r="Q175" s="1977"/>
      <c r="R175" s="1977"/>
      <c r="S175" s="1707"/>
      <c r="T175" s="1707"/>
      <c r="U175" s="1707"/>
      <c r="V175" s="1707"/>
      <c r="W175" s="1977"/>
      <c r="X175" s="1707"/>
      <c r="Y175" s="1707"/>
      <c r="Z175" s="885"/>
      <c r="AA175" s="1707"/>
      <c r="AB175" s="1707"/>
      <c r="AC175" s="1707"/>
      <c r="AD175" s="1707"/>
      <c r="AE175" s="1707"/>
      <c r="AF175" s="1973"/>
      <c r="AG175" s="963"/>
      <c r="AH175" s="963"/>
      <c r="AI175" s="963"/>
      <c r="AJ175" s="963"/>
      <c r="AK175" s="1982">
        <v>11</v>
      </c>
    </row>
    <row s="17832" customFormat="1" customHeight="1" ht="11.549999999999999">
      <c r="A176" s="1328"/>
      <c r="B176" s="1328"/>
      <c r="C176" s="1328"/>
      <c r="D176" s="1328"/>
      <c r="E176" s="1328"/>
      <c r="F176" s="1977"/>
      <c r="G176" s="1977"/>
      <c r="H176" s="692"/>
      <c r="N176" s="1707"/>
      <c r="P176" s="1707"/>
      <c r="Q176" s="1977"/>
      <c r="R176" s="1977"/>
      <c r="S176" s="1707"/>
      <c r="T176" s="1707"/>
      <c r="U176" s="1707"/>
      <c r="V176" s="1707"/>
      <c r="W176" s="1977"/>
      <c r="X176" s="1707"/>
      <c r="Y176" s="1707"/>
      <c r="Z176" s="885"/>
      <c r="AA176" s="1707"/>
      <c r="AB176" s="1707"/>
      <c r="AC176" s="1707"/>
      <c r="AD176" s="1707"/>
      <c r="AE176" s="1707"/>
      <c r="AF176" s="1973"/>
      <c r="AG176" s="963"/>
      <c r="AH176" s="963"/>
      <c r="AI176" s="963"/>
      <c r="AJ176" s="963"/>
      <c r="AK176" s="1982">
        <v>11</v>
      </c>
    </row>
    <row s="17832" customFormat="1" customHeight="1" ht="11.549999999999999">
      <c r="A177" s="1328"/>
      <c r="B177" s="1328"/>
      <c r="C177" s="1328"/>
      <c r="D177" s="1328"/>
      <c r="E177" s="1328"/>
      <c r="F177" s="1977"/>
      <c r="G177" s="1977"/>
      <c r="H177" s="692"/>
      <c r="N177" s="1707"/>
      <c r="P177" s="1707"/>
      <c r="Q177" s="1977"/>
      <c r="R177" s="1977"/>
      <c r="S177" s="1707"/>
      <c r="T177" s="1707"/>
      <c r="U177" s="1707"/>
      <c r="V177" s="1707"/>
      <c r="W177" s="1977"/>
      <c r="X177" s="1707"/>
      <c r="Y177" s="1707"/>
      <c r="Z177" s="885"/>
      <c r="AA177" s="1707"/>
      <c r="AB177" s="1707"/>
      <c r="AC177" s="1707"/>
      <c r="AD177" s="1707"/>
      <c r="AE177" s="1707"/>
      <c r="AF177" s="1973"/>
      <c r="AG177" s="963"/>
      <c r="AH177" s="963"/>
      <c r="AI177" s="963"/>
      <c r="AJ177" s="963"/>
      <c r="AK177" s="1982">
        <v>11</v>
      </c>
    </row>
    <row s="17832" customFormat="1" customHeight="1" ht="11.549999999999999">
      <c r="A178" s="1328"/>
      <c r="B178" s="1328"/>
      <c r="C178" s="1328"/>
      <c r="D178" s="1328"/>
      <c r="E178" s="1328"/>
      <c r="F178" s="1977"/>
      <c r="G178" s="1977"/>
      <c r="H178" s="692"/>
      <c r="N178" s="1707"/>
      <c r="P178" s="1707"/>
      <c r="Q178" s="1977"/>
      <c r="R178" s="1977"/>
      <c r="S178" s="1707"/>
      <c r="T178" s="1707"/>
      <c r="U178" s="1707"/>
      <c r="V178" s="1707"/>
      <c r="W178" s="1977"/>
      <c r="X178" s="1707"/>
      <c r="Y178" s="1707"/>
      <c r="Z178" s="885"/>
      <c r="AA178" s="1707"/>
      <c r="AB178" s="1707"/>
      <c r="AC178" s="1707"/>
      <c r="AD178" s="1707"/>
      <c r="AE178" s="1707"/>
      <c r="AF178" s="1973"/>
      <c r="AG178" s="963"/>
      <c r="AH178" s="963"/>
      <c r="AI178" s="963"/>
      <c r="AJ178" s="963"/>
      <c r="AK178" s="1982">
        <v>11</v>
      </c>
    </row>
    <row s="17832" customFormat="1" customHeight="1" ht="11.549999999999999">
      <c r="A179" s="1328"/>
      <c r="B179" s="1328"/>
      <c r="C179" s="1328"/>
      <c r="D179" s="1328"/>
      <c r="E179" s="1328"/>
      <c r="F179" s="1977"/>
      <c r="G179" s="1977"/>
      <c r="H179" s="692"/>
      <c r="N179" s="1707"/>
      <c r="P179" s="1707"/>
      <c r="Q179" s="1977"/>
      <c r="R179" s="1977"/>
      <c r="S179" s="1707"/>
      <c r="T179" s="1707"/>
      <c r="U179" s="1707"/>
      <c r="V179" s="1707"/>
      <c r="W179" s="1977"/>
      <c r="X179" s="1707"/>
      <c r="Y179" s="1707"/>
      <c r="Z179" s="885"/>
      <c r="AA179" s="1707"/>
      <c r="AB179" s="1707"/>
      <c r="AC179" s="1707"/>
      <c r="AD179" s="1707"/>
      <c r="AE179" s="1707"/>
      <c r="AF179" s="1973"/>
      <c r="AG179" s="963"/>
      <c r="AH179" s="963"/>
      <c r="AI179" s="963"/>
      <c r="AJ179" s="963"/>
      <c r="AK179" s="1982">
        <v>11</v>
      </c>
    </row>
    <row s="17832" customFormat="1" customHeight="1" ht="11.549999999999999">
      <c r="A180" s="1328"/>
      <c r="B180" s="1328"/>
      <c r="C180" s="1328"/>
      <c r="D180" s="1328"/>
      <c r="E180" s="1328"/>
      <c r="F180" s="1977"/>
      <c r="G180" s="1977"/>
      <c r="H180" s="692"/>
      <c r="N180" s="1707"/>
      <c r="P180" s="1707"/>
      <c r="Q180" s="1977"/>
      <c r="R180" s="1977"/>
      <c r="S180" s="1707"/>
      <c r="T180" s="1707"/>
      <c r="U180" s="1707"/>
      <c r="V180" s="1707"/>
      <c r="W180" s="1977"/>
      <c r="X180" s="1707"/>
      <c r="Y180" s="1707"/>
      <c r="Z180" s="885"/>
      <c r="AA180" s="1707"/>
      <c r="AB180" s="1707"/>
      <c r="AC180" s="1707"/>
      <c r="AD180" s="1707"/>
      <c r="AE180" s="1707"/>
      <c r="AF180" s="1973"/>
      <c r="AG180" s="963"/>
      <c r="AH180" s="963"/>
      <c r="AI180" s="963"/>
      <c r="AJ180" s="963"/>
      <c r="AK180" s="1982">
        <v>11</v>
      </c>
    </row>
    <row s="17832" customFormat="1" customHeight="1" ht="11.549999999999999">
      <c r="A181" s="1328"/>
      <c r="B181" s="1328"/>
      <c r="C181" s="1328"/>
      <c r="D181" s="1328"/>
      <c r="E181" s="1328"/>
      <c r="F181" s="1977"/>
      <c r="G181" s="1977"/>
      <c r="H181" s="692"/>
      <c r="N181" s="1707"/>
      <c r="P181" s="1707"/>
      <c r="Q181" s="1977"/>
      <c r="R181" s="1977"/>
      <c r="S181" s="1707"/>
      <c r="T181" s="1707"/>
      <c r="U181" s="1707"/>
      <c r="V181" s="1707"/>
      <c r="W181" s="1977"/>
      <c r="X181" s="1707"/>
      <c r="Y181" s="1707"/>
      <c r="Z181" s="885"/>
      <c r="AA181" s="1707"/>
      <c r="AB181" s="1707"/>
      <c r="AC181" s="1707"/>
      <c r="AD181" s="1707"/>
      <c r="AE181" s="1707"/>
      <c r="AF181" s="1973"/>
      <c r="AG181" s="963"/>
      <c r="AH181" s="963"/>
      <c r="AI181" s="963"/>
      <c r="AJ181" s="963"/>
      <c r="AK181" s="1982">
        <v>11</v>
      </c>
    </row>
    <row s="17832" customFormat="1" customHeight="1" ht="11.549999999999999">
      <c r="A182" s="1328"/>
      <c r="B182" s="1328"/>
      <c r="C182" s="1328"/>
      <c r="D182" s="1328"/>
      <c r="E182" s="1328"/>
      <c r="F182" s="1977"/>
      <c r="G182" s="1977"/>
      <c r="H182" s="692"/>
      <c r="N182" s="1707"/>
      <c r="P182" s="1707"/>
      <c r="Q182" s="1977"/>
      <c r="R182" s="1977"/>
      <c r="S182" s="1707"/>
      <c r="T182" s="1707"/>
      <c r="U182" s="1707"/>
      <c r="V182" s="1707"/>
      <c r="W182" s="1977"/>
      <c r="X182" s="1707"/>
      <c r="Y182" s="1707"/>
      <c r="Z182" s="885"/>
      <c r="AA182" s="1707"/>
      <c r="AB182" s="1707"/>
      <c r="AC182" s="1707"/>
      <c r="AD182" s="1707"/>
      <c r="AE182" s="1707"/>
      <c r="AF182" s="1973"/>
      <c r="AG182" s="963"/>
      <c r="AH182" s="963"/>
      <c r="AI182" s="963"/>
      <c r="AJ182" s="963"/>
      <c r="AK182" s="1982">
        <v>11</v>
      </c>
    </row>
    <row s="17832" customFormat="1" customHeight="1" ht="11.549999999999999">
      <c r="A183" s="1328"/>
      <c r="B183" s="1328"/>
      <c r="C183" s="1328"/>
      <c r="D183" s="1328"/>
      <c r="E183" s="1328"/>
      <c r="F183" s="1977"/>
      <c r="G183" s="1977"/>
      <c r="H183" s="692"/>
      <c r="N183" s="1707"/>
      <c r="P183" s="1707"/>
      <c r="Q183" s="1977"/>
      <c r="R183" s="1977"/>
      <c r="S183" s="1707"/>
      <c r="T183" s="1707"/>
      <c r="U183" s="1707"/>
      <c r="V183" s="1707"/>
      <c r="W183" s="1977"/>
      <c r="X183" s="1707"/>
      <c r="Y183" s="1707"/>
      <c r="Z183" s="885"/>
      <c r="AA183" s="1707"/>
      <c r="AB183" s="1707"/>
      <c r="AC183" s="1707"/>
      <c r="AD183" s="1707"/>
      <c r="AE183" s="1707"/>
      <c r="AF183" s="1973"/>
      <c r="AG183" s="963"/>
      <c r="AH183" s="963"/>
      <c r="AI183" s="963"/>
      <c r="AJ183" s="963"/>
      <c r="AK183" s="1982">
        <v>11</v>
      </c>
    </row>
    <row s="17832" customFormat="1" customHeight="1" ht="11.549999999999999">
      <c r="A184" s="1328"/>
      <c r="B184" s="1328"/>
      <c r="C184" s="1328"/>
      <c r="D184" s="1328"/>
      <c r="E184" s="1328"/>
      <c r="F184" s="1977"/>
      <c r="G184" s="1977"/>
      <c r="H184" s="692"/>
      <c r="N184" s="1707"/>
      <c r="P184" s="1707"/>
      <c r="Q184" s="1977"/>
      <c r="R184" s="1977"/>
      <c r="S184" s="1707"/>
      <c r="T184" s="1707"/>
      <c r="U184" s="1707"/>
      <c r="V184" s="1707"/>
      <c r="W184" s="1977"/>
      <c r="X184" s="1707"/>
      <c r="Y184" s="1707"/>
      <c r="Z184" s="885"/>
      <c r="AA184" s="1707"/>
      <c r="AB184" s="1707"/>
      <c r="AC184" s="1707"/>
      <c r="AD184" s="1707"/>
      <c r="AE184" s="1707"/>
      <c r="AF184" s="1973"/>
      <c r="AG184" s="963"/>
      <c r="AH184" s="963"/>
      <c r="AI184" s="963"/>
      <c r="AJ184" s="963"/>
      <c r="AK184" s="1982">
        <v>11</v>
      </c>
    </row>
    <row s="17832" customFormat="1" customHeight="1" ht="11.549999999999999">
      <c r="A185" s="1328"/>
      <c r="B185" s="1328"/>
      <c r="C185" s="1328"/>
      <c r="D185" s="1328"/>
      <c r="E185" s="1328"/>
      <c r="F185" s="1977"/>
      <c r="G185" s="1977"/>
      <c r="H185" s="692"/>
      <c r="N185" s="1707"/>
      <c r="P185" s="1707"/>
      <c r="Q185" s="1977"/>
      <c r="R185" s="1977"/>
      <c r="S185" s="1707"/>
      <c r="T185" s="1707"/>
      <c r="U185" s="1707"/>
      <c r="V185" s="1707"/>
      <c r="W185" s="1977"/>
      <c r="X185" s="1707"/>
      <c r="Y185" s="1707"/>
      <c r="Z185" s="885"/>
      <c r="AA185" s="1707"/>
      <c r="AB185" s="1707"/>
      <c r="AC185" s="1707"/>
      <c r="AD185" s="1707"/>
      <c r="AE185" s="1707"/>
      <c r="AF185" s="1973"/>
      <c r="AG185" s="963"/>
      <c r="AH185" s="963"/>
      <c r="AI185" s="963"/>
      <c r="AJ185" s="963"/>
      <c r="AK185" s="1982">
        <v>11</v>
      </c>
    </row>
    <row s="17832" customFormat="1" customHeight="1" ht="11.549999999999999">
      <c r="A186" s="1328"/>
      <c r="B186" s="1328"/>
      <c r="C186" s="1328"/>
      <c r="D186" s="1328"/>
      <c r="E186" s="1328"/>
      <c r="F186" s="1977"/>
      <c r="G186" s="1977"/>
      <c r="H186" s="692"/>
      <c r="N186" s="1707"/>
      <c r="P186" s="1707"/>
      <c r="Q186" s="1977"/>
      <c r="R186" s="1977"/>
      <c r="S186" s="1707"/>
      <c r="T186" s="1707"/>
      <c r="U186" s="1707"/>
      <c r="V186" s="1707"/>
      <c r="W186" s="1977"/>
      <c r="X186" s="1707"/>
      <c r="Y186" s="1707"/>
      <c r="Z186" s="885"/>
      <c r="AA186" s="1707"/>
      <c r="AB186" s="1707"/>
      <c r="AC186" s="1707"/>
      <c r="AD186" s="1707"/>
      <c r="AE186" s="1707"/>
      <c r="AF186" s="1973"/>
      <c r="AG186" s="963"/>
      <c r="AH186" s="963"/>
      <c r="AI186" s="963"/>
      <c r="AJ186" s="963"/>
      <c r="AK186" s="1982">
        <v>11</v>
      </c>
    </row>
    <row s="17832" customFormat="1" customHeight="1" ht="11.549999999999999">
      <c r="A187" s="1328"/>
      <c r="B187" s="1328"/>
      <c r="C187" s="1328"/>
      <c r="D187" s="1328"/>
      <c r="E187" s="1328"/>
      <c r="F187" s="1977"/>
      <c r="G187" s="1977"/>
      <c r="H187" s="692"/>
      <c r="N187" s="1707"/>
      <c r="P187" s="1707"/>
      <c r="Q187" s="1977"/>
      <c r="R187" s="1977"/>
      <c r="S187" s="1707"/>
      <c r="T187" s="1707"/>
      <c r="U187" s="1707"/>
      <c r="V187" s="1707"/>
      <c r="W187" s="1977"/>
      <c r="X187" s="1707"/>
      <c r="Y187" s="1707"/>
      <c r="Z187" s="885"/>
      <c r="AA187" s="1707"/>
      <c r="AB187" s="1707"/>
      <c r="AC187" s="1707"/>
      <c r="AD187" s="1707"/>
      <c r="AE187" s="1707"/>
      <c r="AF187" s="1973"/>
      <c r="AG187" s="963"/>
      <c r="AH187" s="963"/>
      <c r="AI187" s="963"/>
      <c r="AJ187" s="963"/>
      <c r="AK187" s="1982">
        <v>11</v>
      </c>
    </row>
    <row s="17832" customFormat="1" customHeight="1" ht="11.549999999999999">
      <c r="A188" s="1328"/>
      <c r="B188" s="1328"/>
      <c r="C188" s="1328"/>
      <c r="D188" s="1328"/>
      <c r="E188" s="1328"/>
      <c r="F188" s="1977"/>
      <c r="G188" s="1977"/>
      <c r="H188" s="692"/>
      <c r="N188" s="1707"/>
      <c r="P188" s="1707"/>
      <c r="Q188" s="1977"/>
      <c r="R188" s="1977"/>
      <c r="S188" s="1707"/>
      <c r="T188" s="1707"/>
      <c r="U188" s="1707"/>
      <c r="V188" s="1707"/>
      <c r="W188" s="1977"/>
      <c r="X188" s="1707"/>
      <c r="Y188" s="1707"/>
      <c r="Z188" s="885"/>
      <c r="AA188" s="1707"/>
      <c r="AB188" s="1707"/>
      <c r="AC188" s="1707"/>
      <c r="AD188" s="1707"/>
      <c r="AE188" s="1707"/>
      <c r="AF188" s="1973"/>
      <c r="AG188" s="963"/>
      <c r="AH188" s="963"/>
      <c r="AI188" s="963"/>
      <c r="AJ188" s="963"/>
      <c r="AK188" s="1982">
        <v>11</v>
      </c>
    </row>
    <row s="17832" customFormat="1" customHeight="1" ht="11.549999999999999">
      <c r="A189" s="1328"/>
      <c r="B189" s="1328"/>
      <c r="C189" s="1328"/>
      <c r="D189" s="1328"/>
      <c r="E189" s="1328"/>
      <c r="F189" s="1977"/>
      <c r="G189" s="1977"/>
      <c r="H189" s="692"/>
      <c r="N189" s="1707"/>
      <c r="P189" s="1707"/>
      <c r="Q189" s="1977"/>
      <c r="R189" s="1977"/>
      <c r="S189" s="1707"/>
      <c r="T189" s="1707"/>
      <c r="U189" s="1707"/>
      <c r="V189" s="1707"/>
      <c r="W189" s="1977"/>
      <c r="X189" s="1707"/>
      <c r="Y189" s="1707"/>
      <c r="Z189" s="885"/>
      <c r="AA189" s="1707"/>
      <c r="AB189" s="1707"/>
      <c r="AC189" s="1707"/>
      <c r="AD189" s="1707"/>
      <c r="AE189" s="1707"/>
      <c r="AF189" s="1973"/>
      <c r="AG189" s="963"/>
      <c r="AH189" s="963"/>
      <c r="AI189" s="963"/>
      <c r="AJ189" s="963"/>
      <c r="AK189" s="1982">
        <v>11</v>
      </c>
    </row>
    <row customHeight="1" ht="11.549999999999999">
      <c r="AK190" s="1972">
        <v>11</v>
      </c>
    </row>
    <row customHeight="1" ht="11.549999999999999">
      <c r="AK191" s="1972">
        <v>11</v>
      </c>
    </row>
    <row customHeight="1" ht="11.549999999999999">
      <c r="AK192" s="1972">
        <v>11</v>
      </c>
    </row>
    <row customHeight="1" ht="11.549999999999999">
      <c r="A193" s="1331"/>
      <c r="B193" s="1331"/>
      <c r="C193" s="1331"/>
      <c r="D193" s="1331"/>
      <c r="E193" s="1331"/>
      <c r="F193" s="1972"/>
      <c r="H193" s="1972"/>
      <c r="N193" s="1972"/>
      <c r="P193" s="1972"/>
      <c r="S193" s="1972"/>
      <c r="T193" s="1972"/>
      <c r="U193" s="1972"/>
      <c r="V193" s="1972"/>
      <c r="X193" s="1972"/>
      <c r="Y193" s="1972"/>
      <c r="Z193" s="1972"/>
      <c r="AA193" s="1972"/>
      <c r="AB193" s="1972"/>
      <c r="AC193" s="1972"/>
      <c r="AD193" s="1972"/>
      <c r="AE193" s="1972"/>
      <c r="AF193" s="1972"/>
      <c r="AG193" s="1972"/>
      <c r="AH193" s="1972"/>
      <c r="AI193" s="1972"/>
      <c r="AJ193" s="1972"/>
      <c r="AK193" s="1972">
        <v>11</v>
      </c>
    </row>
    <row customHeight="1" ht="11.549999999999999">
      <c r="A194" s="1331"/>
      <c r="B194" s="1331"/>
      <c r="C194" s="1331"/>
      <c r="D194" s="1331"/>
      <c r="E194" s="1331"/>
      <c r="F194" s="1972"/>
      <c r="H194" s="1972"/>
      <c r="N194" s="1972"/>
      <c r="P194" s="1972"/>
      <c r="S194" s="1972"/>
      <c r="T194" s="1972"/>
      <c r="U194" s="1972"/>
      <c r="V194" s="1972"/>
      <c r="X194" s="1972"/>
      <c r="Y194" s="1972"/>
      <c r="Z194" s="1972"/>
      <c r="AA194" s="1972"/>
      <c r="AB194" s="1972"/>
      <c r="AC194" s="1972"/>
      <c r="AD194" s="1972"/>
      <c r="AE194" s="1972"/>
      <c r="AF194" s="1972"/>
      <c r="AG194" s="1972"/>
      <c r="AH194" s="1972"/>
      <c r="AI194" s="1972"/>
      <c r="AJ194" s="1972"/>
      <c r="AK194" s="1972">
        <v>11</v>
      </c>
    </row>
    <row customHeight="1" ht="11.549999999999999">
      <c r="A195" s="1331"/>
      <c r="B195" s="1331"/>
      <c r="C195" s="1331"/>
      <c r="D195" s="1331"/>
      <c r="E195" s="1331"/>
      <c r="F195" s="1972"/>
      <c r="H195" s="1972"/>
      <c r="N195" s="1972"/>
      <c r="P195" s="1972"/>
      <c r="S195" s="1972"/>
      <c r="T195" s="1972"/>
      <c r="U195" s="1972"/>
      <c r="V195" s="1972"/>
      <c r="X195" s="1972"/>
      <c r="Y195" s="1972"/>
      <c r="Z195" s="1972"/>
      <c r="AA195" s="1972"/>
      <c r="AB195" s="1972"/>
      <c r="AC195" s="1972"/>
      <c r="AD195" s="1972"/>
      <c r="AE195" s="1972"/>
      <c r="AF195" s="1972"/>
      <c r="AG195" s="1972"/>
      <c r="AH195" s="1972"/>
      <c r="AI195" s="1972"/>
      <c r="AJ195" s="1972"/>
      <c r="AK195" s="1972">
        <v>11</v>
      </c>
    </row>
    <row customHeight="1" ht="11.549999999999999">
      <c r="A196" s="1331"/>
      <c r="B196" s="1331"/>
      <c r="C196" s="1331"/>
      <c r="D196" s="1331"/>
      <c r="E196" s="1331"/>
      <c r="F196" s="1972"/>
      <c r="H196" s="1972"/>
      <c r="N196" s="1972"/>
      <c r="P196" s="1972"/>
      <c r="S196" s="1972"/>
      <c r="T196" s="1972"/>
      <c r="U196" s="1972"/>
      <c r="V196" s="1972"/>
      <c r="X196" s="1972"/>
      <c r="Y196" s="1972"/>
      <c r="Z196" s="1972"/>
      <c r="AA196" s="1972"/>
      <c r="AB196" s="1972"/>
      <c r="AC196" s="1972"/>
      <c r="AD196" s="1972"/>
      <c r="AE196" s="1972"/>
      <c r="AF196" s="1972"/>
      <c r="AG196" s="1972"/>
      <c r="AH196" s="1972"/>
      <c r="AI196" s="1972"/>
      <c r="AJ196" s="1972"/>
      <c r="AK196" s="1972">
        <v>11</v>
      </c>
    </row>
    <row customHeight="1" ht="11.549999999999999">
      <c r="A197" s="1331"/>
      <c r="B197" s="1331"/>
      <c r="C197" s="1331"/>
      <c r="D197" s="1331"/>
      <c r="E197" s="1331"/>
      <c r="F197" s="1972"/>
      <c r="H197" s="1972"/>
      <c r="N197" s="1972"/>
      <c r="P197" s="1972"/>
      <c r="S197" s="1972"/>
      <c r="T197" s="1972"/>
      <c r="U197" s="1972"/>
      <c r="V197" s="1972"/>
      <c r="X197" s="1972"/>
      <c r="Y197" s="1972"/>
      <c r="Z197" s="1972"/>
      <c r="AA197" s="1972"/>
      <c r="AB197" s="1972"/>
      <c r="AC197" s="1972"/>
      <c r="AD197" s="1972"/>
      <c r="AE197" s="1972"/>
      <c r="AF197" s="1972"/>
      <c r="AG197" s="1972"/>
      <c r="AH197" s="1972"/>
      <c r="AI197" s="1972"/>
      <c r="AJ197" s="1972"/>
      <c r="AK197" s="1972">
        <v>11</v>
      </c>
    </row>
    <row customHeight="1" ht="11.549999999999999">
      <c r="A198" s="1331"/>
      <c r="B198" s="1331"/>
      <c r="C198" s="1331"/>
      <c r="D198" s="1331"/>
      <c r="E198" s="1331"/>
      <c r="F198" s="1972"/>
      <c r="H198" s="1972"/>
      <c r="N198" s="1972"/>
      <c r="P198" s="1972"/>
      <c r="S198" s="1972"/>
      <c r="T198" s="1972"/>
      <c r="U198" s="1972"/>
      <c r="V198" s="1972"/>
      <c r="X198" s="1972"/>
      <c r="Y198" s="1972"/>
      <c r="Z198" s="1972"/>
      <c r="AA198" s="1972"/>
      <c r="AB198" s="1972"/>
      <c r="AC198" s="1972"/>
      <c r="AD198" s="1972"/>
      <c r="AE198" s="1972"/>
      <c r="AF198" s="1972"/>
      <c r="AG198" s="1972"/>
      <c r="AH198" s="1972"/>
      <c r="AI198" s="1972"/>
      <c r="AJ198" s="1972"/>
      <c r="AK198" s="1972">
        <v>11</v>
      </c>
    </row>
    <row customHeight="1" ht="11.549999999999999">
      <c r="A199" s="1331"/>
      <c r="B199" s="1331"/>
      <c r="C199" s="1331"/>
      <c r="D199" s="1331"/>
      <c r="E199" s="1331"/>
      <c r="F199" s="1972"/>
      <c r="H199" s="1972"/>
      <c r="N199" s="1972"/>
      <c r="P199" s="1972"/>
      <c r="S199" s="1972"/>
      <c r="T199" s="1972"/>
      <c r="U199" s="1972"/>
      <c r="V199" s="1972"/>
      <c r="X199" s="1972"/>
      <c r="Y199" s="1972"/>
      <c r="Z199" s="1972"/>
      <c r="AA199" s="1972"/>
      <c r="AB199" s="1972"/>
      <c r="AC199" s="1972"/>
      <c r="AD199" s="1972"/>
      <c r="AE199" s="1972"/>
      <c r="AF199" s="1972"/>
      <c r="AG199" s="1972"/>
      <c r="AH199" s="1972"/>
      <c r="AI199" s="1972"/>
      <c r="AJ199" s="1972"/>
      <c r="AK199" s="1972">
        <v>11</v>
      </c>
    </row>
    <row customHeight="1" ht="11.549999999999999">
      <c r="A200" s="1331"/>
      <c r="B200" s="1331"/>
      <c r="C200" s="1331"/>
      <c r="D200" s="1331"/>
      <c r="E200" s="1331"/>
      <c r="F200" s="1972"/>
      <c r="H200" s="1972"/>
      <c r="N200" s="1972"/>
      <c r="P200" s="1972"/>
      <c r="S200" s="1972"/>
      <c r="T200" s="1972"/>
      <c r="U200" s="1972"/>
      <c r="V200" s="1972"/>
      <c r="X200" s="1972"/>
      <c r="Y200" s="1972"/>
      <c r="Z200" s="1972"/>
      <c r="AA200" s="1972"/>
      <c r="AB200" s="1972"/>
      <c r="AC200" s="1972"/>
      <c r="AD200" s="1972"/>
      <c r="AE200" s="1972"/>
      <c r="AF200" s="1972"/>
      <c r="AG200" s="1972"/>
      <c r="AH200" s="1972"/>
      <c r="AI200" s="1972"/>
      <c r="AJ200" s="1972"/>
      <c r="AK200" s="1972">
        <v>11</v>
      </c>
    </row>
    <row customHeight="1" ht="11.549999999999999">
      <c r="A201" s="1331"/>
      <c r="B201" s="1331"/>
      <c r="C201" s="1331"/>
      <c r="D201" s="1331"/>
      <c r="E201" s="1331"/>
      <c r="F201" s="1972"/>
      <c r="H201" s="1972"/>
      <c r="N201" s="1972"/>
      <c r="P201" s="1972"/>
      <c r="S201" s="1972"/>
      <c r="T201" s="1972"/>
      <c r="U201" s="1972"/>
      <c r="V201" s="1972"/>
      <c r="X201" s="1972"/>
      <c r="Y201" s="1972"/>
      <c r="Z201" s="1972"/>
      <c r="AA201" s="1972"/>
      <c r="AB201" s="1972"/>
      <c r="AC201" s="1972"/>
      <c r="AD201" s="1972"/>
      <c r="AE201" s="1972"/>
      <c r="AF201" s="1972"/>
      <c r="AG201" s="1972"/>
      <c r="AH201" s="1972"/>
      <c r="AI201" s="1972"/>
      <c r="AJ201" s="1972"/>
      <c r="AK201" s="1972">
        <v>11</v>
      </c>
    </row>
    <row customHeight="1" ht="11.549999999999999">
      <c r="A202" s="1331"/>
      <c r="B202" s="1331"/>
      <c r="C202" s="1331"/>
      <c r="D202" s="1331"/>
      <c r="E202" s="1331"/>
      <c r="F202" s="1972"/>
      <c r="H202" s="1972"/>
      <c r="N202" s="1972"/>
      <c r="P202" s="1972"/>
      <c r="S202" s="1972"/>
      <c r="T202" s="1972"/>
      <c r="U202" s="1972"/>
      <c r="V202" s="1972"/>
      <c r="X202" s="1972"/>
      <c r="Y202" s="1972"/>
      <c r="Z202" s="1972"/>
      <c r="AA202" s="1972"/>
      <c r="AB202" s="1972"/>
      <c r="AC202" s="1972"/>
      <c r="AD202" s="1972"/>
      <c r="AE202" s="1972"/>
      <c r="AF202" s="1972"/>
      <c r="AG202" s="1972"/>
      <c r="AH202" s="1972"/>
      <c r="AI202" s="1972"/>
      <c r="AJ202" s="1972"/>
      <c r="AK202" s="1972">
        <v>11</v>
      </c>
    </row>
    <row customHeight="1" ht="11.549999999999999">
      <c r="A203" s="1331"/>
      <c r="B203" s="1331"/>
      <c r="C203" s="1331"/>
      <c r="D203" s="1331"/>
      <c r="E203" s="1331"/>
      <c r="F203" s="1972"/>
      <c r="H203" s="1972"/>
      <c r="N203" s="1972"/>
      <c r="P203" s="1972"/>
      <c r="S203" s="1972"/>
      <c r="T203" s="1972"/>
      <c r="U203" s="1972"/>
      <c r="V203" s="1972"/>
      <c r="X203" s="1972"/>
      <c r="Y203" s="1972"/>
      <c r="Z203" s="1972"/>
      <c r="AA203" s="1972"/>
      <c r="AB203" s="1972"/>
      <c r="AC203" s="1972"/>
      <c r="AD203" s="1972"/>
      <c r="AE203" s="1972"/>
      <c r="AF203" s="1972"/>
      <c r="AG203" s="1972"/>
      <c r="AH203" s="1972"/>
      <c r="AI203" s="1972"/>
      <c r="AJ203" s="1972"/>
      <c r="AK203" s="1972">
        <v>11</v>
      </c>
    </row>
    <row customHeight="1" ht="12.75" hidden="1">
      <c r="A204" s="1328" t="s">
        <v>82</v>
      </c>
      <c r="B204" s="1328" t="s">
        <v>146</v>
      </c>
      <c r="C204" s="1328" t="s">
        <v>146</v>
      </c>
      <c r="D204" s="1328" t="s">
        <v>146</v>
      </c>
      <c r="E204" s="1328" t="s">
        <v>146</v>
      </c>
      <c r="F204" s="1976">
        <v>16</v>
      </c>
      <c r="G204" s="1977">
        <v>0</v>
      </c>
      <c r="H204" s="1976">
        <v>3</v>
      </c>
      <c r="I204" s="1972">
        <v>7</v>
      </c>
      <c r="J204" s="1972">
        <v>56</v>
      </c>
      <c r="K204" s="1972">
        <v>10</v>
      </c>
      <c r="L204" s="1972">
        <v>40</v>
      </c>
      <c r="M204" s="1972">
        <v>40</v>
      </c>
      <c r="N204" s="1707">
        <v>9</v>
      </c>
      <c r="O204" s="1972">
        <v>102</v>
      </c>
      <c r="P204" s="1707">
        <v>9</v>
      </c>
      <c r="Q204" s="1977">
        <v>5</v>
      </c>
      <c r="R204" s="1977">
        <v>3</v>
      </c>
      <c r="S204" s="1707">
        <v>3</v>
      </c>
      <c r="T204" s="1707">
        <v>3</v>
      </c>
      <c r="U204" s="1707">
        <v>3</v>
      </c>
      <c r="V204" s="1707">
        <v>3</v>
      </c>
      <c r="W204" s="1977">
        <v>10</v>
      </c>
      <c r="X204" s="1707">
        <v>34</v>
      </c>
      <c r="Y204" s="1707">
        <v>9</v>
      </c>
      <c r="Z204" s="885">
        <v>8</v>
      </c>
      <c r="AA204" s="1707">
        <v>8</v>
      </c>
      <c r="AB204" s="1707">
        <v>8</v>
      </c>
      <c r="AC204" s="1707">
        <v>8</v>
      </c>
      <c r="AD204" s="1707">
        <v>8</v>
      </c>
      <c r="AE204" s="1707">
        <v>8</v>
      </c>
      <c r="AF204" s="1973">
        <v>8</v>
      </c>
      <c r="AG204" s="1973">
        <v>8</v>
      </c>
      <c r="AH204" s="1973">
        <v>8</v>
      </c>
      <c r="AI204" s="1973">
        <v>8</v>
      </c>
      <c r="AJ204" s="1973">
        <v>8</v>
      </c>
      <c r="AK204" s="1972">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2032A6-4145-421D-0434-572D6E993C1E}"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7239" width="10.57421875" hidden="1"/>
    <col min="5" max="5" style="18078" width="9.140625" hidden="1" customWidth="1"/>
    <col min="6" max="7" style="17315" width="9.140625" hidden="1" customWidth="1"/>
    <col min="8" max="8" style="18079" width="3.00390625" customWidth="1"/>
    <col min="9" max="9" style="17239" width="6.00390625" customWidth="1"/>
    <col min="10" max="10" style="17239" width="63.00390625" customWidth="1"/>
    <col min="11" max="11" style="17239" width="9.00390625" customWidth="1"/>
    <col min="12" max="12" style="17239" width="39.00390625" customWidth="1"/>
    <col min="13" max="13" style="17239" width="89.00390625" customWidth="1"/>
    <col min="14" max="14" style="17239" width="10.00390625" customWidth="1"/>
    <col min="15" max="16" style="17405" width="10.00390625" customWidth="1"/>
    <col min="17" max="22" style="17239" width="10.00390625" customWidth="1"/>
    <col min="23" max="23" style="17239" width="10.57421875" hidden="1"/>
  </cols>
  <sheetData>
    <row customHeight="1" ht="22.5" hidden="1">
      <c r="S1" s="596"/>
      <c r="T1" s="596"/>
      <c r="V1" s="596"/>
      <c r="W1" s="1972" t="s">
        <v>14</v>
      </c>
    </row>
    <row customHeight="1" ht="22.5" hidden="1">
      <c r="B2" s="2394" t="s">
        <v>682</v>
      </c>
      <c r="C2" s="2394" t="s">
        <v>683</v>
      </c>
      <c r="D2" s="2393" t="s">
        <v>622</v>
      </c>
      <c r="E2" s="2399">
        <f>I2-3</f>
        <v>-3</v>
      </c>
      <c r="F2" s="2399">
        <f>J2</f>
        <v>0</v>
      </c>
      <c r="H2" s="2071" t="s">
        <v>684</v>
      </c>
      <c r="I2" s="2365"/>
      <c r="J2" s="2023"/>
      <c r="K2" s="2359" t="s">
        <v>301</v>
      </c>
      <c r="L2" s="1505"/>
      <c r="M2" s="638"/>
      <c r="N2" s="1965"/>
      <c r="P2" s="1972"/>
      <c r="W2" s="1972">
        <v>0</v>
      </c>
    </row>
    <row customHeight="1" ht="14.25" hidden="1">
      <c r="W3" s="1972">
        <v>0</v>
      </c>
    </row>
    <row customHeight="1" ht="6.3">
      <c r="H4" s="717"/>
      <c r="I4" s="798"/>
      <c r="J4" s="798"/>
      <c r="K4" s="798"/>
      <c r="L4" s="426"/>
      <c r="M4" s="426"/>
      <c r="W4" s="1972">
        <v>6</v>
      </c>
    </row>
    <row customHeight="1" ht="50.25">
      <c r="H5" s="717"/>
      <c r="I5" s="2589" t="s">
        <v>685</v>
      </c>
      <c r="J5" s="2589"/>
      <c r="K5" s="2589"/>
      <c r="L5" s="2589"/>
      <c r="M5" s="607"/>
      <c r="W5" s="1972">
        <v>48</v>
      </c>
    </row>
    <row customHeight="1" ht="18">
      <c r="H6" s="717"/>
      <c r="I6" s="2590" t="str">
        <f>IF(org=0,"Не определено",org)</f>
        <v>АО "ДГК"</v>
      </c>
      <c r="J6" s="2590"/>
      <c r="K6" s="2590"/>
      <c r="L6" s="2590"/>
      <c r="M6" s="607"/>
      <c r="W6" s="1972">
        <v>17</v>
      </c>
    </row>
    <row customHeight="1" ht="14.699999999999998">
      <c r="H7" s="717"/>
      <c r="I7" s="798"/>
      <c r="J7" s="804"/>
      <c r="K7" s="804"/>
      <c r="L7" s="1093"/>
      <c r="M7" s="534"/>
      <c r="W7" s="1972">
        <v>14</v>
      </c>
    </row>
    <row customHeight="1" ht="14.699999999999998">
      <c r="H8" s="717"/>
      <c r="I8" s="2727" t="s">
        <v>295</v>
      </c>
      <c r="J8" s="2728"/>
      <c r="K8" s="2728"/>
      <c r="L8" s="2729"/>
      <c r="M8" s="2730" t="s">
        <v>296</v>
      </c>
      <c r="W8" s="1972">
        <v>14</v>
      </c>
    </row>
    <row customHeight="1" ht="35.699999999999996">
      <c r="E9" s="2392" t="s">
        <v>613</v>
      </c>
      <c r="F9" s="2392" t="s">
        <v>619</v>
      </c>
      <c r="H9" s="717"/>
      <c r="I9" s="2366" t="s">
        <v>88</v>
      </c>
      <c r="J9" s="2367" t="s">
        <v>297</v>
      </c>
      <c r="K9" s="2405" t="s">
        <v>561</v>
      </c>
      <c r="L9" s="2406" t="s">
        <v>298</v>
      </c>
      <c r="M9" s="2730"/>
      <c r="W9" s="1972">
        <v>34</v>
      </c>
    </row>
    <row customHeight="1" ht="35.699999999999996">
      <c r="B10" s="2394" t="s">
        <v>686</v>
      </c>
      <c r="C10" s="2394" t="s">
        <v>687</v>
      </c>
      <c r="D10" s="2393" t="s">
        <v>622</v>
      </c>
      <c r="E10" s="2397" t="s">
        <v>623</v>
      </c>
      <c r="F10" s="2397" t="s">
        <v>623</v>
      </c>
      <c r="H10" s="717"/>
      <c r="I10" s="2365" t="s">
        <v>106</v>
      </c>
      <c r="J10" s="2227" t="s">
        <v>688</v>
      </c>
      <c r="K10" s="2359" t="s">
        <v>301</v>
      </c>
      <c r="L10" s="1159"/>
      <c r="M10" s="638" t="s">
        <v>689</v>
      </c>
      <c r="W10" s="1972">
        <v>34</v>
      </c>
    </row>
    <row customHeight="1" ht="50.25">
      <c r="B11" s="2394" t="s">
        <v>690</v>
      </c>
      <c r="C11" s="2394" t="s">
        <v>691</v>
      </c>
      <c r="D11" s="2393" t="s">
        <v>622</v>
      </c>
      <c r="E11" s="2397" t="s">
        <v>623</v>
      </c>
      <c r="F11" s="2397" t="s">
        <v>623</v>
      </c>
      <c r="H11" s="717"/>
      <c r="I11" s="2365" t="s">
        <v>107</v>
      </c>
      <c r="J11" s="2227" t="s">
        <v>692</v>
      </c>
      <c r="K11" s="2359" t="s">
        <v>301</v>
      </c>
      <c r="L11" s="1159"/>
      <c r="M11" s="638" t="s">
        <v>689</v>
      </c>
      <c r="W11" s="1972">
        <v>48</v>
      </c>
    </row>
    <row customHeight="1" ht="48.29999999999999">
      <c r="B12" s="2394" t="s">
        <v>693</v>
      </c>
      <c r="C12" s="2394" t="s">
        <v>694</v>
      </c>
      <c r="D12" s="2393" t="s">
        <v>622</v>
      </c>
      <c r="E12" s="2397" t="s">
        <v>623</v>
      </c>
      <c r="F12" s="2397" t="s">
        <v>623</v>
      </c>
      <c r="H12" s="2029"/>
      <c r="I12" s="2365" t="s">
        <v>90</v>
      </c>
      <c r="J12" s="2372" t="s">
        <v>695</v>
      </c>
      <c r="K12" s="2359" t="s">
        <v>301</v>
      </c>
      <c r="L12" s="1159"/>
      <c r="M12" s="638" t="s">
        <v>696</v>
      </c>
      <c r="N12" s="1965"/>
      <c r="P12" s="1972"/>
      <c r="W12" s="1972">
        <v>46</v>
      </c>
    </row>
    <row customHeight="1" ht="14.699999999999998">
      <c r="E13" s="684"/>
      <c r="H13" s="717"/>
      <c r="I13" s="688"/>
      <c r="J13" s="992" t="s">
        <v>697</v>
      </c>
      <c r="K13" s="912"/>
      <c r="L13" s="555"/>
      <c r="M13" s="638"/>
      <c r="W13" s="1972">
        <v>14</v>
      </c>
    </row>
    <row customHeight="1" ht="14.699999999999998">
      <c r="E14" s="684"/>
      <c r="H14" s="717"/>
      <c r="I14" s="1398"/>
      <c r="J14" s="2018"/>
      <c r="K14" s="2019"/>
      <c r="L14" s="2020"/>
      <c r="M14" s="2369"/>
      <c r="W14" s="1972">
        <v>14</v>
      </c>
    </row>
    <row customHeight="1" ht="14.699999999999998">
      <c r="I15" s="2022"/>
      <c r="J15" s="2726"/>
      <c r="K15" s="2726"/>
      <c r="L15" s="2726"/>
      <c r="M15" s="2726"/>
      <c r="W15" s="1972">
        <v>14</v>
      </c>
    </row>
    <row customHeight="1" ht="21" hidden="1">
      <c r="A16" s="2371" t="s">
        <v>82</v>
      </c>
      <c r="B16" s="1972">
        <v>9</v>
      </c>
      <c r="C16" s="1972">
        <v>9</v>
      </c>
      <c r="D16" s="1972">
        <v>9</v>
      </c>
      <c r="E16" s="2371" t="s">
        <v>145</v>
      </c>
      <c r="F16" s="2396" t="s">
        <v>145</v>
      </c>
      <c r="G16" s="2398"/>
      <c r="H16" s="685">
        <v>3</v>
      </c>
      <c r="I16" s="1972">
        <v>6</v>
      </c>
      <c r="J16" s="1972">
        <v>63</v>
      </c>
      <c r="K16" s="1972">
        <v>9</v>
      </c>
      <c r="L16" s="1972">
        <v>39</v>
      </c>
      <c r="M16" s="1972">
        <v>89</v>
      </c>
      <c r="N16" s="1972">
        <v>10</v>
      </c>
      <c r="O16" s="1965">
        <v>10</v>
      </c>
      <c r="P16" s="1965">
        <v>10</v>
      </c>
      <c r="Q16" s="1972">
        <v>10</v>
      </c>
      <c r="R16" s="1972">
        <v>10</v>
      </c>
      <c r="S16" s="1972">
        <v>10</v>
      </c>
      <c r="T16" s="1972">
        <v>10</v>
      </c>
      <c r="U16" s="1972">
        <v>10</v>
      </c>
      <c r="V16" s="1972">
        <v>10</v>
      </c>
      <c r="W16" s="1972">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9AFC14-1164-2D7C-F34A-40995CE9378C}"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18498" width="10.7109375" hidden="1" customWidth="1"/>
    <col min="2" max="2" style="17315" width="16.8515625" hidden="1" customWidth="1"/>
    <col min="3" max="3" style="17316" width="5.57421875" hidden="1" customWidth="1"/>
    <col min="4" max="4" style="17239" width="3.00390625" customWidth="1"/>
    <col min="5" max="5" style="17239" width="7.00390625" customWidth="1"/>
    <col min="6" max="6" style="17239" width="56.00390625" customWidth="1"/>
    <col min="7" max="7" style="17239" width="10.00390625" customWidth="1"/>
    <col min="8" max="8" style="17239" width="40.7109375" hidden="1" customWidth="1"/>
    <col min="9" max="9" style="17239" width="40.00390625" customWidth="1"/>
    <col min="10" max="10" style="17239" width="102.00390625" customWidth="1"/>
    <col min="11" max="11" style="17315" width="9.00390625" customWidth="1"/>
    <col min="12" max="12" style="17316" width="5.00390625" customWidth="1"/>
    <col min="13" max="13" style="17316" width="3.00390625" customWidth="1"/>
    <col min="14" max="17" style="17315" width="3.00390625" customWidth="1"/>
    <col min="18" max="18" style="17316" width="10.00390625" customWidth="1"/>
    <col min="19" max="19" style="17315" width="34.00390625" customWidth="1"/>
    <col min="20" max="20" style="17315" width="9.00390625" customWidth="1"/>
    <col min="21" max="21" style="18499" width="8.00390625" customWidth="1"/>
    <col min="22" max="26" style="17315" width="8.00390625" customWidth="1"/>
    <col min="27" max="31" style="17203" width="8.00390625" customWidth="1"/>
    <col min="32" max="32" style="17239" width="10.421875" hidden="1" customWidth="1"/>
  </cols>
  <sheetData>
    <row s="17315" customFormat="1" customHeight="1" ht="22.5" hidden="1">
      <c r="A1" s="1328"/>
      <c r="C1" s="1977"/>
      <c r="D1" s="878"/>
      <c r="H1" s="1501">
        <v>4</v>
      </c>
      <c r="I1" s="1501">
        <v>4</v>
      </c>
      <c r="L1" s="1977"/>
      <c r="M1" s="1977"/>
      <c r="R1" s="1977"/>
      <c r="AF1" s="1501" t="s">
        <v>14</v>
      </c>
    </row>
    <row s="17315" customFormat="1" customHeight="1" ht="22.5" hidden="1">
      <c r="A2" s="1328"/>
      <c r="C2" s="1977"/>
      <c r="D2" s="879"/>
      <c r="E2" s="1978"/>
      <c r="F2" s="881"/>
      <c r="G2" s="1980" t="s">
        <v>547</v>
      </c>
      <c r="H2" s="882"/>
      <c r="I2" s="882"/>
      <c r="J2" s="883" t="s">
        <v>698</v>
      </c>
      <c r="K2" s="884"/>
      <c r="L2" s="1977"/>
      <c r="M2" s="1977"/>
      <c r="R2" s="1977"/>
      <c r="U2" s="885"/>
      <c r="AA2" s="1973"/>
      <c r="AB2" s="1973"/>
      <c r="AC2" s="1973"/>
      <c r="AD2" s="1973"/>
      <c r="AE2" s="1973"/>
      <c r="AF2" s="1501">
        <v>0</v>
      </c>
    </row>
    <row customHeight="1" ht="11.25" hidden="1">
      <c r="AF3" s="1972">
        <v>0</v>
      </c>
    </row>
    <row s="17203" customFormat="1" customHeight="1" ht="11.25" hidden="1">
      <c r="A4" s="1328"/>
      <c r="B4" s="1501"/>
      <c r="C4" s="1977"/>
      <c r="D4" s="703"/>
      <c r="J4" s="1973">
        <v>4</v>
      </c>
      <c r="K4" s="1501"/>
      <c r="L4" s="1977"/>
      <c r="M4" s="1977"/>
      <c r="N4" s="1501"/>
      <c r="O4" s="1501"/>
      <c r="P4" s="1501"/>
      <c r="Q4" s="1501"/>
      <c r="R4" s="1977"/>
      <c r="S4" s="1501"/>
      <c r="T4" s="1501"/>
      <c r="U4" s="885"/>
      <c r="V4" s="1501"/>
      <c r="W4" s="1501"/>
      <c r="X4" s="1501"/>
      <c r="Y4" s="1501"/>
      <c r="Z4" s="1501"/>
      <c r="AF4" s="1973">
        <v>0</v>
      </c>
    </row>
    <row customHeight="1" ht="11.549999999999999">
      <c r="AF5" s="1972">
        <v>11</v>
      </c>
    </row>
    <row customHeight="1" ht="31.5">
      <c r="E6" s="2648" t="s">
        <v>699</v>
      </c>
      <c r="F6" s="2648"/>
      <c r="G6" s="2648"/>
      <c r="H6" s="2648"/>
      <c r="I6" s="2648"/>
      <c r="J6" s="897"/>
      <c r="AF6" s="1972">
        <v>30</v>
      </c>
    </row>
    <row customHeight="1" ht="11.549999999999999">
      <c r="E7" s="2590" t="str">
        <f>IF(org=0,"Не определено",org)</f>
        <v>АО "ДГК"</v>
      </c>
      <c r="F7" s="2590"/>
      <c r="G7" s="2590"/>
      <c r="H7" s="2590"/>
      <c r="I7" s="2590"/>
      <c r="AF7" s="1972">
        <v>11</v>
      </c>
    </row>
    <row customHeight="1" ht="11.549999999999999">
      <c r="E8" s="1476"/>
      <c r="F8" s="1476"/>
      <c r="G8" s="1476"/>
      <c r="H8" s="1476"/>
      <c r="I8" s="1476"/>
      <c r="AF8" s="1972">
        <v>11</v>
      </c>
    </row>
    <row s="17316" customFormat="1" customHeight="1" ht="4.2">
      <c r="A9" s="1508"/>
      <c r="D9" s="1983"/>
      <c r="H9" s="1230"/>
      <c r="I9" s="1230" t="s">
        <v>114</v>
      </c>
      <c r="AF9" s="1977">
        <v>4</v>
      </c>
    </row>
    <row customHeight="1" ht="11.549999999999999">
      <c r="E10" s="1052"/>
      <c r="F10" s="2708" t="s">
        <v>102</v>
      </c>
      <c r="G10" s="2709"/>
      <c r="H10" s="1893" t="str">
        <f>IF(H9="","",INDEX(DIFFERENTIATION_UNMERGE_VD,MATCH(H9,DIFFERENTIATION_ID_DIFF,0)))</f>
        <v/>
      </c>
      <c r="I10" s="1893">
        <f>IF(I9="","",INDEX(DIFFERENTIATION_UNMERGE_VD,MATCH(I9,DIFFERENTIATION_ID_DIFF,0)))</f>
        <v>0</v>
      </c>
      <c r="J10" s="2468"/>
      <c r="AF10" s="1972">
        <v>11</v>
      </c>
    </row>
    <row customHeight="1" ht="11.549999999999999">
      <c r="E11" s="1052"/>
      <c r="F11" s="2708" t="s">
        <v>559</v>
      </c>
      <c r="G11" s="2709"/>
      <c r="H11" s="1893" t="str">
        <f>IF(H9="","",INDEX(DIFFERENTIATION_UNMERGE_AREA,MATCH(H9,DIFFERENTIATION_ID_DIFF,0)))</f>
        <v/>
      </c>
      <c r="I11" s="1893" t="str">
        <f>IF(I9="","",INDEX(DIFFERENTIATION_UNMERGE_AREA,MATCH(I9,DIFFERENTIATION_ID_DIFF,0)))</f>
        <v/>
      </c>
      <c r="J11" s="2468"/>
      <c r="AF11" s="1972">
        <v>11</v>
      </c>
    </row>
    <row customHeight="1" ht="1.05">
      <c r="E12" s="2003"/>
      <c r="F12" s="2731" t="s">
        <v>560</v>
      </c>
      <c r="G12" s="2732"/>
      <c r="H12" s="2004" t="str">
        <f>IF(H9="","",INDEX(DIFFERENTIATION_UNMERGE_SYSTEM,MATCH(H9,DIFFERENTIATION_ID_DIFF,0)))</f>
        <v/>
      </c>
      <c r="I12" s="2004" t="str">
        <f>IF(I9="","",INDEX(DIFFERENTIATION_UNMERGE_SYSTEM,MATCH(I9,DIFFERENTIATION_ID_DIFF,0)))</f>
        <v>без дифференциации</v>
      </c>
      <c r="J12" s="2468"/>
      <c r="AF12" s="1972">
        <v>1</v>
      </c>
    </row>
    <row customHeight="1" ht="11.549999999999999">
      <c r="E13" s="2710" t="s">
        <v>295</v>
      </c>
      <c r="F13" s="2711"/>
      <c r="G13" s="2711"/>
      <c r="H13" s="1892"/>
      <c r="I13" s="1892"/>
      <c r="J13" s="2468"/>
      <c r="AF13" s="1972">
        <v>11</v>
      </c>
    </row>
    <row customHeight="1" ht="24">
      <c r="E14" s="1980" t="s">
        <v>88</v>
      </c>
      <c r="F14" s="1975" t="s">
        <v>297</v>
      </c>
      <c r="G14" s="1975" t="s">
        <v>561</v>
      </c>
      <c r="H14" s="1975" t="s">
        <v>298</v>
      </c>
      <c r="I14" s="1975" t="s">
        <v>298</v>
      </c>
      <c r="J14" s="2468"/>
      <c r="AF14" s="1972">
        <v>23</v>
      </c>
    </row>
    <row customHeight="1" ht="19.95">
      <c r="D15" s="1979"/>
      <c r="E15" s="1971" t="s">
        <v>106</v>
      </c>
      <c r="F15" s="1048" t="s">
        <v>700</v>
      </c>
      <c r="G15" s="1987" t="s">
        <v>547</v>
      </c>
      <c r="H15" s="898"/>
      <c r="I15" s="898"/>
      <c r="J15" s="630" t="s">
        <v>701</v>
      </c>
      <c r="K15" s="884" t="s">
        <v>625</v>
      </c>
      <c r="AF15" s="1972">
        <v>19</v>
      </c>
    </row>
    <row customHeight="1" ht="35.699999999999996">
      <c r="D16" s="1979"/>
      <c r="E16" s="1971" t="s">
        <v>107</v>
      </c>
      <c r="F16" s="1048" t="s">
        <v>702</v>
      </c>
      <c r="G16" s="1987" t="s">
        <v>547</v>
      </c>
      <c r="H16" s="899">
        <f>SUM(H17,H20:H32)</f>
        <v>0</v>
      </c>
      <c r="I16" s="899">
        <f>SUM(I17,I20,I23,I26,I29:I32)</f>
        <v>0</v>
      </c>
      <c r="J16" s="630" t="s">
        <v>703</v>
      </c>
      <c r="K16" s="884" t="s">
        <v>625</v>
      </c>
      <c r="AF16" s="1972">
        <v>34</v>
      </c>
    </row>
    <row customHeight="1" ht="19.95">
      <c r="D17" s="1979"/>
      <c r="E17" s="2005" t="s">
        <v>704</v>
      </c>
      <c r="F17" s="1295" t="s">
        <v>705</v>
      </c>
      <c r="G17" s="1984" t="s">
        <v>547</v>
      </c>
      <c r="H17" s="898"/>
      <c r="I17" s="898"/>
      <c r="J17" s="630" t="s">
        <v>706</v>
      </c>
      <c r="K17" s="884"/>
      <c r="AF17" s="1972">
        <v>19</v>
      </c>
    </row>
    <row customHeight="1" ht="24">
      <c r="D18" s="1979"/>
      <c r="E18" s="2005" t="s">
        <v>707</v>
      </c>
      <c r="F18" s="1991" t="s">
        <v>708</v>
      </c>
      <c r="G18" s="1984" t="s">
        <v>547</v>
      </c>
      <c r="H18" s="898"/>
      <c r="I18" s="898"/>
      <c r="J18" s="630" t="s">
        <v>709</v>
      </c>
      <c r="K18" s="884"/>
      <c r="AF18" s="1972">
        <v>23</v>
      </c>
    </row>
    <row customHeight="1" ht="35.699999999999996">
      <c r="D19" s="1979"/>
      <c r="E19" s="2005" t="s">
        <v>710</v>
      </c>
      <c r="F19" s="1991" t="s">
        <v>711</v>
      </c>
      <c r="G19" s="1984" t="s">
        <v>547</v>
      </c>
      <c r="H19" s="898"/>
      <c r="I19" s="898"/>
      <c r="J19" s="630"/>
      <c r="K19" s="884"/>
      <c r="AF19" s="1972">
        <v>34</v>
      </c>
    </row>
    <row customHeight="1" ht="19.95">
      <c r="D20" s="1979"/>
      <c r="E20" s="2005" t="s">
        <v>302</v>
      </c>
      <c r="F20" s="1295" t="s">
        <v>712</v>
      </c>
      <c r="G20" s="1984" t="s">
        <v>547</v>
      </c>
      <c r="H20" s="898"/>
      <c r="I20" s="898"/>
      <c r="J20" s="630" t="s">
        <v>713</v>
      </c>
      <c r="K20" s="884"/>
      <c r="AF20" s="1972">
        <v>19</v>
      </c>
    </row>
    <row customHeight="1" ht="19.95">
      <c r="D21" s="1979"/>
      <c r="E21" s="2005" t="s">
        <v>714</v>
      </c>
      <c r="F21" s="1991" t="s">
        <v>715</v>
      </c>
      <c r="G21" s="1984" t="s">
        <v>547</v>
      </c>
      <c r="H21" s="898"/>
      <c r="I21" s="898"/>
      <c r="J21" s="630"/>
      <c r="K21" s="884"/>
      <c r="AF21" s="1972">
        <v>19</v>
      </c>
    </row>
    <row customHeight="1" ht="19.95">
      <c r="D22" s="1979"/>
      <c r="E22" s="2005" t="s">
        <v>716</v>
      </c>
      <c r="F22" s="1991" t="s">
        <v>717</v>
      </c>
      <c r="G22" s="1984" t="s">
        <v>547</v>
      </c>
      <c r="H22" s="898"/>
      <c r="I22" s="898"/>
      <c r="J22" s="630"/>
      <c r="K22" s="884"/>
      <c r="AF22" s="1972">
        <v>19</v>
      </c>
    </row>
    <row customHeight="1" ht="24">
      <c r="D23" s="1979"/>
      <c r="E23" s="2005" t="s">
        <v>305</v>
      </c>
      <c r="F23" s="1295" t="s">
        <v>718</v>
      </c>
      <c r="G23" s="1984" t="s">
        <v>547</v>
      </c>
      <c r="H23" s="898"/>
      <c r="I23" s="898"/>
      <c r="J23" s="630" t="s">
        <v>719</v>
      </c>
      <c r="K23" s="884"/>
      <c r="AF23" s="1972">
        <v>23</v>
      </c>
    </row>
    <row customHeight="1" ht="19.95">
      <c r="D24" s="1979"/>
      <c r="E24" s="2005" t="s">
        <v>720</v>
      </c>
      <c r="F24" s="1991" t="s">
        <v>721</v>
      </c>
      <c r="G24" s="1984" t="s">
        <v>547</v>
      </c>
      <c r="H24" s="898"/>
      <c r="I24" s="898"/>
      <c r="J24" s="630"/>
      <c r="K24" s="884"/>
      <c r="AF24" s="1972">
        <v>19</v>
      </c>
    </row>
    <row customHeight="1" ht="35.699999999999996">
      <c r="D25" s="1979"/>
      <c r="E25" s="2005" t="s">
        <v>722</v>
      </c>
      <c r="F25" s="1991" t="s">
        <v>723</v>
      </c>
      <c r="G25" s="1984" t="s">
        <v>547</v>
      </c>
      <c r="H25" s="898"/>
      <c r="I25" s="898"/>
      <c r="J25" s="630"/>
      <c r="K25" s="884"/>
      <c r="AF25" s="1972">
        <v>34</v>
      </c>
    </row>
    <row customHeight="1" ht="24">
      <c r="D26" s="1979"/>
      <c r="E26" s="2005" t="s">
        <v>724</v>
      </c>
      <c r="F26" s="1295" t="s">
        <v>725</v>
      </c>
      <c r="G26" s="1984" t="s">
        <v>547</v>
      </c>
      <c r="H26" s="898"/>
      <c r="I26" s="898"/>
      <c r="J26" s="630" t="s">
        <v>726</v>
      </c>
      <c r="K26" s="884"/>
      <c r="AF26" s="1972">
        <v>23</v>
      </c>
    </row>
    <row customHeight="1" ht="19.95">
      <c r="D27" s="1979"/>
      <c r="E27" s="2016" t="s">
        <v>727</v>
      </c>
      <c r="F27" s="1991" t="s">
        <v>728</v>
      </c>
      <c r="G27" s="1995" t="s">
        <v>547</v>
      </c>
      <c r="H27" s="2017"/>
      <c r="I27" s="2017"/>
      <c r="J27" s="630"/>
      <c r="K27" s="884"/>
      <c r="AF27" s="1972">
        <v>19</v>
      </c>
    </row>
    <row customHeight="1" ht="19.95">
      <c r="D28" s="1979"/>
      <c r="E28" s="2016" t="s">
        <v>729</v>
      </c>
      <c r="F28" s="1991" t="s">
        <v>730</v>
      </c>
      <c r="G28" s="1995" t="s">
        <v>547</v>
      </c>
      <c r="H28" s="2017"/>
      <c r="I28" s="2017"/>
      <c r="J28" s="630"/>
      <c r="K28" s="884"/>
      <c r="AF28" s="1972">
        <v>19</v>
      </c>
    </row>
    <row customHeight="1" ht="19.95">
      <c r="D29" s="1979"/>
      <c r="E29" s="2016" t="s">
        <v>731</v>
      </c>
      <c r="F29" s="1295" t="s">
        <v>732</v>
      </c>
      <c r="G29" s="1995" t="s">
        <v>547</v>
      </c>
      <c r="H29" s="2017"/>
      <c r="I29" s="2017"/>
      <c r="J29" s="630"/>
      <c r="K29" s="884"/>
      <c r="AF29" s="1972">
        <v>19</v>
      </c>
    </row>
    <row customHeight="1" ht="19.95">
      <c r="D30" s="1979"/>
      <c r="E30" s="2016" t="s">
        <v>733</v>
      </c>
      <c r="F30" s="1295" t="s">
        <v>734</v>
      </c>
      <c r="G30" s="1995" t="s">
        <v>547</v>
      </c>
      <c r="H30" s="2017"/>
      <c r="I30" s="2017"/>
      <c r="J30" s="630"/>
      <c r="K30" s="884"/>
      <c r="AF30" s="1972">
        <v>19</v>
      </c>
    </row>
    <row customHeight="1" ht="19.95">
      <c r="D31" s="1979"/>
      <c r="E31" s="2016" t="s">
        <v>735</v>
      </c>
      <c r="F31" s="1295" t="s">
        <v>736</v>
      </c>
      <c r="G31" s="1995" t="s">
        <v>547</v>
      </c>
      <c r="H31" s="2017"/>
      <c r="I31" s="2017"/>
      <c r="J31" s="630"/>
      <c r="K31" s="884"/>
      <c r="AF31" s="1972">
        <v>19</v>
      </c>
    </row>
    <row s="17315" customFormat="1" customHeight="1" ht="35.699999999999996">
      <c r="A32" s="1328"/>
      <c r="C32" s="1977"/>
      <c r="D32" s="1979"/>
      <c r="E32" s="2016" t="s">
        <v>737</v>
      </c>
      <c r="F32" s="1295" t="s">
        <v>738</v>
      </c>
      <c r="G32" s="1985" t="s">
        <v>547</v>
      </c>
      <c r="H32" s="920">
        <f>SUM(H33:H34)</f>
        <v>0</v>
      </c>
      <c r="I32" s="920">
        <f>SUM(I33:I34)</f>
        <v>0</v>
      </c>
      <c r="J32" s="630" t="s">
        <v>739</v>
      </c>
      <c r="K32" s="884"/>
      <c r="L32" s="1977"/>
      <c r="M32" s="1977"/>
      <c r="R32" s="1977"/>
      <c r="U32" s="885"/>
      <c r="AA32" s="1973"/>
      <c r="AB32" s="1973"/>
      <c r="AC32" s="1973"/>
      <c r="AD32" s="1973"/>
      <c r="AE32" s="1973"/>
      <c r="AF32" s="1501">
        <v>34</v>
      </c>
    </row>
    <row s="17316" customFormat="1" customHeight="1" ht="1.05">
      <c r="A33" s="1508"/>
      <c r="D33" s="889"/>
      <c r="E33" s="1143" t="str">
        <f>E32&amp;".0"</f>
        <v>2.8.0</v>
      </c>
      <c r="F33" s="1332"/>
      <c r="G33" s="892"/>
      <c r="H33" s="1333"/>
      <c r="I33" s="1333"/>
      <c r="J33" s="1334"/>
      <c r="AF33" s="1977">
        <v>1</v>
      </c>
    </row>
    <row s="17315" customFormat="1" customHeight="1" ht="19.95">
      <c r="A34" s="1328"/>
      <c r="C34" s="1977"/>
      <c r="D34" s="1974"/>
      <c r="E34" s="911"/>
      <c r="F34" s="2007" t="s">
        <v>572</v>
      </c>
      <c r="G34" s="913"/>
      <c r="H34" s="914"/>
      <c r="I34" s="914"/>
      <c r="J34" s="642" t="s">
        <v>740</v>
      </c>
      <c r="K34" s="884"/>
      <c r="L34" s="1977"/>
      <c r="M34" s="1977"/>
      <c r="R34" s="1977"/>
      <c r="U34" s="885"/>
      <c r="AA34" s="1973"/>
      <c r="AB34" s="1973"/>
      <c r="AC34" s="1973"/>
      <c r="AD34" s="1973"/>
      <c r="AE34" s="1973"/>
      <c r="AF34" s="1501">
        <v>19</v>
      </c>
    </row>
    <row customHeight="1" ht="60">
      <c r="D35" s="1979"/>
      <c r="E35" s="2016" t="s">
        <v>741</v>
      </c>
      <c r="F35" s="1295" t="s">
        <v>742</v>
      </c>
      <c r="G35" s="1995" t="s">
        <v>547</v>
      </c>
      <c r="H35" s="2017"/>
      <c r="I35" s="2017"/>
      <c r="J35" s="630" t="s">
        <v>743</v>
      </c>
      <c r="K35" s="884"/>
      <c r="AF35" s="1972">
        <v>57</v>
      </c>
    </row>
    <row s="17315" customFormat="1" customHeight="1" ht="24">
      <c r="A36" s="1330" t="s">
        <v>573</v>
      </c>
      <c r="C36" s="1977"/>
      <c r="D36" s="1979"/>
      <c r="E36" s="2005" t="s">
        <v>90</v>
      </c>
      <c r="F36" s="1048" t="s">
        <v>744</v>
      </c>
      <c r="G36" s="1984" t="s">
        <v>547</v>
      </c>
      <c r="H36" s="898"/>
      <c r="I36" s="898"/>
      <c r="J36" s="630" t="s">
        <v>745</v>
      </c>
      <c r="K36" s="884"/>
      <c r="L36" s="1977"/>
      <c r="M36" s="1977"/>
      <c r="R36" s="1977"/>
      <c r="U36" s="885"/>
      <c r="AA36" s="1973"/>
      <c r="AB36" s="1973"/>
      <c r="AC36" s="1973"/>
      <c r="AD36" s="1973"/>
      <c r="AE36" s="1973"/>
      <c r="AF36" s="1501">
        <v>23</v>
      </c>
    </row>
    <row s="17315" customFormat="1" customHeight="1" ht="35.699999999999996">
      <c r="A37" s="1330"/>
      <c r="C37" s="1977"/>
      <c r="D37" s="1979"/>
      <c r="E37" s="2005" t="s">
        <v>319</v>
      </c>
      <c r="F37" s="1295" t="s">
        <v>746</v>
      </c>
      <c r="G37" s="1995"/>
      <c r="H37" s="898"/>
      <c r="I37" s="898"/>
      <c r="J37" s="630"/>
      <c r="K37" s="884"/>
      <c r="L37" s="1977"/>
      <c r="M37" s="1977"/>
      <c r="R37" s="1977"/>
      <c r="U37" s="885"/>
      <c r="AA37" s="1973"/>
      <c r="AB37" s="1973"/>
      <c r="AC37" s="1973"/>
      <c r="AD37" s="1973"/>
      <c r="AE37" s="1973"/>
      <c r="AF37" s="1501">
        <v>34</v>
      </c>
    </row>
    <row s="17315" customFormat="1" customHeight="1" ht="19.95">
      <c r="A38" s="1328"/>
      <c r="C38" s="1977"/>
      <c r="D38" s="916"/>
      <c r="E38" s="2005" t="s">
        <v>91</v>
      </c>
      <c r="F38" s="1048" t="s">
        <v>747</v>
      </c>
      <c r="G38" s="1984" t="s">
        <v>547</v>
      </c>
      <c r="H38" s="898"/>
      <c r="I38" s="898"/>
      <c r="J38" s="630" t="s">
        <v>748</v>
      </c>
      <c r="K38" s="884"/>
      <c r="L38" s="1977"/>
      <c r="M38" s="1977"/>
      <c r="R38" s="1977"/>
      <c r="U38" s="885"/>
      <c r="AA38" s="1973"/>
      <c r="AB38" s="1973"/>
      <c r="AC38" s="1973"/>
      <c r="AD38" s="1973"/>
      <c r="AE38" s="1973"/>
      <c r="AF38" s="1501">
        <v>19</v>
      </c>
    </row>
    <row s="17315" customFormat="1" customHeight="1" ht="24">
      <c r="A39" s="1328"/>
      <c r="C39" s="1977"/>
      <c r="D39" s="916"/>
      <c r="E39" s="2005" t="s">
        <v>749</v>
      </c>
      <c r="F39" s="1295" t="s">
        <v>750</v>
      </c>
      <c r="G39" s="1995" t="s">
        <v>547</v>
      </c>
      <c r="H39" s="898"/>
      <c r="I39" s="898"/>
      <c r="J39" s="630" t="s">
        <v>751</v>
      </c>
      <c r="K39" s="884"/>
      <c r="L39" s="1977"/>
      <c r="M39" s="1977"/>
      <c r="R39" s="1977"/>
      <c r="U39" s="885"/>
      <c r="AA39" s="1973"/>
      <c r="AB39" s="1973"/>
      <c r="AC39" s="1973"/>
      <c r="AD39" s="1973"/>
      <c r="AE39" s="1973"/>
      <c r="AF39" s="1501">
        <v>23</v>
      </c>
    </row>
    <row s="17315" customFormat="1" customHeight="1" ht="24">
      <c r="A40" s="1328"/>
      <c r="C40" s="1977"/>
      <c r="D40" s="1979"/>
      <c r="E40" s="2005" t="s">
        <v>752</v>
      </c>
      <c r="F40" s="1991" t="s">
        <v>753</v>
      </c>
      <c r="G40" s="1984" t="s">
        <v>547</v>
      </c>
      <c r="H40" s="898"/>
      <c r="I40" s="898"/>
      <c r="J40" s="630" t="s">
        <v>754</v>
      </c>
      <c r="K40" s="884"/>
      <c r="L40" s="1977"/>
      <c r="M40" s="1977"/>
      <c r="R40" s="1977"/>
      <c r="U40" s="885"/>
      <c r="AA40" s="1973"/>
      <c r="AB40" s="1973"/>
      <c r="AC40" s="1973"/>
      <c r="AD40" s="1973"/>
      <c r="AE40" s="1973"/>
      <c r="AF40" s="1501">
        <v>23</v>
      </c>
    </row>
    <row s="17315" customFormat="1" customHeight="1" ht="24">
      <c r="A41" s="1328"/>
      <c r="C41" s="1977"/>
      <c r="D41" s="1979"/>
      <c r="E41" s="2005" t="s">
        <v>755</v>
      </c>
      <c r="F41" s="1991" t="s">
        <v>756</v>
      </c>
      <c r="G41" s="1984" t="s">
        <v>547</v>
      </c>
      <c r="H41" s="898"/>
      <c r="I41" s="898"/>
      <c r="J41" s="630" t="s">
        <v>757</v>
      </c>
      <c r="K41" s="884"/>
      <c r="L41" s="1977"/>
      <c r="M41" s="1977"/>
      <c r="R41" s="1977"/>
      <c r="U41" s="885"/>
      <c r="AA41" s="1973"/>
      <c r="AB41" s="1973"/>
      <c r="AC41" s="1973"/>
      <c r="AD41" s="1973"/>
      <c r="AE41" s="1973"/>
      <c r="AF41" s="1501">
        <v>23</v>
      </c>
    </row>
    <row s="17315" customFormat="1" customHeight="1" ht="24">
      <c r="A42" s="1328"/>
      <c r="C42" s="1977"/>
      <c r="D42" s="1979"/>
      <c r="E42" s="2005" t="s">
        <v>758</v>
      </c>
      <c r="F42" s="1991" t="s">
        <v>759</v>
      </c>
      <c r="G42" s="1984" t="s">
        <v>547</v>
      </c>
      <c r="H42" s="898"/>
      <c r="I42" s="898"/>
      <c r="J42" s="630" t="s">
        <v>760</v>
      </c>
      <c r="K42" s="884"/>
      <c r="L42" s="1977"/>
      <c r="M42" s="1977"/>
      <c r="R42" s="1977"/>
      <c r="U42" s="885"/>
      <c r="AA42" s="1973"/>
      <c r="AB42" s="1973"/>
      <c r="AC42" s="1973"/>
      <c r="AD42" s="1973"/>
      <c r="AE42" s="1973"/>
      <c r="AF42" s="1501">
        <v>23</v>
      </c>
    </row>
    <row s="17315" customFormat="1" customHeight="1" ht="35.699999999999996">
      <c r="A43" s="1328"/>
      <c r="C43" s="1977" t="s">
        <v>583</v>
      </c>
      <c r="D43" s="1979"/>
      <c r="E43" s="2005" t="s">
        <v>108</v>
      </c>
      <c r="F43" s="1048" t="s">
        <v>624</v>
      </c>
      <c r="G43" s="1987" t="s">
        <v>761</v>
      </c>
      <c r="H43" s="742"/>
      <c r="I43" s="742"/>
      <c r="J43" s="630" t="s">
        <v>762</v>
      </c>
      <c r="K43" s="884"/>
      <c r="L43" s="1977"/>
      <c r="M43" s="1977"/>
      <c r="R43" s="1977"/>
      <c r="U43" s="885"/>
      <c r="AA43" s="1973"/>
      <c r="AB43" s="1973"/>
      <c r="AC43" s="1973"/>
      <c r="AD43" s="1973"/>
      <c r="AE43" s="1973"/>
      <c r="AF43" s="1501">
        <v>34</v>
      </c>
    </row>
    <row s="17315" customFormat="1" customHeight="1" ht="35.699999999999996">
      <c r="A44" s="1328"/>
      <c r="C44" s="1977"/>
      <c r="D44" s="1979"/>
      <c r="E44" s="2005" t="s">
        <v>92</v>
      </c>
      <c r="F44" s="1048" t="s">
        <v>763</v>
      </c>
      <c r="G44" s="1984" t="s">
        <v>764</v>
      </c>
      <c r="H44" s="886"/>
      <c r="I44" s="886"/>
      <c r="J44" s="630" t="s">
        <v>765</v>
      </c>
      <c r="K44" s="884"/>
      <c r="L44" s="1977"/>
      <c r="M44" s="1977"/>
      <c r="R44" s="1977"/>
      <c r="U44" s="885"/>
      <c r="AA44" s="1973"/>
      <c r="AB44" s="1973"/>
      <c r="AC44" s="1973"/>
      <c r="AD44" s="1973"/>
      <c r="AE44" s="1973"/>
      <c r="AF44" s="1501">
        <v>34</v>
      </c>
    </row>
    <row s="17315" customFormat="1" customHeight="1" ht="24">
      <c r="A45" s="1328"/>
      <c r="C45" s="1977"/>
      <c r="D45" s="1979"/>
      <c r="E45" s="2005" t="s">
        <v>93</v>
      </c>
      <c r="F45" s="1048" t="s">
        <v>766</v>
      </c>
      <c r="G45" s="1995" t="s">
        <v>767</v>
      </c>
      <c r="H45" s="886"/>
      <c r="I45" s="886"/>
      <c r="J45" s="630" t="s">
        <v>768</v>
      </c>
      <c r="K45" s="884"/>
      <c r="L45" s="1977"/>
      <c r="M45" s="1977"/>
      <c r="R45" s="1977"/>
      <c r="U45" s="885"/>
      <c r="AA45" s="1973"/>
      <c r="AB45" s="1973"/>
      <c r="AC45" s="1973"/>
      <c r="AD45" s="1973"/>
      <c r="AE45" s="1973"/>
      <c r="AF45" s="1501">
        <v>23</v>
      </c>
    </row>
    <row s="17315" customFormat="1" customHeight="1" ht="19.95">
      <c r="A46" s="1328"/>
      <c r="C46" s="1977"/>
      <c r="D46" s="1979"/>
      <c r="E46" s="2005" t="s">
        <v>109</v>
      </c>
      <c r="F46" s="1048" t="s">
        <v>769</v>
      </c>
      <c r="G46" s="1984" t="s">
        <v>585</v>
      </c>
      <c r="H46" s="918"/>
      <c r="I46" s="918"/>
      <c r="J46" s="630"/>
      <c r="K46" s="884"/>
      <c r="L46" s="1977"/>
      <c r="M46" s="1977"/>
      <c r="R46" s="1977"/>
      <c r="U46" s="885"/>
      <c r="AA46" s="1973"/>
      <c r="AB46" s="1973"/>
      <c r="AC46" s="1973"/>
      <c r="AD46" s="1973"/>
      <c r="AE46" s="1973"/>
      <c r="AF46" s="1501">
        <v>19</v>
      </c>
    </row>
    <row customHeight="1" ht="11.549999999999999">
      <c r="D47" s="1979"/>
      <c r="AF47" s="1972">
        <v>11</v>
      </c>
    </row>
    <row s="17832" customFormat="1" customHeight="1" ht="11.549999999999999">
      <c r="A48" s="1328"/>
      <c r="B48" s="1977"/>
      <c r="C48" s="1977"/>
      <c r="D48" s="692"/>
      <c r="K48" s="1501"/>
      <c r="L48" s="1977"/>
      <c r="M48" s="1977"/>
      <c r="N48" s="1501"/>
      <c r="O48" s="1501"/>
      <c r="P48" s="1501"/>
      <c r="Q48" s="1501"/>
      <c r="R48" s="1977"/>
      <c r="S48" s="1501"/>
      <c r="T48" s="1501"/>
      <c r="U48" s="885"/>
      <c r="V48" s="1501"/>
      <c r="W48" s="1501"/>
      <c r="X48" s="1501"/>
      <c r="Y48" s="1501"/>
      <c r="Z48" s="1501"/>
      <c r="AA48" s="1973"/>
      <c r="AB48" s="907"/>
      <c r="AC48" s="907"/>
      <c r="AD48" s="907"/>
      <c r="AE48" s="907"/>
      <c r="AF48" s="1982">
        <v>11</v>
      </c>
    </row>
    <row s="17832" customFormat="1" customHeight="1" ht="11.549999999999999">
      <c r="A49" s="1328"/>
      <c r="B49" s="1977"/>
      <c r="C49" s="1977"/>
      <c r="D49" s="692"/>
      <c r="K49" s="1501"/>
      <c r="L49" s="1977"/>
      <c r="M49" s="1977"/>
      <c r="N49" s="1501"/>
      <c r="O49" s="1501"/>
      <c r="P49" s="1501"/>
      <c r="Q49" s="1501"/>
      <c r="R49" s="1977"/>
      <c r="S49" s="1501"/>
      <c r="T49" s="1501"/>
      <c r="U49" s="885"/>
      <c r="V49" s="1501"/>
      <c r="W49" s="1501"/>
      <c r="X49" s="1501"/>
      <c r="Y49" s="1501"/>
      <c r="Z49" s="1501"/>
      <c r="AA49" s="1973"/>
      <c r="AB49" s="907"/>
      <c r="AC49" s="907"/>
      <c r="AD49" s="907"/>
      <c r="AE49" s="907"/>
      <c r="AF49" s="1982">
        <v>11</v>
      </c>
    </row>
    <row s="17832" customFormat="1" customHeight="1" ht="11.549999999999999">
      <c r="A50" s="1328"/>
      <c r="B50" s="1977"/>
      <c r="C50" s="1977"/>
      <c r="D50" s="692"/>
      <c r="H50" s="907"/>
      <c r="I50" s="907"/>
      <c r="K50" s="1501"/>
      <c r="L50" s="1977"/>
      <c r="M50" s="1977"/>
      <c r="N50" s="1501"/>
      <c r="O50" s="1501"/>
      <c r="P50" s="1501"/>
      <c r="Q50" s="1501"/>
      <c r="R50" s="1977"/>
      <c r="S50" s="1501"/>
      <c r="T50" s="1501"/>
      <c r="U50" s="885"/>
      <c r="V50" s="1501"/>
      <c r="W50" s="1501"/>
      <c r="X50" s="1501"/>
      <c r="Y50" s="1501"/>
      <c r="Z50" s="1501"/>
      <c r="AA50" s="1973"/>
      <c r="AB50" s="907"/>
      <c r="AC50" s="907"/>
      <c r="AD50" s="907"/>
      <c r="AE50" s="907"/>
      <c r="AF50" s="1982">
        <v>11</v>
      </c>
    </row>
    <row s="17832" customFormat="1" customHeight="1" ht="11.549999999999999">
      <c r="A51" s="1328"/>
      <c r="B51" s="1977"/>
      <c r="C51" s="1977"/>
      <c r="D51" s="692"/>
      <c r="K51" s="1501"/>
      <c r="L51" s="1977"/>
      <c r="M51" s="1977"/>
      <c r="N51" s="1501"/>
      <c r="O51" s="1501"/>
      <c r="P51" s="1501"/>
      <c r="Q51" s="1501"/>
      <c r="R51" s="1977"/>
      <c r="S51" s="1501"/>
      <c r="T51" s="1501"/>
      <c r="U51" s="885"/>
      <c r="V51" s="1501"/>
      <c r="W51" s="1501"/>
      <c r="X51" s="1501"/>
      <c r="Y51" s="1501"/>
      <c r="Z51" s="1501"/>
      <c r="AA51" s="1973"/>
      <c r="AB51" s="907"/>
      <c r="AC51" s="907"/>
      <c r="AD51" s="907"/>
      <c r="AE51" s="907"/>
      <c r="AF51" s="1982">
        <v>11</v>
      </c>
    </row>
    <row s="17832" customFormat="1" customHeight="1" ht="11.549999999999999">
      <c r="A52" s="1328"/>
      <c r="B52" s="1977"/>
      <c r="C52" s="1977"/>
      <c r="D52" s="692"/>
      <c r="K52" s="1501"/>
      <c r="L52" s="1977"/>
      <c r="M52" s="1977"/>
      <c r="N52" s="1501"/>
      <c r="O52" s="1501"/>
      <c r="P52" s="1501"/>
      <c r="Q52" s="1501"/>
      <c r="R52" s="1977"/>
      <c r="S52" s="1501"/>
      <c r="T52" s="1501"/>
      <c r="U52" s="885"/>
      <c r="V52" s="1501"/>
      <c r="W52" s="1501"/>
      <c r="X52" s="1501"/>
      <c r="Y52" s="1501"/>
      <c r="Z52" s="1501"/>
      <c r="AA52" s="1973"/>
      <c r="AB52" s="907"/>
      <c r="AC52" s="907"/>
      <c r="AD52" s="907"/>
      <c r="AE52" s="907"/>
      <c r="AF52" s="1982">
        <v>11</v>
      </c>
    </row>
    <row s="17832" customFormat="1" customHeight="1" ht="11.549999999999999">
      <c r="A53" s="1328"/>
      <c r="B53" s="1977"/>
      <c r="C53" s="1977"/>
      <c r="D53" s="692"/>
      <c r="K53" s="1501"/>
      <c r="L53" s="1977"/>
      <c r="M53" s="1977"/>
      <c r="N53" s="1501"/>
      <c r="O53" s="1501"/>
      <c r="P53" s="1501"/>
      <c r="Q53" s="1501"/>
      <c r="R53" s="1977"/>
      <c r="S53" s="1501"/>
      <c r="T53" s="1501"/>
      <c r="U53" s="885"/>
      <c r="V53" s="1501"/>
      <c r="W53" s="1501"/>
      <c r="X53" s="1501"/>
      <c r="Y53" s="1501"/>
      <c r="Z53" s="1501"/>
      <c r="AA53" s="1973"/>
      <c r="AB53" s="907"/>
      <c r="AC53" s="907"/>
      <c r="AD53" s="907"/>
      <c r="AE53" s="907"/>
      <c r="AF53" s="1982">
        <v>11</v>
      </c>
    </row>
    <row s="17832" customFormat="1" customHeight="1" ht="11.549999999999999">
      <c r="A54" s="1328"/>
      <c r="B54" s="1977"/>
      <c r="C54" s="1977"/>
      <c r="D54" s="692"/>
      <c r="K54" s="1501"/>
      <c r="L54" s="1977"/>
      <c r="M54" s="1977"/>
      <c r="N54" s="1501"/>
      <c r="O54" s="1501"/>
      <c r="P54" s="1501"/>
      <c r="Q54" s="1501"/>
      <c r="R54" s="1977"/>
      <c r="S54" s="1501"/>
      <c r="T54" s="1501"/>
      <c r="U54" s="885"/>
      <c r="V54" s="1501"/>
      <c r="W54" s="1501"/>
      <c r="X54" s="1501"/>
      <c r="Y54" s="1501"/>
      <c r="Z54" s="1501"/>
      <c r="AA54" s="1973"/>
      <c r="AB54" s="907"/>
      <c r="AC54" s="907"/>
      <c r="AD54" s="907"/>
      <c r="AE54" s="907"/>
      <c r="AF54" s="1982">
        <v>11</v>
      </c>
    </row>
    <row s="17832" customFormat="1" customHeight="1" ht="11.549999999999999">
      <c r="A55" s="1328"/>
      <c r="B55" s="1977"/>
      <c r="C55" s="1977"/>
      <c r="D55" s="692"/>
      <c r="K55" s="1501"/>
      <c r="L55" s="1977"/>
      <c r="M55" s="1977"/>
      <c r="N55" s="1501"/>
      <c r="O55" s="1501"/>
      <c r="P55" s="1501"/>
      <c r="Q55" s="1501"/>
      <c r="R55" s="1977"/>
      <c r="S55" s="1501"/>
      <c r="T55" s="1501"/>
      <c r="U55" s="885"/>
      <c r="V55" s="1501"/>
      <c r="W55" s="1501"/>
      <c r="X55" s="1501"/>
      <c r="Y55" s="1501"/>
      <c r="Z55" s="1501"/>
      <c r="AA55" s="1973"/>
      <c r="AB55" s="907"/>
      <c r="AC55" s="907"/>
      <c r="AD55" s="907"/>
      <c r="AE55" s="907"/>
      <c r="AF55" s="1982">
        <v>11</v>
      </c>
    </row>
    <row s="17832" customFormat="1" customHeight="1" ht="11.549999999999999">
      <c r="A56" s="1328"/>
      <c r="B56" s="1977"/>
      <c r="C56" s="1977"/>
      <c r="D56" s="692"/>
      <c r="K56" s="1501"/>
      <c r="L56" s="1977"/>
      <c r="M56" s="1977"/>
      <c r="N56" s="1501"/>
      <c r="O56" s="1501"/>
      <c r="P56" s="1501"/>
      <c r="Q56" s="1501"/>
      <c r="R56" s="1977"/>
      <c r="S56" s="1501"/>
      <c r="T56" s="1501"/>
      <c r="U56" s="885"/>
      <c r="V56" s="1501"/>
      <c r="W56" s="1501"/>
      <c r="X56" s="1501"/>
      <c r="Y56" s="1501"/>
      <c r="Z56" s="1501"/>
      <c r="AA56" s="1973"/>
      <c r="AB56" s="907"/>
      <c r="AC56" s="907"/>
      <c r="AD56" s="907"/>
      <c r="AE56" s="907"/>
      <c r="AF56" s="1982">
        <v>11</v>
      </c>
    </row>
    <row s="17832" customFormat="1" customHeight="1" ht="11.549999999999999">
      <c r="A57" s="1328"/>
      <c r="B57" s="1977"/>
      <c r="C57" s="1977"/>
      <c r="D57" s="692"/>
      <c r="K57" s="1501"/>
      <c r="L57" s="1977"/>
      <c r="M57" s="1977"/>
      <c r="N57" s="1501"/>
      <c r="O57" s="1501"/>
      <c r="P57" s="1501"/>
      <c r="Q57" s="1501"/>
      <c r="R57" s="1977"/>
      <c r="S57" s="1501"/>
      <c r="T57" s="1501"/>
      <c r="U57" s="885"/>
      <c r="V57" s="1501"/>
      <c r="W57" s="1501"/>
      <c r="X57" s="1501"/>
      <c r="Y57" s="1501"/>
      <c r="Z57" s="1501"/>
      <c r="AA57" s="1973"/>
      <c r="AB57" s="907"/>
      <c r="AC57" s="907"/>
      <c r="AD57" s="907"/>
      <c r="AE57" s="907"/>
      <c r="AF57" s="1982">
        <v>11</v>
      </c>
    </row>
    <row s="17832" customFormat="1" customHeight="1" ht="11.549999999999999">
      <c r="A58" s="1328"/>
      <c r="B58" s="1977"/>
      <c r="C58" s="1977"/>
      <c r="D58" s="692"/>
      <c r="K58" s="1501"/>
      <c r="L58" s="1977"/>
      <c r="M58" s="1977"/>
      <c r="N58" s="1501"/>
      <c r="O58" s="1501"/>
      <c r="P58" s="1501"/>
      <c r="Q58" s="1501"/>
      <c r="R58" s="1977"/>
      <c r="S58" s="1501"/>
      <c r="T58" s="1501"/>
      <c r="U58" s="885"/>
      <c r="V58" s="1501"/>
      <c r="W58" s="1501"/>
      <c r="X58" s="1501"/>
      <c r="Y58" s="1501"/>
      <c r="Z58" s="1501"/>
      <c r="AA58" s="1973"/>
      <c r="AB58" s="907"/>
      <c r="AC58" s="907"/>
      <c r="AD58" s="907"/>
      <c r="AE58" s="907"/>
      <c r="AF58" s="1982">
        <v>11</v>
      </c>
    </row>
    <row s="17832" customFormat="1" customHeight="1" ht="11.549999999999999">
      <c r="A59" s="1328"/>
      <c r="B59" s="1977"/>
      <c r="C59" s="1977"/>
      <c r="D59" s="692"/>
      <c r="K59" s="1501"/>
      <c r="L59" s="1977"/>
      <c r="M59" s="1977"/>
      <c r="N59" s="1501"/>
      <c r="O59" s="1501"/>
      <c r="P59" s="1501"/>
      <c r="Q59" s="1501"/>
      <c r="R59" s="1977"/>
      <c r="S59" s="1501"/>
      <c r="T59" s="1501"/>
      <c r="U59" s="885"/>
      <c r="V59" s="1501"/>
      <c r="W59" s="1501"/>
      <c r="X59" s="1501"/>
      <c r="Y59" s="1501"/>
      <c r="Z59" s="1501"/>
      <c r="AA59" s="1973"/>
      <c r="AB59" s="907"/>
      <c r="AC59" s="907"/>
      <c r="AD59" s="907"/>
      <c r="AE59" s="907"/>
      <c r="AF59" s="1982">
        <v>11</v>
      </c>
    </row>
    <row s="17832" customFormat="1" customHeight="1" ht="11.549999999999999">
      <c r="A60" s="1328"/>
      <c r="B60" s="1977"/>
      <c r="C60" s="1977"/>
      <c r="D60" s="692"/>
      <c r="K60" s="1501"/>
      <c r="L60" s="1977"/>
      <c r="M60" s="1977"/>
      <c r="N60" s="1501"/>
      <c r="O60" s="1501"/>
      <c r="P60" s="1501"/>
      <c r="Q60" s="1501"/>
      <c r="R60" s="1977"/>
      <c r="S60" s="1501"/>
      <c r="T60" s="1501"/>
      <c r="U60" s="885"/>
      <c r="V60" s="1501"/>
      <c r="W60" s="1501"/>
      <c r="X60" s="1501"/>
      <c r="Y60" s="1501"/>
      <c r="Z60" s="1501"/>
      <c r="AA60" s="1973"/>
      <c r="AB60" s="907"/>
      <c r="AC60" s="907"/>
      <c r="AD60" s="907"/>
      <c r="AE60" s="907"/>
      <c r="AF60" s="1982">
        <v>11</v>
      </c>
    </row>
    <row s="17832" customFormat="1" customHeight="1" ht="11.549999999999999">
      <c r="A61" s="1328"/>
      <c r="B61" s="1977"/>
      <c r="C61" s="1977"/>
      <c r="D61" s="692"/>
      <c r="K61" s="1501"/>
      <c r="L61" s="1977"/>
      <c r="M61" s="1977"/>
      <c r="N61" s="1501"/>
      <c r="O61" s="1501"/>
      <c r="P61" s="1501"/>
      <c r="Q61" s="1501"/>
      <c r="R61" s="1977"/>
      <c r="S61" s="1501"/>
      <c r="T61" s="1501"/>
      <c r="U61" s="885"/>
      <c r="V61" s="1501"/>
      <c r="W61" s="1501"/>
      <c r="X61" s="1501"/>
      <c r="Y61" s="1501"/>
      <c r="Z61" s="1501"/>
      <c r="AA61" s="1973"/>
      <c r="AB61" s="907"/>
      <c r="AC61" s="907"/>
      <c r="AD61" s="907"/>
      <c r="AE61" s="907"/>
      <c r="AF61" s="1982">
        <v>11</v>
      </c>
    </row>
    <row s="17832" customFormat="1" customHeight="1" ht="11.549999999999999">
      <c r="A62" s="1328"/>
      <c r="B62" s="1977"/>
      <c r="C62" s="1977"/>
      <c r="D62" s="692"/>
      <c r="K62" s="1501"/>
      <c r="L62" s="1977"/>
      <c r="M62" s="1977"/>
      <c r="N62" s="1501"/>
      <c r="O62" s="1501"/>
      <c r="P62" s="1501"/>
      <c r="Q62" s="1501"/>
      <c r="R62" s="1977"/>
      <c r="S62" s="1501"/>
      <c r="T62" s="1501"/>
      <c r="U62" s="885"/>
      <c r="V62" s="1501"/>
      <c r="W62" s="1501"/>
      <c r="X62" s="1501"/>
      <c r="Y62" s="1501"/>
      <c r="Z62" s="1501"/>
      <c r="AA62" s="1973"/>
      <c r="AB62" s="907"/>
      <c r="AC62" s="907"/>
      <c r="AD62" s="907"/>
      <c r="AE62" s="907"/>
      <c r="AF62" s="1982">
        <v>11</v>
      </c>
    </row>
    <row s="17832" customFormat="1" customHeight="1" ht="11.549999999999999">
      <c r="A63" s="1328"/>
      <c r="B63" s="1977"/>
      <c r="C63" s="1977"/>
      <c r="D63" s="692"/>
      <c r="K63" s="1501"/>
      <c r="L63" s="1977"/>
      <c r="M63" s="1977"/>
      <c r="N63" s="1501"/>
      <c r="O63" s="1501"/>
      <c r="P63" s="1501"/>
      <c r="Q63" s="1501"/>
      <c r="R63" s="1977"/>
      <c r="S63" s="1501"/>
      <c r="T63" s="1501"/>
      <c r="U63" s="885"/>
      <c r="V63" s="1501"/>
      <c r="W63" s="1501"/>
      <c r="X63" s="1501"/>
      <c r="Y63" s="1501"/>
      <c r="Z63" s="1501"/>
      <c r="AA63" s="1973"/>
      <c r="AB63" s="907"/>
      <c r="AC63" s="907"/>
      <c r="AD63" s="907"/>
      <c r="AE63" s="907"/>
      <c r="AF63" s="1982">
        <v>11</v>
      </c>
    </row>
    <row s="17832" customFormat="1" customHeight="1" ht="11.549999999999999">
      <c r="A64" s="1328"/>
      <c r="B64" s="1977"/>
      <c r="C64" s="1977"/>
      <c r="D64" s="692"/>
      <c r="K64" s="1501"/>
      <c r="L64" s="1977"/>
      <c r="M64" s="1977"/>
      <c r="N64" s="1501"/>
      <c r="O64" s="1501"/>
      <c r="P64" s="1501"/>
      <c r="Q64" s="1501"/>
      <c r="R64" s="1977"/>
      <c r="S64" s="1501"/>
      <c r="T64" s="1501"/>
      <c r="U64" s="885"/>
      <c r="V64" s="1501"/>
      <c r="W64" s="1501"/>
      <c r="X64" s="1501"/>
      <c r="Y64" s="1501"/>
      <c r="Z64" s="1501"/>
      <c r="AA64" s="1973"/>
      <c r="AB64" s="907"/>
      <c r="AC64" s="907"/>
      <c r="AD64" s="907"/>
      <c r="AE64" s="907"/>
      <c r="AF64" s="1982">
        <v>11</v>
      </c>
    </row>
    <row s="17832" customFormat="1" customHeight="1" ht="11.549999999999999">
      <c r="A65" s="1328"/>
      <c r="B65" s="1977"/>
      <c r="C65" s="1977"/>
      <c r="D65" s="692"/>
      <c r="K65" s="1501"/>
      <c r="L65" s="1977"/>
      <c r="M65" s="1977"/>
      <c r="N65" s="1501"/>
      <c r="O65" s="1501"/>
      <c r="P65" s="1501"/>
      <c r="Q65" s="1501"/>
      <c r="R65" s="1977"/>
      <c r="S65" s="1501"/>
      <c r="T65" s="1501"/>
      <c r="U65" s="885"/>
      <c r="V65" s="1501"/>
      <c r="W65" s="1501"/>
      <c r="X65" s="1501"/>
      <c r="Y65" s="1501"/>
      <c r="Z65" s="1501"/>
      <c r="AA65" s="1973"/>
      <c r="AB65" s="907"/>
      <c r="AC65" s="907"/>
      <c r="AD65" s="907"/>
      <c r="AE65" s="907"/>
      <c r="AF65" s="1982">
        <v>11</v>
      </c>
    </row>
    <row s="17832" customFormat="1" customHeight="1" ht="11.549999999999999">
      <c r="A66" s="1328"/>
      <c r="B66" s="1977"/>
      <c r="C66" s="1977"/>
      <c r="D66" s="692"/>
      <c r="K66" s="1501"/>
      <c r="L66" s="1977"/>
      <c r="M66" s="1977"/>
      <c r="N66" s="1501"/>
      <c r="O66" s="1501"/>
      <c r="P66" s="1501"/>
      <c r="Q66" s="1501"/>
      <c r="R66" s="1977"/>
      <c r="S66" s="1501"/>
      <c r="T66" s="1501"/>
      <c r="U66" s="885"/>
      <c r="V66" s="1501"/>
      <c r="W66" s="1501"/>
      <c r="X66" s="1501"/>
      <c r="Y66" s="1501"/>
      <c r="Z66" s="1501"/>
      <c r="AA66" s="1973"/>
      <c r="AB66" s="907"/>
      <c r="AC66" s="907"/>
      <c r="AD66" s="907"/>
      <c r="AE66" s="907"/>
      <c r="AF66" s="1982">
        <v>11</v>
      </c>
    </row>
    <row s="17832" customFormat="1" customHeight="1" ht="11.549999999999999">
      <c r="A67" s="1328"/>
      <c r="B67" s="1977"/>
      <c r="C67" s="1977"/>
      <c r="D67" s="692"/>
      <c r="K67" s="1501"/>
      <c r="L67" s="1977"/>
      <c r="M67" s="1977"/>
      <c r="N67" s="1501"/>
      <c r="O67" s="1501"/>
      <c r="P67" s="1501"/>
      <c r="Q67" s="1501"/>
      <c r="R67" s="1977"/>
      <c r="S67" s="1501"/>
      <c r="T67" s="1501"/>
      <c r="U67" s="885"/>
      <c r="V67" s="1501"/>
      <c r="W67" s="1501"/>
      <c r="X67" s="1501"/>
      <c r="Y67" s="1501"/>
      <c r="Z67" s="1501"/>
      <c r="AA67" s="1973"/>
      <c r="AB67" s="907"/>
      <c r="AC67" s="907"/>
      <c r="AD67" s="907"/>
      <c r="AE67" s="907"/>
      <c r="AF67" s="1982">
        <v>11</v>
      </c>
    </row>
    <row s="17832" customFormat="1" customHeight="1" ht="11.549999999999999">
      <c r="A68" s="1328"/>
      <c r="B68" s="1977"/>
      <c r="C68" s="1977"/>
      <c r="D68" s="692"/>
      <c r="K68" s="1501"/>
      <c r="L68" s="1977"/>
      <c r="M68" s="1977"/>
      <c r="N68" s="1501"/>
      <c r="O68" s="1501"/>
      <c r="P68" s="1501"/>
      <c r="Q68" s="1501"/>
      <c r="R68" s="1977"/>
      <c r="S68" s="1501"/>
      <c r="T68" s="1501"/>
      <c r="U68" s="885"/>
      <c r="V68" s="1501"/>
      <c r="W68" s="1501"/>
      <c r="X68" s="1501"/>
      <c r="Y68" s="1501"/>
      <c r="Z68" s="1501"/>
      <c r="AA68" s="1973"/>
      <c r="AB68" s="907"/>
      <c r="AC68" s="907"/>
      <c r="AD68" s="907"/>
      <c r="AE68" s="907"/>
      <c r="AF68" s="1982">
        <v>11</v>
      </c>
    </row>
    <row s="17832" customFormat="1" customHeight="1" ht="11.549999999999999">
      <c r="A69" s="1328"/>
      <c r="B69" s="1977"/>
      <c r="C69" s="1977"/>
      <c r="D69" s="692"/>
      <c r="K69" s="1501"/>
      <c r="L69" s="1977"/>
      <c r="M69" s="1977"/>
      <c r="N69" s="1501"/>
      <c r="O69" s="1501"/>
      <c r="P69" s="1501"/>
      <c r="Q69" s="1501"/>
      <c r="R69" s="1977"/>
      <c r="S69" s="1501"/>
      <c r="T69" s="1501"/>
      <c r="U69" s="885"/>
      <c r="V69" s="1501"/>
      <c r="W69" s="1501"/>
      <c r="X69" s="1501"/>
      <c r="Y69" s="1501"/>
      <c r="Z69" s="1501"/>
      <c r="AA69" s="1973"/>
      <c r="AB69" s="907"/>
      <c r="AC69" s="907"/>
      <c r="AD69" s="907"/>
      <c r="AE69" s="907"/>
      <c r="AF69" s="1982">
        <v>11</v>
      </c>
    </row>
    <row s="17832" customFormat="1" customHeight="1" ht="11.549999999999999">
      <c r="A70" s="1328"/>
      <c r="B70" s="1977"/>
      <c r="C70" s="1977"/>
      <c r="D70" s="692"/>
      <c r="K70" s="1501"/>
      <c r="L70" s="1977"/>
      <c r="M70" s="1977"/>
      <c r="N70" s="1501"/>
      <c r="O70" s="1501"/>
      <c r="P70" s="1501"/>
      <c r="Q70" s="1501"/>
      <c r="R70" s="1977"/>
      <c r="S70" s="1501"/>
      <c r="T70" s="1501"/>
      <c r="U70" s="885"/>
      <c r="V70" s="1501"/>
      <c r="W70" s="1501"/>
      <c r="X70" s="1501"/>
      <c r="Y70" s="1501"/>
      <c r="Z70" s="1501"/>
      <c r="AA70" s="1973"/>
      <c r="AB70" s="907"/>
      <c r="AC70" s="907"/>
      <c r="AD70" s="907"/>
      <c r="AE70" s="907"/>
      <c r="AF70" s="1982">
        <v>11</v>
      </c>
    </row>
    <row s="17832" customFormat="1" customHeight="1" ht="11.549999999999999">
      <c r="A71" s="1328"/>
      <c r="B71" s="1977"/>
      <c r="C71" s="1977"/>
      <c r="D71" s="692"/>
      <c r="K71" s="1501"/>
      <c r="L71" s="1977"/>
      <c r="M71" s="1977"/>
      <c r="N71" s="1501"/>
      <c r="O71" s="1501"/>
      <c r="P71" s="1501"/>
      <c r="Q71" s="1501"/>
      <c r="R71" s="1977"/>
      <c r="S71" s="1501"/>
      <c r="T71" s="1501"/>
      <c r="U71" s="885"/>
      <c r="V71" s="1501"/>
      <c r="W71" s="1501"/>
      <c r="X71" s="1501"/>
      <c r="Y71" s="1501"/>
      <c r="Z71" s="1501"/>
      <c r="AA71" s="1973"/>
      <c r="AB71" s="907"/>
      <c r="AC71" s="907"/>
      <c r="AD71" s="907"/>
      <c r="AE71" s="907"/>
      <c r="AF71" s="1982">
        <v>11</v>
      </c>
    </row>
    <row s="17832" customFormat="1" customHeight="1" ht="11.549999999999999">
      <c r="A72" s="1328"/>
      <c r="B72" s="1977"/>
      <c r="C72" s="1977"/>
      <c r="D72" s="692"/>
      <c r="K72" s="1501"/>
      <c r="L72" s="1977"/>
      <c r="M72" s="1977"/>
      <c r="N72" s="1501"/>
      <c r="O72" s="1501"/>
      <c r="P72" s="1501"/>
      <c r="Q72" s="1501"/>
      <c r="R72" s="1977"/>
      <c r="S72" s="1501"/>
      <c r="T72" s="1501"/>
      <c r="U72" s="885"/>
      <c r="V72" s="1501"/>
      <c r="W72" s="1501"/>
      <c r="X72" s="1501"/>
      <c r="Y72" s="1501"/>
      <c r="Z72" s="1501"/>
      <c r="AA72" s="1973"/>
      <c r="AB72" s="907"/>
      <c r="AC72" s="907"/>
      <c r="AD72" s="907"/>
      <c r="AE72" s="907"/>
      <c r="AF72" s="1982">
        <v>11</v>
      </c>
    </row>
    <row s="17832" customFormat="1" customHeight="1" ht="11.549999999999999">
      <c r="A73" s="1328"/>
      <c r="B73" s="1977"/>
      <c r="C73" s="1977"/>
      <c r="D73" s="692"/>
      <c r="K73" s="1501"/>
      <c r="L73" s="1977"/>
      <c r="M73" s="1977"/>
      <c r="N73" s="1501"/>
      <c r="O73" s="1501"/>
      <c r="P73" s="1501"/>
      <c r="Q73" s="1501"/>
      <c r="R73" s="1977"/>
      <c r="S73" s="1501"/>
      <c r="T73" s="1501"/>
      <c r="U73" s="885"/>
      <c r="V73" s="1501"/>
      <c r="W73" s="1501"/>
      <c r="X73" s="1501"/>
      <c r="Y73" s="1501"/>
      <c r="Z73" s="1501"/>
      <c r="AA73" s="1973"/>
      <c r="AB73" s="907"/>
      <c r="AC73" s="907"/>
      <c r="AD73" s="907"/>
      <c r="AE73" s="907"/>
      <c r="AF73" s="1982">
        <v>11</v>
      </c>
    </row>
    <row s="17832" customFormat="1" customHeight="1" ht="11.549999999999999">
      <c r="A74" s="1328"/>
      <c r="B74" s="1977"/>
      <c r="C74" s="1977"/>
      <c r="D74" s="692"/>
      <c r="K74" s="1501"/>
      <c r="L74" s="1977"/>
      <c r="M74" s="1977"/>
      <c r="N74" s="1501"/>
      <c r="O74" s="1501"/>
      <c r="P74" s="1501"/>
      <c r="Q74" s="1501"/>
      <c r="R74" s="1977"/>
      <c r="S74" s="1501"/>
      <c r="T74" s="1501"/>
      <c r="U74" s="885"/>
      <c r="V74" s="1501"/>
      <c r="W74" s="1501"/>
      <c r="X74" s="1501"/>
      <c r="Y74" s="1501"/>
      <c r="Z74" s="1501"/>
      <c r="AA74" s="1973"/>
      <c r="AB74" s="907"/>
      <c r="AC74" s="907"/>
      <c r="AD74" s="907"/>
      <c r="AE74" s="907"/>
      <c r="AF74" s="1982">
        <v>11</v>
      </c>
    </row>
    <row s="17832" customFormat="1" customHeight="1" ht="11.549999999999999">
      <c r="A75" s="1328"/>
      <c r="B75" s="1977"/>
      <c r="C75" s="1977"/>
      <c r="D75" s="692"/>
      <c r="K75" s="1501"/>
      <c r="L75" s="1977"/>
      <c r="M75" s="1977"/>
      <c r="N75" s="1501"/>
      <c r="O75" s="1501"/>
      <c r="P75" s="1501"/>
      <c r="Q75" s="1501"/>
      <c r="R75" s="1977"/>
      <c r="S75" s="1501"/>
      <c r="T75" s="1501"/>
      <c r="U75" s="885"/>
      <c r="V75" s="1501"/>
      <c r="W75" s="1501"/>
      <c r="X75" s="1501"/>
      <c r="Y75" s="1501"/>
      <c r="Z75" s="1501"/>
      <c r="AA75" s="1973"/>
      <c r="AB75" s="907"/>
      <c r="AC75" s="907"/>
      <c r="AD75" s="907"/>
      <c r="AE75" s="907"/>
      <c r="AF75" s="1982">
        <v>11</v>
      </c>
    </row>
    <row s="17832" customFormat="1" customHeight="1" ht="11.549999999999999">
      <c r="A76" s="1328"/>
      <c r="B76" s="1977"/>
      <c r="C76" s="1977"/>
      <c r="D76" s="692"/>
      <c r="K76" s="1501"/>
      <c r="L76" s="1977"/>
      <c r="M76" s="1977"/>
      <c r="N76" s="1501"/>
      <c r="O76" s="1501"/>
      <c r="P76" s="1501"/>
      <c r="Q76" s="1501"/>
      <c r="R76" s="1977"/>
      <c r="S76" s="1501"/>
      <c r="T76" s="1501"/>
      <c r="U76" s="885"/>
      <c r="V76" s="1501"/>
      <c r="W76" s="1501"/>
      <c r="X76" s="1501"/>
      <c r="Y76" s="1501"/>
      <c r="Z76" s="1501"/>
      <c r="AA76" s="1973"/>
      <c r="AB76" s="907"/>
      <c r="AC76" s="907"/>
      <c r="AD76" s="907"/>
      <c r="AE76" s="907"/>
      <c r="AF76" s="1982">
        <v>11</v>
      </c>
    </row>
    <row s="17832" customFormat="1" customHeight="1" ht="11.549999999999999">
      <c r="A77" s="1328"/>
      <c r="B77" s="1977"/>
      <c r="C77" s="1977"/>
      <c r="D77" s="692"/>
      <c r="K77" s="1501"/>
      <c r="L77" s="1977"/>
      <c r="M77" s="1977"/>
      <c r="N77" s="1501"/>
      <c r="O77" s="1501"/>
      <c r="P77" s="1501"/>
      <c r="Q77" s="1501"/>
      <c r="R77" s="1977"/>
      <c r="S77" s="1501"/>
      <c r="T77" s="1501"/>
      <c r="U77" s="885"/>
      <c r="V77" s="1501"/>
      <c r="W77" s="1501"/>
      <c r="X77" s="1501"/>
      <c r="Y77" s="1501"/>
      <c r="Z77" s="1501"/>
      <c r="AA77" s="1973"/>
      <c r="AB77" s="907"/>
      <c r="AC77" s="907"/>
      <c r="AD77" s="907"/>
      <c r="AE77" s="907"/>
      <c r="AF77" s="1982">
        <v>11</v>
      </c>
    </row>
    <row s="17832" customFormat="1" customHeight="1" ht="11.549999999999999">
      <c r="A78" s="1328"/>
      <c r="B78" s="1977"/>
      <c r="C78" s="1977"/>
      <c r="D78" s="692"/>
      <c r="K78" s="1501"/>
      <c r="L78" s="1977"/>
      <c r="M78" s="1977"/>
      <c r="N78" s="1501"/>
      <c r="O78" s="1501"/>
      <c r="P78" s="1501"/>
      <c r="Q78" s="1501"/>
      <c r="R78" s="1977"/>
      <c r="S78" s="1501"/>
      <c r="T78" s="1501"/>
      <c r="U78" s="885"/>
      <c r="V78" s="1501"/>
      <c r="W78" s="1501"/>
      <c r="X78" s="1501"/>
      <c r="Y78" s="1501"/>
      <c r="Z78" s="1501"/>
      <c r="AA78" s="1973"/>
      <c r="AB78" s="907"/>
      <c r="AC78" s="907"/>
      <c r="AD78" s="907"/>
      <c r="AE78" s="907"/>
      <c r="AF78" s="1982">
        <v>11</v>
      </c>
    </row>
    <row s="17832" customFormat="1" customHeight="1" ht="11.549999999999999">
      <c r="A79" s="1328"/>
      <c r="B79" s="1977"/>
      <c r="C79" s="1977"/>
      <c r="D79" s="692"/>
      <c r="K79" s="1501"/>
      <c r="L79" s="1977"/>
      <c r="M79" s="1977"/>
      <c r="N79" s="1501"/>
      <c r="O79" s="1501"/>
      <c r="P79" s="1501"/>
      <c r="Q79" s="1501"/>
      <c r="R79" s="1977"/>
      <c r="S79" s="1501"/>
      <c r="T79" s="1501"/>
      <c r="U79" s="885"/>
      <c r="V79" s="1501"/>
      <c r="W79" s="1501"/>
      <c r="X79" s="1501"/>
      <c r="Y79" s="1501"/>
      <c r="Z79" s="1501"/>
      <c r="AA79" s="1973"/>
      <c r="AB79" s="907"/>
      <c r="AC79" s="907"/>
      <c r="AD79" s="907"/>
      <c r="AE79" s="907"/>
      <c r="AF79" s="1982">
        <v>11</v>
      </c>
    </row>
    <row s="17832" customFormat="1" customHeight="1" ht="11.549999999999999">
      <c r="A80" s="1328"/>
      <c r="B80" s="1977"/>
      <c r="C80" s="1977"/>
      <c r="D80" s="692"/>
      <c r="K80" s="1501"/>
      <c r="L80" s="1977"/>
      <c r="M80" s="1977"/>
      <c r="N80" s="1501"/>
      <c r="O80" s="1501"/>
      <c r="P80" s="1501"/>
      <c r="Q80" s="1501"/>
      <c r="R80" s="1977"/>
      <c r="S80" s="1501"/>
      <c r="T80" s="1501"/>
      <c r="U80" s="885"/>
      <c r="V80" s="1501"/>
      <c r="W80" s="1501"/>
      <c r="X80" s="1501"/>
      <c r="Y80" s="1501"/>
      <c r="Z80" s="1501"/>
      <c r="AA80" s="1973"/>
      <c r="AB80" s="907"/>
      <c r="AC80" s="907"/>
      <c r="AD80" s="907"/>
      <c r="AE80" s="907"/>
      <c r="AF80" s="1982">
        <v>11</v>
      </c>
    </row>
    <row s="17832" customFormat="1" customHeight="1" ht="11.549999999999999">
      <c r="A81" s="1328"/>
      <c r="B81" s="1977"/>
      <c r="C81" s="1977"/>
      <c r="D81" s="692"/>
      <c r="K81" s="1501"/>
      <c r="L81" s="1977"/>
      <c r="M81" s="1977"/>
      <c r="N81" s="1501"/>
      <c r="O81" s="1501"/>
      <c r="P81" s="1501"/>
      <c r="Q81" s="1501"/>
      <c r="R81" s="1977"/>
      <c r="S81" s="1501"/>
      <c r="T81" s="1501"/>
      <c r="U81" s="885"/>
      <c r="V81" s="1501"/>
      <c r="W81" s="1501"/>
      <c r="X81" s="1501"/>
      <c r="Y81" s="1501"/>
      <c r="Z81" s="1501"/>
      <c r="AA81" s="1973"/>
      <c r="AB81" s="907"/>
      <c r="AC81" s="907"/>
      <c r="AD81" s="907"/>
      <c r="AE81" s="907"/>
      <c r="AF81" s="1982">
        <v>11</v>
      </c>
    </row>
    <row s="17832" customFormat="1" customHeight="1" ht="11.549999999999999">
      <c r="A82" s="1328"/>
      <c r="B82" s="1977"/>
      <c r="C82" s="1977"/>
      <c r="D82" s="692"/>
      <c r="K82" s="1501"/>
      <c r="L82" s="1977"/>
      <c r="M82" s="1977"/>
      <c r="N82" s="1501"/>
      <c r="O82" s="1501"/>
      <c r="P82" s="1501"/>
      <c r="Q82" s="1501"/>
      <c r="R82" s="1977"/>
      <c r="S82" s="1501"/>
      <c r="T82" s="1501"/>
      <c r="U82" s="885"/>
      <c r="V82" s="1501"/>
      <c r="W82" s="1501"/>
      <c r="X82" s="1501"/>
      <c r="Y82" s="1501"/>
      <c r="Z82" s="1501"/>
      <c r="AA82" s="1973"/>
      <c r="AB82" s="907"/>
      <c r="AC82" s="907"/>
      <c r="AD82" s="907"/>
      <c r="AE82" s="907"/>
      <c r="AF82" s="1982">
        <v>11</v>
      </c>
    </row>
    <row s="17832" customFormat="1" customHeight="1" ht="11.549999999999999">
      <c r="A83" s="1328"/>
      <c r="B83" s="1977"/>
      <c r="C83" s="1977"/>
      <c r="D83" s="692"/>
      <c r="K83" s="1501"/>
      <c r="L83" s="1977"/>
      <c r="M83" s="1977"/>
      <c r="N83" s="1501"/>
      <c r="O83" s="1501"/>
      <c r="P83" s="1501"/>
      <c r="Q83" s="1501"/>
      <c r="R83" s="1977"/>
      <c r="S83" s="1501"/>
      <c r="T83" s="1501"/>
      <c r="U83" s="885"/>
      <c r="V83" s="1501"/>
      <c r="W83" s="1501"/>
      <c r="X83" s="1501"/>
      <c r="Y83" s="1501"/>
      <c r="Z83" s="1501"/>
      <c r="AA83" s="1973"/>
      <c r="AB83" s="907"/>
      <c r="AC83" s="907"/>
      <c r="AD83" s="907"/>
      <c r="AE83" s="907"/>
      <c r="AF83" s="1982">
        <v>11</v>
      </c>
    </row>
    <row s="17832" customFormat="1" customHeight="1" ht="11.549999999999999">
      <c r="A84" s="1328"/>
      <c r="B84" s="1977"/>
      <c r="C84" s="1977"/>
      <c r="D84" s="692"/>
      <c r="K84" s="1501"/>
      <c r="L84" s="1977"/>
      <c r="M84" s="1977"/>
      <c r="N84" s="1501"/>
      <c r="O84" s="1501"/>
      <c r="P84" s="1501"/>
      <c r="Q84" s="1501"/>
      <c r="R84" s="1977"/>
      <c r="S84" s="1501"/>
      <c r="T84" s="1501"/>
      <c r="U84" s="885"/>
      <c r="V84" s="1501"/>
      <c r="W84" s="1501"/>
      <c r="X84" s="1501"/>
      <c r="Y84" s="1501"/>
      <c r="Z84" s="1501"/>
      <c r="AA84" s="1973"/>
      <c r="AB84" s="907"/>
      <c r="AC84" s="907"/>
      <c r="AD84" s="907"/>
      <c r="AE84" s="907"/>
      <c r="AF84" s="1982">
        <v>11</v>
      </c>
    </row>
    <row s="17832" customFormat="1" customHeight="1" ht="11.549999999999999">
      <c r="A85" s="1328"/>
      <c r="B85" s="1977"/>
      <c r="C85" s="1977"/>
      <c r="D85" s="692"/>
      <c r="K85" s="1501"/>
      <c r="L85" s="1977"/>
      <c r="M85" s="1977"/>
      <c r="N85" s="1501"/>
      <c r="O85" s="1501"/>
      <c r="P85" s="1501"/>
      <c r="Q85" s="1501"/>
      <c r="R85" s="1977"/>
      <c r="S85" s="1501"/>
      <c r="T85" s="1501"/>
      <c r="U85" s="885"/>
      <c r="V85" s="1501"/>
      <c r="W85" s="1501"/>
      <c r="X85" s="1501"/>
      <c r="Y85" s="1501"/>
      <c r="Z85" s="1501"/>
      <c r="AA85" s="1973"/>
      <c r="AB85" s="907"/>
      <c r="AC85" s="907"/>
      <c r="AD85" s="907"/>
      <c r="AE85" s="907"/>
      <c r="AF85" s="1982">
        <v>11</v>
      </c>
    </row>
    <row s="17832" customFormat="1" customHeight="1" ht="11.549999999999999">
      <c r="A86" s="1328"/>
      <c r="B86" s="1977"/>
      <c r="C86" s="1977"/>
      <c r="D86" s="692"/>
      <c r="K86" s="1501"/>
      <c r="L86" s="1977"/>
      <c r="M86" s="1977"/>
      <c r="N86" s="1501"/>
      <c r="O86" s="1501"/>
      <c r="P86" s="1501"/>
      <c r="Q86" s="1501"/>
      <c r="R86" s="1977"/>
      <c r="S86" s="1501"/>
      <c r="T86" s="1501"/>
      <c r="U86" s="885"/>
      <c r="V86" s="1501"/>
      <c r="W86" s="1501"/>
      <c r="X86" s="1501"/>
      <c r="Y86" s="1501"/>
      <c r="Z86" s="1501"/>
      <c r="AA86" s="1973"/>
      <c r="AB86" s="907"/>
      <c r="AC86" s="907"/>
      <c r="AD86" s="907"/>
      <c r="AE86" s="907"/>
      <c r="AF86" s="1982">
        <v>11</v>
      </c>
    </row>
    <row s="17832" customFormat="1" customHeight="1" ht="11.549999999999999">
      <c r="A87" s="1328"/>
      <c r="B87" s="1977"/>
      <c r="C87" s="1977"/>
      <c r="D87" s="692"/>
      <c r="K87" s="1501"/>
      <c r="L87" s="1977"/>
      <c r="M87" s="1977"/>
      <c r="N87" s="1501"/>
      <c r="O87" s="1501"/>
      <c r="P87" s="1501"/>
      <c r="Q87" s="1501"/>
      <c r="R87" s="1977"/>
      <c r="S87" s="1501"/>
      <c r="T87" s="1501"/>
      <c r="U87" s="885"/>
      <c r="V87" s="1501"/>
      <c r="W87" s="1501"/>
      <c r="X87" s="1501"/>
      <c r="Y87" s="1501"/>
      <c r="Z87" s="1501"/>
      <c r="AA87" s="1973"/>
      <c r="AB87" s="907"/>
      <c r="AC87" s="907"/>
      <c r="AD87" s="907"/>
      <c r="AE87" s="907"/>
      <c r="AF87" s="1982">
        <v>11</v>
      </c>
    </row>
    <row s="17832" customFormat="1" customHeight="1" ht="11.549999999999999">
      <c r="A88" s="1328"/>
      <c r="B88" s="1977"/>
      <c r="C88" s="1977"/>
      <c r="D88" s="692"/>
      <c r="K88" s="1501"/>
      <c r="L88" s="1977"/>
      <c r="M88" s="1977"/>
      <c r="N88" s="1501"/>
      <c r="O88" s="1501"/>
      <c r="P88" s="1501"/>
      <c r="Q88" s="1501"/>
      <c r="R88" s="1977"/>
      <c r="S88" s="1501"/>
      <c r="T88" s="1501"/>
      <c r="U88" s="885"/>
      <c r="V88" s="1501"/>
      <c r="W88" s="1501"/>
      <c r="X88" s="1501"/>
      <c r="Y88" s="1501"/>
      <c r="Z88" s="1501"/>
      <c r="AA88" s="1973"/>
      <c r="AB88" s="907"/>
      <c r="AC88" s="907"/>
      <c r="AD88" s="907"/>
      <c r="AE88" s="907"/>
      <c r="AF88" s="1982">
        <v>11</v>
      </c>
    </row>
    <row s="17832" customFormat="1" customHeight="1" ht="11.549999999999999">
      <c r="A89" s="1328"/>
      <c r="B89" s="1977"/>
      <c r="C89" s="1977"/>
      <c r="D89" s="692"/>
      <c r="K89" s="1501"/>
      <c r="L89" s="1977"/>
      <c r="M89" s="1977"/>
      <c r="N89" s="1501"/>
      <c r="O89" s="1501"/>
      <c r="P89" s="1501"/>
      <c r="Q89" s="1501"/>
      <c r="R89" s="1977"/>
      <c r="S89" s="1501"/>
      <c r="T89" s="1501"/>
      <c r="U89" s="885"/>
      <c r="V89" s="1501"/>
      <c r="W89" s="1501"/>
      <c r="X89" s="1501"/>
      <c r="Y89" s="1501"/>
      <c r="Z89" s="1501"/>
      <c r="AA89" s="1973"/>
      <c r="AB89" s="907"/>
      <c r="AC89" s="907"/>
      <c r="AD89" s="907"/>
      <c r="AE89" s="907"/>
      <c r="AF89" s="1982">
        <v>11</v>
      </c>
    </row>
    <row s="17832" customFormat="1" customHeight="1" ht="11.549999999999999">
      <c r="A90" s="1328"/>
      <c r="B90" s="1977"/>
      <c r="C90" s="1977"/>
      <c r="D90" s="692"/>
      <c r="K90" s="1501"/>
      <c r="L90" s="1977"/>
      <c r="M90" s="1977"/>
      <c r="N90" s="1501"/>
      <c r="O90" s="1501"/>
      <c r="P90" s="1501"/>
      <c r="Q90" s="1501"/>
      <c r="R90" s="1977"/>
      <c r="S90" s="1501"/>
      <c r="T90" s="1501"/>
      <c r="U90" s="885"/>
      <c r="V90" s="1501"/>
      <c r="W90" s="1501"/>
      <c r="X90" s="1501"/>
      <c r="Y90" s="1501"/>
      <c r="Z90" s="1501"/>
      <c r="AA90" s="1973"/>
      <c r="AB90" s="907"/>
      <c r="AC90" s="907"/>
      <c r="AD90" s="907"/>
      <c r="AE90" s="907"/>
      <c r="AF90" s="1982">
        <v>11</v>
      </c>
    </row>
    <row s="17832" customFormat="1" customHeight="1" ht="11.549999999999999">
      <c r="A91" s="1328"/>
      <c r="B91" s="1977"/>
      <c r="C91" s="1977"/>
      <c r="D91" s="692"/>
      <c r="K91" s="1501"/>
      <c r="L91" s="1977"/>
      <c r="M91" s="1977"/>
      <c r="N91" s="1501"/>
      <c r="O91" s="1501"/>
      <c r="P91" s="1501"/>
      <c r="Q91" s="1501"/>
      <c r="R91" s="1977"/>
      <c r="S91" s="1501"/>
      <c r="T91" s="1501"/>
      <c r="U91" s="885"/>
      <c r="V91" s="1501"/>
      <c r="W91" s="1501"/>
      <c r="X91" s="1501"/>
      <c r="Y91" s="1501"/>
      <c r="Z91" s="1501"/>
      <c r="AA91" s="1973"/>
      <c r="AB91" s="907"/>
      <c r="AC91" s="907"/>
      <c r="AD91" s="907"/>
      <c r="AE91" s="907"/>
      <c r="AF91" s="1982">
        <v>11</v>
      </c>
    </row>
    <row s="17832" customFormat="1" customHeight="1" ht="11.549999999999999">
      <c r="A92" s="1328"/>
      <c r="B92" s="1977"/>
      <c r="C92" s="1977"/>
      <c r="D92" s="692"/>
      <c r="K92" s="1501"/>
      <c r="L92" s="1977"/>
      <c r="M92" s="1977"/>
      <c r="N92" s="1501"/>
      <c r="O92" s="1501"/>
      <c r="P92" s="1501"/>
      <c r="Q92" s="1501"/>
      <c r="R92" s="1977"/>
      <c r="S92" s="1501"/>
      <c r="T92" s="1501"/>
      <c r="U92" s="885"/>
      <c r="V92" s="1501"/>
      <c r="W92" s="1501"/>
      <c r="X92" s="1501"/>
      <c r="Y92" s="1501"/>
      <c r="Z92" s="1501"/>
      <c r="AA92" s="1973"/>
      <c r="AB92" s="907"/>
      <c r="AC92" s="907"/>
      <c r="AD92" s="907"/>
      <c r="AE92" s="907"/>
      <c r="AF92" s="1982">
        <v>11</v>
      </c>
    </row>
    <row s="17832" customFormat="1" customHeight="1" ht="11.549999999999999">
      <c r="A93" s="1328"/>
      <c r="B93" s="1977"/>
      <c r="C93" s="1977"/>
      <c r="D93" s="692"/>
      <c r="K93" s="1501"/>
      <c r="L93" s="1977"/>
      <c r="M93" s="1977"/>
      <c r="N93" s="1501"/>
      <c r="O93" s="1501"/>
      <c r="P93" s="1501"/>
      <c r="Q93" s="1501"/>
      <c r="R93" s="1977"/>
      <c r="S93" s="1501"/>
      <c r="T93" s="1501"/>
      <c r="U93" s="885"/>
      <c r="V93" s="1501"/>
      <c r="W93" s="1501"/>
      <c r="X93" s="1501"/>
      <c r="Y93" s="1501"/>
      <c r="Z93" s="1501"/>
      <c r="AA93" s="1973"/>
      <c r="AB93" s="907"/>
      <c r="AC93" s="907"/>
      <c r="AD93" s="907"/>
      <c r="AE93" s="907"/>
      <c r="AF93" s="1982">
        <v>11</v>
      </c>
    </row>
    <row s="17832" customFormat="1" customHeight="1" ht="11.549999999999999">
      <c r="A94" s="1328"/>
      <c r="B94" s="1977"/>
      <c r="C94" s="1977"/>
      <c r="D94" s="692"/>
      <c r="K94" s="1501"/>
      <c r="L94" s="1977"/>
      <c r="M94" s="1977"/>
      <c r="N94" s="1501"/>
      <c r="O94" s="1501"/>
      <c r="P94" s="1501"/>
      <c r="Q94" s="1501"/>
      <c r="R94" s="1977"/>
      <c r="S94" s="1501"/>
      <c r="T94" s="1501"/>
      <c r="U94" s="885"/>
      <c r="V94" s="1501"/>
      <c r="W94" s="1501"/>
      <c r="X94" s="1501"/>
      <c r="Y94" s="1501"/>
      <c r="Z94" s="1501"/>
      <c r="AA94" s="1973"/>
      <c r="AB94" s="907"/>
      <c r="AC94" s="907"/>
      <c r="AD94" s="907"/>
      <c r="AE94" s="907"/>
      <c r="AF94" s="1982">
        <v>11</v>
      </c>
    </row>
    <row s="17832" customFormat="1" customHeight="1" ht="11.549999999999999">
      <c r="A95" s="1328"/>
      <c r="B95" s="1977"/>
      <c r="C95" s="1977"/>
      <c r="D95" s="692"/>
      <c r="K95" s="1501"/>
      <c r="L95" s="1977"/>
      <c r="M95" s="1977"/>
      <c r="N95" s="1501"/>
      <c r="O95" s="1501"/>
      <c r="P95" s="1501"/>
      <c r="Q95" s="1501"/>
      <c r="R95" s="1977"/>
      <c r="S95" s="1501"/>
      <c r="T95" s="1501"/>
      <c r="U95" s="885"/>
      <c r="V95" s="1501"/>
      <c r="W95" s="1501"/>
      <c r="X95" s="1501"/>
      <c r="Y95" s="1501"/>
      <c r="Z95" s="1501"/>
      <c r="AA95" s="1973"/>
      <c r="AB95" s="907"/>
      <c r="AC95" s="907"/>
      <c r="AD95" s="907"/>
      <c r="AE95" s="907"/>
      <c r="AF95" s="1982">
        <v>11</v>
      </c>
    </row>
    <row s="17832" customFormat="1" customHeight="1" ht="11.549999999999999">
      <c r="A96" s="1328"/>
      <c r="B96" s="1977"/>
      <c r="C96" s="1977"/>
      <c r="D96" s="692"/>
      <c r="K96" s="1501"/>
      <c r="L96" s="1977"/>
      <c r="M96" s="1977"/>
      <c r="N96" s="1501"/>
      <c r="O96" s="1501"/>
      <c r="P96" s="1501"/>
      <c r="Q96" s="1501"/>
      <c r="R96" s="1977"/>
      <c r="S96" s="1501"/>
      <c r="T96" s="1501"/>
      <c r="U96" s="885"/>
      <c r="V96" s="1501"/>
      <c r="W96" s="1501"/>
      <c r="X96" s="1501"/>
      <c r="Y96" s="1501"/>
      <c r="Z96" s="1501"/>
      <c r="AA96" s="1973"/>
      <c r="AB96" s="907"/>
      <c r="AC96" s="907"/>
      <c r="AD96" s="907"/>
      <c r="AE96" s="907"/>
      <c r="AF96" s="1982">
        <v>11</v>
      </c>
    </row>
    <row s="17832" customFormat="1" customHeight="1" ht="11.549999999999999">
      <c r="A97" s="1328"/>
      <c r="B97" s="1977"/>
      <c r="C97" s="1977"/>
      <c r="D97" s="692"/>
      <c r="K97" s="1501"/>
      <c r="L97" s="1977"/>
      <c r="M97" s="1977"/>
      <c r="N97" s="1501"/>
      <c r="O97" s="1501"/>
      <c r="P97" s="1501"/>
      <c r="Q97" s="1501"/>
      <c r="R97" s="1977"/>
      <c r="S97" s="1501"/>
      <c r="T97" s="1501"/>
      <c r="U97" s="885"/>
      <c r="V97" s="1501"/>
      <c r="W97" s="1501"/>
      <c r="X97" s="1501"/>
      <c r="Y97" s="1501"/>
      <c r="Z97" s="1501"/>
      <c r="AA97" s="1973"/>
      <c r="AB97" s="907"/>
      <c r="AC97" s="907"/>
      <c r="AD97" s="907"/>
      <c r="AE97" s="907"/>
      <c r="AF97" s="1982">
        <v>11</v>
      </c>
    </row>
    <row s="17832" customFormat="1" customHeight="1" ht="11.549999999999999">
      <c r="A98" s="1328"/>
      <c r="B98" s="1977"/>
      <c r="C98" s="1977"/>
      <c r="D98" s="692"/>
      <c r="K98" s="1501"/>
      <c r="L98" s="1977"/>
      <c r="M98" s="1977"/>
      <c r="N98" s="1501"/>
      <c r="O98" s="1501"/>
      <c r="P98" s="1501"/>
      <c r="Q98" s="1501"/>
      <c r="R98" s="1977"/>
      <c r="S98" s="1501"/>
      <c r="T98" s="1501"/>
      <c r="U98" s="885"/>
      <c r="V98" s="1501"/>
      <c r="W98" s="1501"/>
      <c r="X98" s="1501"/>
      <c r="Y98" s="1501"/>
      <c r="Z98" s="1501"/>
      <c r="AA98" s="1973"/>
      <c r="AB98" s="907"/>
      <c r="AC98" s="907"/>
      <c r="AD98" s="907"/>
      <c r="AE98" s="907"/>
      <c r="AF98" s="1982">
        <v>11</v>
      </c>
    </row>
    <row s="17832" customFormat="1" customHeight="1" ht="11.549999999999999">
      <c r="A99" s="1328"/>
      <c r="B99" s="1977"/>
      <c r="C99" s="1977"/>
      <c r="D99" s="692"/>
      <c r="K99" s="1501"/>
      <c r="L99" s="1977"/>
      <c r="M99" s="1977"/>
      <c r="N99" s="1501"/>
      <c r="O99" s="1501"/>
      <c r="P99" s="1501"/>
      <c r="Q99" s="1501"/>
      <c r="R99" s="1977"/>
      <c r="S99" s="1501"/>
      <c r="T99" s="1501"/>
      <c r="U99" s="885"/>
      <c r="V99" s="1501"/>
      <c r="W99" s="1501"/>
      <c r="X99" s="1501"/>
      <c r="Y99" s="1501"/>
      <c r="Z99" s="1501"/>
      <c r="AA99" s="1973"/>
      <c r="AB99" s="907"/>
      <c r="AC99" s="907"/>
      <c r="AD99" s="907"/>
      <c r="AE99" s="907"/>
      <c r="AF99" s="1982">
        <v>11</v>
      </c>
    </row>
    <row s="17832" customFormat="1" customHeight="1" ht="11.549999999999999">
      <c r="A100" s="1328"/>
      <c r="B100" s="1977"/>
      <c r="C100" s="1977"/>
      <c r="D100" s="692"/>
      <c r="K100" s="1501"/>
      <c r="L100" s="1977"/>
      <c r="M100" s="1977"/>
      <c r="N100" s="1501"/>
      <c r="O100" s="1501"/>
      <c r="P100" s="1501"/>
      <c r="Q100" s="1501"/>
      <c r="R100" s="1977"/>
      <c r="S100" s="1501"/>
      <c r="T100" s="1501"/>
      <c r="U100" s="885"/>
      <c r="V100" s="1501"/>
      <c r="W100" s="1501"/>
      <c r="X100" s="1501"/>
      <c r="Y100" s="1501"/>
      <c r="Z100" s="1501"/>
      <c r="AA100" s="1973"/>
      <c r="AB100" s="907"/>
      <c r="AC100" s="907"/>
      <c r="AD100" s="907"/>
      <c r="AE100" s="907"/>
      <c r="AF100" s="1982">
        <v>11</v>
      </c>
    </row>
    <row s="17832" customFormat="1" customHeight="1" ht="11.549999999999999">
      <c r="A101" s="1328"/>
      <c r="B101" s="1977"/>
      <c r="C101" s="1977"/>
      <c r="D101" s="692"/>
      <c r="K101" s="1501"/>
      <c r="L101" s="1977"/>
      <c r="M101" s="1977"/>
      <c r="N101" s="1501"/>
      <c r="O101" s="1501"/>
      <c r="P101" s="1501"/>
      <c r="Q101" s="1501"/>
      <c r="R101" s="1977"/>
      <c r="S101" s="1501"/>
      <c r="T101" s="1501"/>
      <c r="U101" s="885"/>
      <c r="V101" s="1501"/>
      <c r="W101" s="1501"/>
      <c r="X101" s="1501"/>
      <c r="Y101" s="1501"/>
      <c r="Z101" s="1501"/>
      <c r="AA101" s="1973"/>
      <c r="AB101" s="907"/>
      <c r="AC101" s="907"/>
      <c r="AD101" s="907"/>
      <c r="AE101" s="907"/>
      <c r="AF101" s="1982">
        <v>11</v>
      </c>
    </row>
    <row s="17832" customFormat="1" customHeight="1" ht="11.549999999999999">
      <c r="A102" s="1328"/>
      <c r="B102" s="1977"/>
      <c r="C102" s="1977"/>
      <c r="D102" s="692"/>
      <c r="K102" s="1501"/>
      <c r="L102" s="1977"/>
      <c r="M102" s="1977"/>
      <c r="N102" s="1501"/>
      <c r="O102" s="1501"/>
      <c r="P102" s="1501"/>
      <c r="Q102" s="1501"/>
      <c r="R102" s="1977"/>
      <c r="S102" s="1501"/>
      <c r="T102" s="1501"/>
      <c r="U102" s="885"/>
      <c r="V102" s="1501"/>
      <c r="W102" s="1501"/>
      <c r="X102" s="1501"/>
      <c r="Y102" s="1501"/>
      <c r="Z102" s="1501"/>
      <c r="AA102" s="1973"/>
      <c r="AB102" s="907"/>
      <c r="AC102" s="907"/>
      <c r="AD102" s="907"/>
      <c r="AE102" s="907"/>
      <c r="AF102" s="1982">
        <v>11</v>
      </c>
    </row>
    <row s="17832" customFormat="1" customHeight="1" ht="11.549999999999999">
      <c r="A103" s="1328"/>
      <c r="B103" s="1977"/>
      <c r="C103" s="1977"/>
      <c r="D103" s="692"/>
      <c r="K103" s="1501"/>
      <c r="L103" s="1977"/>
      <c r="M103" s="1977"/>
      <c r="N103" s="1501"/>
      <c r="O103" s="1501"/>
      <c r="P103" s="1501"/>
      <c r="Q103" s="1501"/>
      <c r="R103" s="1977"/>
      <c r="S103" s="1501"/>
      <c r="T103" s="1501"/>
      <c r="U103" s="885"/>
      <c r="V103" s="1501"/>
      <c r="W103" s="1501"/>
      <c r="X103" s="1501"/>
      <c r="Y103" s="1501"/>
      <c r="Z103" s="1501"/>
      <c r="AA103" s="1973"/>
      <c r="AB103" s="907"/>
      <c r="AC103" s="907"/>
      <c r="AD103" s="907"/>
      <c r="AE103" s="907"/>
      <c r="AF103" s="1982">
        <v>11</v>
      </c>
    </row>
    <row s="17832" customFormat="1" customHeight="1" ht="11.549999999999999">
      <c r="A104" s="1328"/>
      <c r="B104" s="1977"/>
      <c r="C104" s="1977"/>
      <c r="D104" s="692"/>
      <c r="K104" s="1501"/>
      <c r="L104" s="1977"/>
      <c r="M104" s="1977"/>
      <c r="N104" s="1501"/>
      <c r="O104" s="1501"/>
      <c r="P104" s="1501"/>
      <c r="Q104" s="1501"/>
      <c r="R104" s="1977"/>
      <c r="S104" s="1501"/>
      <c r="T104" s="1501"/>
      <c r="U104" s="885"/>
      <c r="V104" s="1501"/>
      <c r="W104" s="1501"/>
      <c r="X104" s="1501"/>
      <c r="Y104" s="1501"/>
      <c r="Z104" s="1501"/>
      <c r="AA104" s="1973"/>
      <c r="AB104" s="907"/>
      <c r="AC104" s="907"/>
      <c r="AD104" s="907"/>
      <c r="AE104" s="907"/>
      <c r="AF104" s="1982">
        <v>11</v>
      </c>
    </row>
    <row s="17832" customFormat="1" customHeight="1" ht="11.549999999999999">
      <c r="A105" s="1328"/>
      <c r="B105" s="1977"/>
      <c r="C105" s="1977"/>
      <c r="D105" s="692"/>
      <c r="K105" s="1501"/>
      <c r="L105" s="1977"/>
      <c r="M105" s="1977"/>
      <c r="N105" s="1501"/>
      <c r="O105" s="1501"/>
      <c r="P105" s="1501"/>
      <c r="Q105" s="1501"/>
      <c r="R105" s="1977"/>
      <c r="S105" s="1501"/>
      <c r="T105" s="1501"/>
      <c r="U105" s="885"/>
      <c r="V105" s="1501"/>
      <c r="W105" s="1501"/>
      <c r="X105" s="1501"/>
      <c r="Y105" s="1501"/>
      <c r="Z105" s="1501"/>
      <c r="AA105" s="1973"/>
      <c r="AB105" s="907"/>
      <c r="AC105" s="907"/>
      <c r="AD105" s="907"/>
      <c r="AE105" s="907"/>
      <c r="AF105" s="1982">
        <v>11</v>
      </c>
    </row>
    <row s="17832" customFormat="1" customHeight="1" ht="11.549999999999999">
      <c r="A106" s="1328"/>
      <c r="B106" s="1977"/>
      <c r="C106" s="1977"/>
      <c r="D106" s="692"/>
      <c r="K106" s="1501"/>
      <c r="L106" s="1977"/>
      <c r="M106" s="1977"/>
      <c r="N106" s="1501"/>
      <c r="O106" s="1501"/>
      <c r="P106" s="1501"/>
      <c r="Q106" s="1501"/>
      <c r="R106" s="1977"/>
      <c r="S106" s="1501"/>
      <c r="T106" s="1501"/>
      <c r="U106" s="885"/>
      <c r="V106" s="1501"/>
      <c r="W106" s="1501"/>
      <c r="X106" s="1501"/>
      <c r="Y106" s="1501"/>
      <c r="Z106" s="1501"/>
      <c r="AA106" s="1973"/>
      <c r="AB106" s="907"/>
      <c r="AC106" s="907"/>
      <c r="AD106" s="907"/>
      <c r="AE106" s="907"/>
      <c r="AF106" s="1982">
        <v>11</v>
      </c>
    </row>
    <row s="17832" customFormat="1" customHeight="1" ht="11.549999999999999">
      <c r="A107" s="1328"/>
      <c r="B107" s="1977"/>
      <c r="C107" s="1977"/>
      <c r="D107" s="692"/>
      <c r="K107" s="1501"/>
      <c r="L107" s="1977"/>
      <c r="M107" s="1977"/>
      <c r="N107" s="1501"/>
      <c r="O107" s="1501"/>
      <c r="P107" s="1501"/>
      <c r="Q107" s="1501"/>
      <c r="R107" s="1977"/>
      <c r="S107" s="1501"/>
      <c r="T107" s="1501"/>
      <c r="U107" s="885"/>
      <c r="V107" s="1501"/>
      <c r="W107" s="1501"/>
      <c r="X107" s="1501"/>
      <c r="Y107" s="1501"/>
      <c r="Z107" s="1501"/>
      <c r="AA107" s="1973"/>
      <c r="AB107" s="907"/>
      <c r="AC107" s="907"/>
      <c r="AD107" s="907"/>
      <c r="AE107" s="907"/>
      <c r="AF107" s="1982">
        <v>11</v>
      </c>
    </row>
    <row s="17832" customFormat="1" customHeight="1" ht="11.549999999999999">
      <c r="A108" s="1328"/>
      <c r="B108" s="1977"/>
      <c r="C108" s="1977"/>
      <c r="D108" s="692"/>
      <c r="K108" s="1501"/>
      <c r="L108" s="1977"/>
      <c r="M108" s="1977"/>
      <c r="N108" s="1501"/>
      <c r="O108" s="1501"/>
      <c r="P108" s="1501"/>
      <c r="Q108" s="1501"/>
      <c r="R108" s="1977"/>
      <c r="S108" s="1501"/>
      <c r="T108" s="1501"/>
      <c r="U108" s="885"/>
      <c r="V108" s="1501"/>
      <c r="W108" s="1501"/>
      <c r="X108" s="1501"/>
      <c r="Y108" s="1501"/>
      <c r="Z108" s="1501"/>
      <c r="AA108" s="1973"/>
      <c r="AB108" s="907"/>
      <c r="AC108" s="907"/>
      <c r="AD108" s="907"/>
      <c r="AE108" s="907"/>
      <c r="AF108" s="1982">
        <v>11</v>
      </c>
    </row>
    <row s="17832" customFormat="1" customHeight="1" ht="11.549999999999999">
      <c r="A109" s="1328"/>
      <c r="B109" s="1977"/>
      <c r="C109" s="1977"/>
      <c r="D109" s="692"/>
      <c r="K109" s="1501"/>
      <c r="L109" s="1977"/>
      <c r="M109" s="1977"/>
      <c r="N109" s="1501"/>
      <c r="O109" s="1501"/>
      <c r="P109" s="1501"/>
      <c r="Q109" s="1501"/>
      <c r="R109" s="1977"/>
      <c r="S109" s="1501"/>
      <c r="T109" s="1501"/>
      <c r="U109" s="885"/>
      <c r="V109" s="1501"/>
      <c r="W109" s="1501"/>
      <c r="X109" s="1501"/>
      <c r="Y109" s="1501"/>
      <c r="Z109" s="1501"/>
      <c r="AA109" s="1973"/>
      <c r="AB109" s="907"/>
      <c r="AC109" s="907"/>
      <c r="AD109" s="907"/>
      <c r="AE109" s="907"/>
      <c r="AF109" s="1982">
        <v>11</v>
      </c>
    </row>
    <row s="17832" customFormat="1" customHeight="1" ht="11.549999999999999">
      <c r="A110" s="1328"/>
      <c r="B110" s="1977"/>
      <c r="C110" s="1977"/>
      <c r="D110" s="692"/>
      <c r="K110" s="1501"/>
      <c r="L110" s="1977"/>
      <c r="M110" s="1977"/>
      <c r="N110" s="1501"/>
      <c r="O110" s="1501"/>
      <c r="P110" s="1501"/>
      <c r="Q110" s="1501"/>
      <c r="R110" s="1977"/>
      <c r="S110" s="1501"/>
      <c r="T110" s="1501"/>
      <c r="U110" s="885"/>
      <c r="V110" s="1501"/>
      <c r="W110" s="1501"/>
      <c r="X110" s="1501"/>
      <c r="Y110" s="1501"/>
      <c r="Z110" s="1501"/>
      <c r="AA110" s="1973"/>
      <c r="AB110" s="907"/>
      <c r="AC110" s="907"/>
      <c r="AD110" s="907"/>
      <c r="AE110" s="907"/>
      <c r="AF110" s="1982">
        <v>11</v>
      </c>
    </row>
    <row s="17832" customFormat="1" customHeight="1" ht="11.549999999999999">
      <c r="A111" s="1328"/>
      <c r="B111" s="1977"/>
      <c r="C111" s="1977"/>
      <c r="D111" s="692"/>
      <c r="K111" s="1501"/>
      <c r="L111" s="1977"/>
      <c r="M111" s="1977"/>
      <c r="N111" s="1501"/>
      <c r="O111" s="1501"/>
      <c r="P111" s="1501"/>
      <c r="Q111" s="1501"/>
      <c r="R111" s="1977"/>
      <c r="S111" s="1501"/>
      <c r="T111" s="1501"/>
      <c r="U111" s="885"/>
      <c r="V111" s="1501"/>
      <c r="W111" s="1501"/>
      <c r="X111" s="1501"/>
      <c r="Y111" s="1501"/>
      <c r="Z111" s="1501"/>
      <c r="AA111" s="1973"/>
      <c r="AB111" s="907"/>
      <c r="AC111" s="907"/>
      <c r="AD111" s="907"/>
      <c r="AE111" s="907"/>
      <c r="AF111" s="1982">
        <v>11</v>
      </c>
    </row>
    <row s="17832" customFormat="1" customHeight="1" ht="11.549999999999999">
      <c r="A112" s="1328"/>
      <c r="B112" s="1977"/>
      <c r="C112" s="1977"/>
      <c r="D112" s="692"/>
      <c r="K112" s="1501"/>
      <c r="L112" s="1977"/>
      <c r="M112" s="1977"/>
      <c r="N112" s="1501"/>
      <c r="O112" s="1501"/>
      <c r="P112" s="1501"/>
      <c r="Q112" s="1501"/>
      <c r="R112" s="1977"/>
      <c r="S112" s="1501"/>
      <c r="T112" s="1501"/>
      <c r="U112" s="885"/>
      <c r="V112" s="1501"/>
      <c r="W112" s="1501"/>
      <c r="X112" s="1501"/>
      <c r="Y112" s="1501"/>
      <c r="Z112" s="1501"/>
      <c r="AA112" s="1973"/>
      <c r="AB112" s="907"/>
      <c r="AC112" s="907"/>
      <c r="AD112" s="907"/>
      <c r="AE112" s="907"/>
      <c r="AF112" s="1982">
        <v>11</v>
      </c>
    </row>
    <row s="17832" customFormat="1" customHeight="1" ht="11.549999999999999">
      <c r="A113" s="1328"/>
      <c r="B113" s="1977"/>
      <c r="C113" s="1977"/>
      <c r="D113" s="692"/>
      <c r="K113" s="1501"/>
      <c r="L113" s="1977"/>
      <c r="M113" s="1977"/>
      <c r="N113" s="1501"/>
      <c r="O113" s="1501"/>
      <c r="P113" s="1501"/>
      <c r="Q113" s="1501"/>
      <c r="R113" s="1977"/>
      <c r="S113" s="1501"/>
      <c r="T113" s="1501"/>
      <c r="U113" s="885"/>
      <c r="V113" s="1501"/>
      <c r="W113" s="1501"/>
      <c r="X113" s="1501"/>
      <c r="Y113" s="1501"/>
      <c r="Z113" s="1501"/>
      <c r="AA113" s="1973"/>
      <c r="AB113" s="907"/>
      <c r="AC113" s="907"/>
      <c r="AD113" s="907"/>
      <c r="AE113" s="907"/>
      <c r="AF113" s="1982">
        <v>11</v>
      </c>
    </row>
    <row s="17832" customFormat="1" customHeight="1" ht="11.549999999999999">
      <c r="A114" s="1328"/>
      <c r="B114" s="1977"/>
      <c r="C114" s="1977"/>
      <c r="D114" s="692"/>
      <c r="K114" s="1501"/>
      <c r="L114" s="1977"/>
      <c r="M114" s="1977"/>
      <c r="N114" s="1501"/>
      <c r="O114" s="1501"/>
      <c r="P114" s="1501"/>
      <c r="Q114" s="1501"/>
      <c r="R114" s="1977"/>
      <c r="S114" s="1501"/>
      <c r="T114" s="1501"/>
      <c r="U114" s="885"/>
      <c r="V114" s="1501"/>
      <c r="W114" s="1501"/>
      <c r="X114" s="1501"/>
      <c r="Y114" s="1501"/>
      <c r="Z114" s="1501"/>
      <c r="AA114" s="1973"/>
      <c r="AB114" s="907"/>
      <c r="AC114" s="907"/>
      <c r="AD114" s="907"/>
      <c r="AE114" s="907"/>
      <c r="AF114" s="1982">
        <v>11</v>
      </c>
    </row>
    <row s="17832" customFormat="1" customHeight="1" ht="11.549999999999999">
      <c r="A115" s="1328"/>
      <c r="B115" s="1977"/>
      <c r="C115" s="1977"/>
      <c r="D115" s="692"/>
      <c r="K115" s="1501"/>
      <c r="L115" s="1977"/>
      <c r="M115" s="1977"/>
      <c r="N115" s="1501"/>
      <c r="O115" s="1501"/>
      <c r="P115" s="1501"/>
      <c r="Q115" s="1501"/>
      <c r="R115" s="1977"/>
      <c r="S115" s="1501"/>
      <c r="T115" s="1501"/>
      <c r="U115" s="885"/>
      <c r="V115" s="1501"/>
      <c r="W115" s="1501"/>
      <c r="X115" s="1501"/>
      <c r="Y115" s="1501"/>
      <c r="Z115" s="1501"/>
      <c r="AA115" s="1973"/>
      <c r="AB115" s="907"/>
      <c r="AC115" s="907"/>
      <c r="AD115" s="907"/>
      <c r="AE115" s="907"/>
      <c r="AF115" s="1982">
        <v>11</v>
      </c>
    </row>
    <row s="17832" customFormat="1" customHeight="1" ht="11.549999999999999">
      <c r="A116" s="1328"/>
      <c r="B116" s="1977"/>
      <c r="C116" s="1977"/>
      <c r="D116" s="692"/>
      <c r="K116" s="1501"/>
      <c r="L116" s="1977"/>
      <c r="M116" s="1977"/>
      <c r="N116" s="1501"/>
      <c r="O116" s="1501"/>
      <c r="P116" s="1501"/>
      <c r="Q116" s="1501"/>
      <c r="R116" s="1977"/>
      <c r="S116" s="1501"/>
      <c r="T116" s="1501"/>
      <c r="U116" s="885"/>
      <c r="V116" s="1501"/>
      <c r="W116" s="1501"/>
      <c r="X116" s="1501"/>
      <c r="Y116" s="1501"/>
      <c r="Z116" s="1501"/>
      <c r="AA116" s="1973"/>
      <c r="AB116" s="907"/>
      <c r="AC116" s="907"/>
      <c r="AD116" s="907"/>
      <c r="AE116" s="907"/>
      <c r="AF116" s="1982">
        <v>11</v>
      </c>
    </row>
    <row s="17832" customFormat="1" customHeight="1" ht="11.549999999999999">
      <c r="A117" s="1328"/>
      <c r="B117" s="1977"/>
      <c r="C117" s="1977"/>
      <c r="D117" s="692"/>
      <c r="K117" s="1501"/>
      <c r="L117" s="1977"/>
      <c r="M117" s="1977"/>
      <c r="N117" s="1501"/>
      <c r="O117" s="1501"/>
      <c r="P117" s="1501"/>
      <c r="Q117" s="1501"/>
      <c r="R117" s="1977"/>
      <c r="S117" s="1501"/>
      <c r="T117" s="1501"/>
      <c r="U117" s="885"/>
      <c r="V117" s="1501"/>
      <c r="W117" s="1501"/>
      <c r="X117" s="1501"/>
      <c r="Y117" s="1501"/>
      <c r="Z117" s="1501"/>
      <c r="AA117" s="1973"/>
      <c r="AB117" s="907"/>
      <c r="AC117" s="907"/>
      <c r="AD117" s="907"/>
      <c r="AE117" s="907"/>
      <c r="AF117" s="1982">
        <v>11</v>
      </c>
    </row>
    <row s="17832" customFormat="1" customHeight="1" ht="11.549999999999999">
      <c r="A118" s="1328"/>
      <c r="B118" s="1977"/>
      <c r="C118" s="1977"/>
      <c r="D118" s="692"/>
      <c r="K118" s="1501"/>
      <c r="L118" s="1977"/>
      <c r="M118" s="1977"/>
      <c r="N118" s="1501"/>
      <c r="O118" s="1501"/>
      <c r="P118" s="1501"/>
      <c r="Q118" s="1501"/>
      <c r="R118" s="1977"/>
      <c r="S118" s="1501"/>
      <c r="T118" s="1501"/>
      <c r="U118" s="885"/>
      <c r="V118" s="1501"/>
      <c r="W118" s="1501"/>
      <c r="X118" s="1501"/>
      <c r="Y118" s="1501"/>
      <c r="Z118" s="1501"/>
      <c r="AA118" s="1973"/>
      <c r="AB118" s="907"/>
      <c r="AC118" s="907"/>
      <c r="AD118" s="907"/>
      <c r="AE118" s="907"/>
      <c r="AF118" s="1982">
        <v>11</v>
      </c>
    </row>
    <row s="17832" customFormat="1" customHeight="1" ht="11.549999999999999">
      <c r="A119" s="1328"/>
      <c r="B119" s="1977"/>
      <c r="C119" s="1977"/>
      <c r="D119" s="692"/>
      <c r="K119" s="1501"/>
      <c r="L119" s="1977"/>
      <c r="M119" s="1977"/>
      <c r="N119" s="1501"/>
      <c r="O119" s="1501"/>
      <c r="P119" s="1501"/>
      <c r="Q119" s="1501"/>
      <c r="R119" s="1977"/>
      <c r="S119" s="1501"/>
      <c r="T119" s="1501"/>
      <c r="U119" s="885"/>
      <c r="V119" s="1501"/>
      <c r="W119" s="1501"/>
      <c r="X119" s="1501"/>
      <c r="Y119" s="1501"/>
      <c r="Z119" s="1501"/>
      <c r="AA119" s="1973"/>
      <c r="AB119" s="907"/>
      <c r="AC119" s="907"/>
      <c r="AD119" s="907"/>
      <c r="AE119" s="907"/>
      <c r="AF119" s="1982">
        <v>11</v>
      </c>
    </row>
    <row s="17832" customFormat="1" customHeight="1" ht="11.549999999999999">
      <c r="A120" s="1328"/>
      <c r="B120" s="1977"/>
      <c r="C120" s="1977"/>
      <c r="D120" s="692"/>
      <c r="K120" s="1501"/>
      <c r="L120" s="1977"/>
      <c r="M120" s="1977"/>
      <c r="N120" s="1501"/>
      <c r="O120" s="1501"/>
      <c r="P120" s="1501"/>
      <c r="Q120" s="1501"/>
      <c r="R120" s="1977"/>
      <c r="S120" s="1501"/>
      <c r="T120" s="1501"/>
      <c r="U120" s="885"/>
      <c r="V120" s="1501"/>
      <c r="W120" s="1501"/>
      <c r="X120" s="1501"/>
      <c r="Y120" s="1501"/>
      <c r="Z120" s="1501"/>
      <c r="AA120" s="1973"/>
      <c r="AB120" s="907"/>
      <c r="AC120" s="907"/>
      <c r="AD120" s="907"/>
      <c r="AE120" s="907"/>
      <c r="AF120" s="1982">
        <v>11</v>
      </c>
    </row>
    <row s="17832" customFormat="1" customHeight="1" ht="11.549999999999999">
      <c r="A121" s="1328"/>
      <c r="B121" s="1977"/>
      <c r="C121" s="1977"/>
      <c r="D121" s="692"/>
      <c r="K121" s="1501"/>
      <c r="L121" s="1977"/>
      <c r="M121" s="1977"/>
      <c r="N121" s="1501"/>
      <c r="O121" s="1501"/>
      <c r="P121" s="1501"/>
      <c r="Q121" s="1501"/>
      <c r="R121" s="1977"/>
      <c r="S121" s="1501"/>
      <c r="T121" s="1501"/>
      <c r="U121" s="885"/>
      <c r="V121" s="1501"/>
      <c r="W121" s="1501"/>
      <c r="X121" s="1501"/>
      <c r="Y121" s="1501"/>
      <c r="Z121" s="1501"/>
      <c r="AA121" s="1973"/>
      <c r="AB121" s="907"/>
      <c r="AC121" s="907"/>
      <c r="AD121" s="907"/>
      <c r="AE121" s="907"/>
      <c r="AF121" s="1982">
        <v>11</v>
      </c>
    </row>
    <row s="17832" customFormat="1" customHeight="1" ht="11.549999999999999">
      <c r="A122" s="1328"/>
      <c r="B122" s="1977"/>
      <c r="C122" s="1977"/>
      <c r="D122" s="692"/>
      <c r="K122" s="1501"/>
      <c r="L122" s="1977"/>
      <c r="M122" s="1977"/>
      <c r="N122" s="1501"/>
      <c r="O122" s="1501"/>
      <c r="P122" s="1501"/>
      <c r="Q122" s="1501"/>
      <c r="R122" s="1977"/>
      <c r="S122" s="1501"/>
      <c r="T122" s="1501"/>
      <c r="U122" s="885"/>
      <c r="V122" s="1501"/>
      <c r="W122" s="1501"/>
      <c r="X122" s="1501"/>
      <c r="Y122" s="1501"/>
      <c r="Z122" s="1501"/>
      <c r="AA122" s="1973"/>
      <c r="AB122" s="907"/>
      <c r="AC122" s="907"/>
      <c r="AD122" s="907"/>
      <c r="AE122" s="907"/>
      <c r="AF122" s="1982">
        <v>11</v>
      </c>
    </row>
    <row s="17832" customFormat="1" customHeight="1" ht="11.549999999999999">
      <c r="A123" s="1328"/>
      <c r="B123" s="1977"/>
      <c r="C123" s="1977"/>
      <c r="D123" s="692"/>
      <c r="K123" s="1501"/>
      <c r="L123" s="1977"/>
      <c r="M123" s="1977"/>
      <c r="N123" s="1501"/>
      <c r="O123" s="1501"/>
      <c r="P123" s="1501"/>
      <c r="Q123" s="1501"/>
      <c r="R123" s="1977"/>
      <c r="S123" s="1501"/>
      <c r="T123" s="1501"/>
      <c r="U123" s="885"/>
      <c r="V123" s="1501"/>
      <c r="W123" s="1501"/>
      <c r="X123" s="1501"/>
      <c r="Y123" s="1501"/>
      <c r="Z123" s="1501"/>
      <c r="AA123" s="1973"/>
      <c r="AB123" s="907"/>
      <c r="AC123" s="907"/>
      <c r="AD123" s="907"/>
      <c r="AE123" s="907"/>
      <c r="AF123" s="1982">
        <v>11</v>
      </c>
    </row>
    <row s="17832" customFormat="1" customHeight="1" ht="11.549999999999999">
      <c r="A124" s="1328"/>
      <c r="B124" s="1977"/>
      <c r="C124" s="1977"/>
      <c r="D124" s="692"/>
      <c r="K124" s="1501"/>
      <c r="L124" s="1977"/>
      <c r="M124" s="1977"/>
      <c r="N124" s="1501"/>
      <c r="O124" s="1501"/>
      <c r="P124" s="1501"/>
      <c r="Q124" s="1501"/>
      <c r="R124" s="1977"/>
      <c r="S124" s="1501"/>
      <c r="T124" s="1501"/>
      <c r="U124" s="885"/>
      <c r="V124" s="1501"/>
      <c r="W124" s="1501"/>
      <c r="X124" s="1501"/>
      <c r="Y124" s="1501"/>
      <c r="Z124" s="1501"/>
      <c r="AA124" s="1973"/>
      <c r="AB124" s="907"/>
      <c r="AC124" s="907"/>
      <c r="AD124" s="907"/>
      <c r="AE124" s="907"/>
      <c r="AF124" s="1982">
        <v>11</v>
      </c>
    </row>
    <row s="17832" customFormat="1" customHeight="1" ht="11.549999999999999">
      <c r="A125" s="1328"/>
      <c r="B125" s="1977"/>
      <c r="C125" s="1977"/>
      <c r="D125" s="692"/>
      <c r="K125" s="1501"/>
      <c r="L125" s="1977"/>
      <c r="M125" s="1977"/>
      <c r="N125" s="1501"/>
      <c r="O125" s="1501"/>
      <c r="P125" s="1501"/>
      <c r="Q125" s="1501"/>
      <c r="R125" s="1977"/>
      <c r="S125" s="1501"/>
      <c r="T125" s="1501"/>
      <c r="U125" s="885"/>
      <c r="V125" s="1501"/>
      <c r="W125" s="1501"/>
      <c r="X125" s="1501"/>
      <c r="Y125" s="1501"/>
      <c r="Z125" s="1501"/>
      <c r="AA125" s="1973"/>
      <c r="AB125" s="907"/>
      <c r="AC125" s="907"/>
      <c r="AD125" s="907"/>
      <c r="AE125" s="907"/>
      <c r="AF125" s="1982">
        <v>11</v>
      </c>
    </row>
    <row s="17832" customFormat="1" customHeight="1" ht="11.549999999999999">
      <c r="A126" s="1328"/>
      <c r="B126" s="1977"/>
      <c r="C126" s="1977"/>
      <c r="D126" s="692"/>
      <c r="K126" s="1501"/>
      <c r="L126" s="1977"/>
      <c r="M126" s="1977"/>
      <c r="N126" s="1501"/>
      <c r="O126" s="1501"/>
      <c r="P126" s="1501"/>
      <c r="Q126" s="1501"/>
      <c r="R126" s="1977"/>
      <c r="S126" s="1501"/>
      <c r="T126" s="1501"/>
      <c r="U126" s="885"/>
      <c r="V126" s="1501"/>
      <c r="W126" s="1501"/>
      <c r="X126" s="1501"/>
      <c r="Y126" s="1501"/>
      <c r="Z126" s="1501"/>
      <c r="AA126" s="1973"/>
      <c r="AB126" s="907"/>
      <c r="AC126" s="907"/>
      <c r="AD126" s="907"/>
      <c r="AE126" s="907"/>
      <c r="AF126" s="1982">
        <v>11</v>
      </c>
    </row>
    <row s="17832" customFormat="1" customHeight="1" ht="11.549999999999999">
      <c r="A127" s="1328"/>
      <c r="B127" s="1977"/>
      <c r="C127" s="1977"/>
      <c r="D127" s="692"/>
      <c r="K127" s="1501"/>
      <c r="L127" s="1977"/>
      <c r="M127" s="1977"/>
      <c r="N127" s="1501"/>
      <c r="O127" s="1501"/>
      <c r="P127" s="1501"/>
      <c r="Q127" s="1501"/>
      <c r="R127" s="1977"/>
      <c r="S127" s="1501"/>
      <c r="T127" s="1501"/>
      <c r="U127" s="885"/>
      <c r="V127" s="1501"/>
      <c r="W127" s="1501"/>
      <c r="X127" s="1501"/>
      <c r="Y127" s="1501"/>
      <c r="Z127" s="1501"/>
      <c r="AA127" s="1973"/>
      <c r="AB127" s="907"/>
      <c r="AC127" s="907"/>
      <c r="AD127" s="907"/>
      <c r="AE127" s="907"/>
      <c r="AF127" s="1982">
        <v>11</v>
      </c>
    </row>
    <row s="17832" customFormat="1" customHeight="1" ht="11.549999999999999">
      <c r="A128" s="1328"/>
      <c r="B128" s="1977"/>
      <c r="C128" s="1977"/>
      <c r="D128" s="692"/>
      <c r="K128" s="1501"/>
      <c r="L128" s="1977"/>
      <c r="M128" s="1977"/>
      <c r="N128" s="1501"/>
      <c r="O128" s="1501"/>
      <c r="P128" s="1501"/>
      <c r="Q128" s="1501"/>
      <c r="R128" s="1977"/>
      <c r="S128" s="1501"/>
      <c r="T128" s="1501"/>
      <c r="U128" s="885"/>
      <c r="V128" s="1501"/>
      <c r="W128" s="1501"/>
      <c r="X128" s="1501"/>
      <c r="Y128" s="1501"/>
      <c r="Z128" s="1501"/>
      <c r="AA128" s="1973"/>
      <c r="AB128" s="907"/>
      <c r="AC128" s="907"/>
      <c r="AD128" s="907"/>
      <c r="AE128" s="907"/>
      <c r="AF128" s="1982">
        <v>11</v>
      </c>
    </row>
    <row s="17832" customFormat="1" customHeight="1" ht="11.549999999999999">
      <c r="A129" s="1328"/>
      <c r="B129" s="1977"/>
      <c r="C129" s="1977"/>
      <c r="D129" s="692"/>
      <c r="K129" s="1501"/>
      <c r="L129" s="1977"/>
      <c r="M129" s="1977"/>
      <c r="N129" s="1501"/>
      <c r="O129" s="1501"/>
      <c r="P129" s="1501"/>
      <c r="Q129" s="1501"/>
      <c r="R129" s="1977"/>
      <c r="S129" s="1501"/>
      <c r="T129" s="1501"/>
      <c r="U129" s="885"/>
      <c r="V129" s="1501"/>
      <c r="W129" s="1501"/>
      <c r="X129" s="1501"/>
      <c r="Y129" s="1501"/>
      <c r="Z129" s="1501"/>
      <c r="AA129" s="1973"/>
      <c r="AB129" s="907"/>
      <c r="AC129" s="907"/>
      <c r="AD129" s="907"/>
      <c r="AE129" s="907"/>
      <c r="AF129" s="1982">
        <v>11</v>
      </c>
    </row>
    <row s="17832" customFormat="1" customHeight="1" ht="11.549999999999999">
      <c r="A130" s="1328"/>
      <c r="B130" s="1977"/>
      <c r="C130" s="1977"/>
      <c r="D130" s="692"/>
      <c r="K130" s="1501"/>
      <c r="L130" s="1977"/>
      <c r="M130" s="1977"/>
      <c r="N130" s="1501"/>
      <c r="O130" s="1501"/>
      <c r="P130" s="1501"/>
      <c r="Q130" s="1501"/>
      <c r="R130" s="1977"/>
      <c r="S130" s="1501"/>
      <c r="T130" s="1501"/>
      <c r="U130" s="885"/>
      <c r="V130" s="1501"/>
      <c r="W130" s="1501"/>
      <c r="X130" s="1501"/>
      <c r="Y130" s="1501"/>
      <c r="Z130" s="1501"/>
      <c r="AA130" s="1973"/>
      <c r="AB130" s="907"/>
      <c r="AC130" s="907"/>
      <c r="AD130" s="907"/>
      <c r="AE130" s="907"/>
      <c r="AF130" s="1982">
        <v>11</v>
      </c>
    </row>
    <row s="17832" customFormat="1" customHeight="1" ht="11.549999999999999">
      <c r="A131" s="1328"/>
      <c r="B131" s="1977"/>
      <c r="C131" s="1977"/>
      <c r="D131" s="692"/>
      <c r="K131" s="1501"/>
      <c r="L131" s="1977"/>
      <c r="M131" s="1977"/>
      <c r="N131" s="1501"/>
      <c r="O131" s="1501"/>
      <c r="P131" s="1501"/>
      <c r="Q131" s="1501"/>
      <c r="R131" s="1977"/>
      <c r="S131" s="1501"/>
      <c r="T131" s="1501"/>
      <c r="U131" s="885"/>
      <c r="V131" s="1501"/>
      <c r="W131" s="1501"/>
      <c r="X131" s="1501"/>
      <c r="Y131" s="1501"/>
      <c r="Z131" s="1501"/>
      <c r="AA131" s="1973"/>
      <c r="AB131" s="907"/>
      <c r="AC131" s="907"/>
      <c r="AD131" s="907"/>
      <c r="AE131" s="907"/>
      <c r="AF131" s="1982">
        <v>11</v>
      </c>
    </row>
    <row s="17832" customFormat="1" customHeight="1" ht="11.549999999999999">
      <c r="A132" s="1328"/>
      <c r="B132" s="1977"/>
      <c r="C132" s="1977"/>
      <c r="D132" s="692"/>
      <c r="K132" s="1501"/>
      <c r="L132" s="1977"/>
      <c r="M132" s="1977"/>
      <c r="N132" s="1501"/>
      <c r="O132" s="1501"/>
      <c r="P132" s="1501"/>
      <c r="Q132" s="1501"/>
      <c r="R132" s="1977"/>
      <c r="S132" s="1501"/>
      <c r="T132" s="1501"/>
      <c r="U132" s="885"/>
      <c r="V132" s="1501"/>
      <c r="W132" s="1501"/>
      <c r="X132" s="1501"/>
      <c r="Y132" s="1501"/>
      <c r="Z132" s="1501"/>
      <c r="AA132" s="1973"/>
      <c r="AB132" s="907"/>
      <c r="AC132" s="907"/>
      <c r="AD132" s="907"/>
      <c r="AE132" s="907"/>
      <c r="AF132" s="1982">
        <v>11</v>
      </c>
    </row>
    <row s="17832" customFormat="1" customHeight="1" ht="11.549999999999999">
      <c r="A133" s="1328"/>
      <c r="B133" s="1977"/>
      <c r="C133" s="1977"/>
      <c r="D133" s="692"/>
      <c r="K133" s="1501"/>
      <c r="L133" s="1977"/>
      <c r="M133" s="1977"/>
      <c r="N133" s="1501"/>
      <c r="O133" s="1501"/>
      <c r="P133" s="1501"/>
      <c r="Q133" s="1501"/>
      <c r="R133" s="1977"/>
      <c r="S133" s="1501"/>
      <c r="T133" s="1501"/>
      <c r="U133" s="885"/>
      <c r="V133" s="1501"/>
      <c r="W133" s="1501"/>
      <c r="X133" s="1501"/>
      <c r="Y133" s="1501"/>
      <c r="Z133" s="1501"/>
      <c r="AA133" s="1973"/>
      <c r="AB133" s="907"/>
      <c r="AC133" s="907"/>
      <c r="AD133" s="907"/>
      <c r="AE133" s="907"/>
      <c r="AF133" s="1982">
        <v>11</v>
      </c>
    </row>
    <row s="17832" customFormat="1" customHeight="1" ht="11.549999999999999">
      <c r="A134" s="1328"/>
      <c r="B134" s="1977"/>
      <c r="C134" s="1977"/>
      <c r="D134" s="692"/>
      <c r="K134" s="1501"/>
      <c r="L134" s="1977"/>
      <c r="M134" s="1977"/>
      <c r="N134" s="1501"/>
      <c r="O134" s="1501"/>
      <c r="P134" s="1501"/>
      <c r="Q134" s="1501"/>
      <c r="R134" s="1977"/>
      <c r="S134" s="1501"/>
      <c r="T134" s="1501"/>
      <c r="U134" s="885"/>
      <c r="V134" s="1501"/>
      <c r="W134" s="1501"/>
      <c r="X134" s="1501"/>
      <c r="Y134" s="1501"/>
      <c r="Z134" s="1501"/>
      <c r="AA134" s="1973"/>
      <c r="AB134" s="907"/>
      <c r="AC134" s="907"/>
      <c r="AD134" s="907"/>
      <c r="AE134" s="907"/>
      <c r="AF134" s="1982">
        <v>11</v>
      </c>
    </row>
    <row s="17832" customFormat="1" customHeight="1" ht="11.549999999999999">
      <c r="A135" s="1328"/>
      <c r="B135" s="1977"/>
      <c r="C135" s="1977"/>
      <c r="D135" s="692"/>
      <c r="K135" s="1501"/>
      <c r="L135" s="1977"/>
      <c r="M135" s="1977"/>
      <c r="N135" s="1501"/>
      <c r="O135" s="1501"/>
      <c r="P135" s="1501"/>
      <c r="Q135" s="1501"/>
      <c r="R135" s="1977"/>
      <c r="S135" s="1501"/>
      <c r="T135" s="1501"/>
      <c r="U135" s="885"/>
      <c r="V135" s="1501"/>
      <c r="W135" s="1501"/>
      <c r="X135" s="1501"/>
      <c r="Y135" s="1501"/>
      <c r="Z135" s="1501"/>
      <c r="AA135" s="1973"/>
      <c r="AB135" s="907"/>
      <c r="AC135" s="907"/>
      <c r="AD135" s="907"/>
      <c r="AE135" s="907"/>
      <c r="AF135" s="1982">
        <v>11</v>
      </c>
    </row>
    <row s="17832" customFormat="1" customHeight="1" ht="11.549999999999999">
      <c r="A136" s="1328"/>
      <c r="B136" s="1977"/>
      <c r="C136" s="1977"/>
      <c r="D136" s="692"/>
      <c r="K136" s="1501"/>
      <c r="L136" s="1977"/>
      <c r="M136" s="1977"/>
      <c r="N136" s="1501"/>
      <c r="O136" s="1501"/>
      <c r="P136" s="1501"/>
      <c r="Q136" s="1501"/>
      <c r="R136" s="1977"/>
      <c r="S136" s="1501"/>
      <c r="T136" s="1501"/>
      <c r="U136" s="885"/>
      <c r="V136" s="1501"/>
      <c r="W136" s="1501"/>
      <c r="X136" s="1501"/>
      <c r="Y136" s="1501"/>
      <c r="Z136" s="1501"/>
      <c r="AA136" s="1973"/>
      <c r="AB136" s="907"/>
      <c r="AC136" s="907"/>
      <c r="AD136" s="907"/>
      <c r="AE136" s="907"/>
      <c r="AF136" s="1982">
        <v>11</v>
      </c>
    </row>
    <row s="17832" customFormat="1" customHeight="1" ht="11.549999999999999">
      <c r="A137" s="1328"/>
      <c r="B137" s="1977"/>
      <c r="C137" s="1977"/>
      <c r="D137" s="692"/>
      <c r="K137" s="1501"/>
      <c r="L137" s="1977"/>
      <c r="M137" s="1977"/>
      <c r="N137" s="1501"/>
      <c r="O137" s="1501"/>
      <c r="P137" s="1501"/>
      <c r="Q137" s="1501"/>
      <c r="R137" s="1977"/>
      <c r="S137" s="1501"/>
      <c r="T137" s="1501"/>
      <c r="U137" s="885"/>
      <c r="V137" s="1501"/>
      <c r="W137" s="1501"/>
      <c r="X137" s="1501"/>
      <c r="Y137" s="1501"/>
      <c r="Z137" s="1501"/>
      <c r="AA137" s="1973"/>
      <c r="AB137" s="907"/>
      <c r="AC137" s="907"/>
      <c r="AD137" s="907"/>
      <c r="AE137" s="907"/>
      <c r="AF137" s="1982">
        <v>11</v>
      </c>
    </row>
    <row s="17832" customFormat="1" customHeight="1" ht="11.549999999999999">
      <c r="A138" s="1328"/>
      <c r="B138" s="1977"/>
      <c r="C138" s="1977"/>
      <c r="D138" s="692"/>
      <c r="K138" s="1501"/>
      <c r="L138" s="1977"/>
      <c r="M138" s="1977"/>
      <c r="N138" s="1501"/>
      <c r="O138" s="1501"/>
      <c r="P138" s="1501"/>
      <c r="Q138" s="1501"/>
      <c r="R138" s="1977"/>
      <c r="S138" s="1501"/>
      <c r="T138" s="1501"/>
      <c r="U138" s="885"/>
      <c r="V138" s="1501"/>
      <c r="W138" s="1501"/>
      <c r="X138" s="1501"/>
      <c r="Y138" s="1501"/>
      <c r="Z138" s="1501"/>
      <c r="AA138" s="1973"/>
      <c r="AB138" s="907"/>
      <c r="AC138" s="907"/>
      <c r="AD138" s="907"/>
      <c r="AE138" s="907"/>
      <c r="AF138" s="1982">
        <v>11</v>
      </c>
    </row>
    <row s="17832" customFormat="1" customHeight="1" ht="11.549999999999999">
      <c r="A139" s="1328"/>
      <c r="B139" s="1977"/>
      <c r="C139" s="1977"/>
      <c r="D139" s="692"/>
      <c r="K139" s="1501"/>
      <c r="L139" s="1977"/>
      <c r="M139" s="1977"/>
      <c r="N139" s="1501"/>
      <c r="O139" s="1501"/>
      <c r="P139" s="1501"/>
      <c r="Q139" s="1501"/>
      <c r="R139" s="1977"/>
      <c r="S139" s="1501"/>
      <c r="T139" s="1501"/>
      <c r="U139" s="885"/>
      <c r="V139" s="1501"/>
      <c r="W139" s="1501"/>
      <c r="X139" s="1501"/>
      <c r="Y139" s="1501"/>
      <c r="Z139" s="1501"/>
      <c r="AA139" s="1973"/>
      <c r="AB139" s="907"/>
      <c r="AC139" s="907"/>
      <c r="AD139" s="907"/>
      <c r="AE139" s="907"/>
      <c r="AF139" s="1982">
        <v>11</v>
      </c>
    </row>
    <row s="17832" customFormat="1" customHeight="1" ht="11.549999999999999">
      <c r="A140" s="1328"/>
      <c r="B140" s="1977"/>
      <c r="C140" s="1977"/>
      <c r="D140" s="692"/>
      <c r="K140" s="1501"/>
      <c r="L140" s="1977"/>
      <c r="M140" s="1977"/>
      <c r="N140" s="1501"/>
      <c r="O140" s="1501"/>
      <c r="P140" s="1501"/>
      <c r="Q140" s="1501"/>
      <c r="R140" s="1977"/>
      <c r="S140" s="1501"/>
      <c r="T140" s="1501"/>
      <c r="U140" s="885"/>
      <c r="V140" s="1501"/>
      <c r="W140" s="1501"/>
      <c r="X140" s="1501"/>
      <c r="Y140" s="1501"/>
      <c r="Z140" s="1501"/>
      <c r="AA140" s="1973"/>
      <c r="AB140" s="907"/>
      <c r="AC140" s="907"/>
      <c r="AD140" s="907"/>
      <c r="AE140" s="907"/>
      <c r="AF140" s="1982">
        <v>11</v>
      </c>
    </row>
    <row s="17832" customFormat="1" customHeight="1" ht="11.549999999999999">
      <c r="A141" s="1328"/>
      <c r="B141" s="1977"/>
      <c r="C141" s="1977"/>
      <c r="D141" s="692"/>
      <c r="K141" s="1501"/>
      <c r="L141" s="1977"/>
      <c r="M141" s="1977"/>
      <c r="N141" s="1501"/>
      <c r="O141" s="1501"/>
      <c r="P141" s="1501"/>
      <c r="Q141" s="1501"/>
      <c r="R141" s="1977"/>
      <c r="S141" s="1501"/>
      <c r="T141" s="1501"/>
      <c r="U141" s="885"/>
      <c r="V141" s="1501"/>
      <c r="W141" s="1501"/>
      <c r="X141" s="1501"/>
      <c r="Y141" s="1501"/>
      <c r="Z141" s="1501"/>
      <c r="AA141" s="1973"/>
      <c r="AB141" s="907"/>
      <c r="AC141" s="907"/>
      <c r="AD141" s="907"/>
      <c r="AE141" s="907"/>
      <c r="AF141" s="1982">
        <v>11</v>
      </c>
    </row>
    <row s="17832" customFormat="1" customHeight="1" ht="11.549999999999999">
      <c r="A142" s="1328"/>
      <c r="B142" s="1977"/>
      <c r="C142" s="1977"/>
      <c r="D142" s="692"/>
      <c r="K142" s="1501"/>
      <c r="L142" s="1977"/>
      <c r="M142" s="1977"/>
      <c r="N142" s="1501"/>
      <c r="O142" s="1501"/>
      <c r="P142" s="1501"/>
      <c r="Q142" s="1501"/>
      <c r="R142" s="1977"/>
      <c r="S142" s="1501"/>
      <c r="T142" s="1501"/>
      <c r="U142" s="885"/>
      <c r="V142" s="1501"/>
      <c r="W142" s="1501"/>
      <c r="X142" s="1501"/>
      <c r="Y142" s="1501"/>
      <c r="Z142" s="1501"/>
      <c r="AA142" s="1973"/>
      <c r="AB142" s="907"/>
      <c r="AC142" s="907"/>
      <c r="AD142" s="907"/>
      <c r="AE142" s="907"/>
      <c r="AF142" s="1982">
        <v>11</v>
      </c>
    </row>
    <row s="17832" customFormat="1" customHeight="1" ht="11.549999999999999">
      <c r="A143" s="1328"/>
      <c r="B143" s="1977"/>
      <c r="C143" s="1977"/>
      <c r="D143" s="692"/>
      <c r="K143" s="1501"/>
      <c r="L143" s="1977"/>
      <c r="M143" s="1977"/>
      <c r="N143" s="1501"/>
      <c r="O143" s="1501"/>
      <c r="P143" s="1501"/>
      <c r="Q143" s="1501"/>
      <c r="R143" s="1977"/>
      <c r="S143" s="1501"/>
      <c r="T143" s="1501"/>
      <c r="U143" s="885"/>
      <c r="V143" s="1501"/>
      <c r="W143" s="1501"/>
      <c r="X143" s="1501"/>
      <c r="Y143" s="1501"/>
      <c r="Z143" s="1501"/>
      <c r="AA143" s="1973"/>
      <c r="AB143" s="907"/>
      <c r="AC143" s="907"/>
      <c r="AD143" s="907"/>
      <c r="AE143" s="907"/>
      <c r="AF143" s="1982">
        <v>11</v>
      </c>
    </row>
    <row s="17832" customFormat="1" customHeight="1" ht="11.549999999999999">
      <c r="A144" s="1328"/>
      <c r="B144" s="1977"/>
      <c r="C144" s="1977"/>
      <c r="D144" s="692"/>
      <c r="K144" s="1501"/>
      <c r="L144" s="1977"/>
      <c r="M144" s="1977"/>
      <c r="N144" s="1501"/>
      <c r="O144" s="1501"/>
      <c r="P144" s="1501"/>
      <c r="Q144" s="1501"/>
      <c r="R144" s="1977"/>
      <c r="S144" s="1501"/>
      <c r="T144" s="1501"/>
      <c r="U144" s="885"/>
      <c r="V144" s="1501"/>
      <c r="W144" s="1501"/>
      <c r="X144" s="1501"/>
      <c r="Y144" s="1501"/>
      <c r="Z144" s="1501"/>
      <c r="AA144" s="1973"/>
      <c r="AB144" s="907"/>
      <c r="AC144" s="907"/>
      <c r="AD144" s="907"/>
      <c r="AE144" s="907"/>
      <c r="AF144" s="1982">
        <v>11</v>
      </c>
    </row>
    <row s="17832" customFormat="1" customHeight="1" ht="11.549999999999999">
      <c r="A145" s="1328"/>
      <c r="B145" s="1977"/>
      <c r="C145" s="1977"/>
      <c r="D145" s="692"/>
      <c r="K145" s="1501"/>
      <c r="L145" s="1977"/>
      <c r="M145" s="1977"/>
      <c r="N145" s="1501"/>
      <c r="O145" s="1501"/>
      <c r="P145" s="1501"/>
      <c r="Q145" s="1501"/>
      <c r="R145" s="1977"/>
      <c r="S145" s="1501"/>
      <c r="T145" s="1501"/>
      <c r="U145" s="885"/>
      <c r="V145" s="1501"/>
      <c r="W145" s="1501"/>
      <c r="X145" s="1501"/>
      <c r="Y145" s="1501"/>
      <c r="Z145" s="1501"/>
      <c r="AA145" s="1973"/>
      <c r="AB145" s="907"/>
      <c r="AC145" s="907"/>
      <c r="AD145" s="907"/>
      <c r="AE145" s="907"/>
      <c r="AF145" s="1982">
        <v>11</v>
      </c>
    </row>
    <row s="17832" customFormat="1" customHeight="1" ht="11.549999999999999">
      <c r="A146" s="1328"/>
      <c r="B146" s="1977"/>
      <c r="C146" s="1977"/>
      <c r="D146" s="692"/>
      <c r="K146" s="1501"/>
      <c r="L146" s="1977"/>
      <c r="M146" s="1977"/>
      <c r="N146" s="1501"/>
      <c r="O146" s="1501"/>
      <c r="P146" s="1501"/>
      <c r="Q146" s="1501"/>
      <c r="R146" s="1977"/>
      <c r="S146" s="1501"/>
      <c r="T146" s="1501"/>
      <c r="U146" s="885"/>
      <c r="V146" s="1501"/>
      <c r="W146" s="1501"/>
      <c r="X146" s="1501"/>
      <c r="Y146" s="1501"/>
      <c r="Z146" s="1501"/>
      <c r="AA146" s="1973"/>
      <c r="AB146" s="907"/>
      <c r="AC146" s="907"/>
      <c r="AD146" s="907"/>
      <c r="AE146" s="907"/>
      <c r="AF146" s="1982">
        <v>11</v>
      </c>
    </row>
    <row s="17832" customFormat="1" customHeight="1" ht="11.549999999999999">
      <c r="A147" s="1328"/>
      <c r="B147" s="1977"/>
      <c r="C147" s="1977"/>
      <c r="D147" s="692"/>
      <c r="K147" s="1501"/>
      <c r="L147" s="1977"/>
      <c r="M147" s="1977"/>
      <c r="N147" s="1501"/>
      <c r="O147" s="1501"/>
      <c r="P147" s="1501"/>
      <c r="Q147" s="1501"/>
      <c r="R147" s="1977"/>
      <c r="S147" s="1501"/>
      <c r="T147" s="1501"/>
      <c r="U147" s="885"/>
      <c r="V147" s="1501"/>
      <c r="W147" s="1501"/>
      <c r="X147" s="1501"/>
      <c r="Y147" s="1501"/>
      <c r="Z147" s="1501"/>
      <c r="AA147" s="1973"/>
      <c r="AB147" s="907"/>
      <c r="AC147" s="907"/>
      <c r="AD147" s="907"/>
      <c r="AE147" s="907"/>
      <c r="AF147" s="1982">
        <v>11</v>
      </c>
    </row>
    <row s="17832" customFormat="1" customHeight="1" ht="11.549999999999999">
      <c r="A148" s="1328"/>
      <c r="B148" s="1977"/>
      <c r="C148" s="1977"/>
      <c r="D148" s="692"/>
      <c r="K148" s="1501"/>
      <c r="L148" s="1977"/>
      <c r="M148" s="1977"/>
      <c r="N148" s="1501"/>
      <c r="O148" s="1501"/>
      <c r="P148" s="1501"/>
      <c r="Q148" s="1501"/>
      <c r="R148" s="1977"/>
      <c r="S148" s="1501"/>
      <c r="T148" s="1501"/>
      <c r="U148" s="885"/>
      <c r="V148" s="1501"/>
      <c r="W148" s="1501"/>
      <c r="X148" s="1501"/>
      <c r="Y148" s="1501"/>
      <c r="Z148" s="1501"/>
      <c r="AA148" s="1973"/>
      <c r="AB148" s="907"/>
      <c r="AC148" s="907"/>
      <c r="AD148" s="907"/>
      <c r="AE148" s="907"/>
      <c r="AF148" s="1982">
        <v>11</v>
      </c>
    </row>
    <row s="17832" customFormat="1" customHeight="1" ht="11.549999999999999">
      <c r="A149" s="1328"/>
      <c r="B149" s="1977"/>
      <c r="C149" s="1977"/>
      <c r="D149" s="692"/>
      <c r="K149" s="1501"/>
      <c r="L149" s="1977"/>
      <c r="M149" s="1977"/>
      <c r="N149" s="1501"/>
      <c r="O149" s="1501"/>
      <c r="P149" s="1501"/>
      <c r="Q149" s="1501"/>
      <c r="R149" s="1977"/>
      <c r="S149" s="1501"/>
      <c r="T149" s="1501"/>
      <c r="U149" s="885"/>
      <c r="V149" s="1501"/>
      <c r="W149" s="1501"/>
      <c r="X149" s="1501"/>
      <c r="Y149" s="1501"/>
      <c r="Z149" s="1501"/>
      <c r="AA149" s="1973"/>
      <c r="AB149" s="907"/>
      <c r="AC149" s="907"/>
      <c r="AD149" s="907"/>
      <c r="AE149" s="907"/>
      <c r="AF149" s="1982">
        <v>11</v>
      </c>
    </row>
    <row s="17832" customFormat="1" customHeight="1" ht="11.549999999999999">
      <c r="A150" s="1328"/>
      <c r="B150" s="1977"/>
      <c r="C150" s="1977"/>
      <c r="D150" s="692"/>
      <c r="K150" s="1501"/>
      <c r="L150" s="1977"/>
      <c r="M150" s="1977"/>
      <c r="N150" s="1501"/>
      <c r="O150" s="1501"/>
      <c r="P150" s="1501"/>
      <c r="Q150" s="1501"/>
      <c r="R150" s="1977"/>
      <c r="S150" s="1501"/>
      <c r="T150" s="1501"/>
      <c r="U150" s="885"/>
      <c r="V150" s="1501"/>
      <c r="W150" s="1501"/>
      <c r="X150" s="1501"/>
      <c r="Y150" s="1501"/>
      <c r="Z150" s="1501"/>
      <c r="AA150" s="1973"/>
      <c r="AB150" s="907"/>
      <c r="AC150" s="907"/>
      <c r="AD150" s="907"/>
      <c r="AE150" s="907"/>
      <c r="AF150" s="1982">
        <v>11</v>
      </c>
    </row>
    <row s="17832" customFormat="1" customHeight="1" ht="11.549999999999999">
      <c r="A151" s="1328"/>
      <c r="B151" s="1977"/>
      <c r="C151" s="1977"/>
      <c r="D151" s="692"/>
      <c r="K151" s="1501"/>
      <c r="L151" s="1977"/>
      <c r="M151" s="1977"/>
      <c r="N151" s="1501"/>
      <c r="O151" s="1501"/>
      <c r="P151" s="1501"/>
      <c r="Q151" s="1501"/>
      <c r="R151" s="1977"/>
      <c r="S151" s="1501"/>
      <c r="T151" s="1501"/>
      <c r="U151" s="885"/>
      <c r="V151" s="1501"/>
      <c r="W151" s="1501"/>
      <c r="X151" s="1501"/>
      <c r="Y151" s="1501"/>
      <c r="Z151" s="1501"/>
      <c r="AA151" s="1973"/>
      <c r="AB151" s="907"/>
      <c r="AC151" s="907"/>
      <c r="AD151" s="907"/>
      <c r="AE151" s="907"/>
      <c r="AF151" s="1982">
        <v>11</v>
      </c>
    </row>
    <row s="17832" customFormat="1" customHeight="1" ht="11.549999999999999">
      <c r="A152" s="1328"/>
      <c r="B152" s="1977"/>
      <c r="C152" s="1977"/>
      <c r="D152" s="692"/>
      <c r="K152" s="1501"/>
      <c r="L152" s="1977"/>
      <c r="M152" s="1977"/>
      <c r="N152" s="1501"/>
      <c r="O152" s="1501"/>
      <c r="P152" s="1501"/>
      <c r="Q152" s="1501"/>
      <c r="R152" s="1977"/>
      <c r="S152" s="1501"/>
      <c r="T152" s="1501"/>
      <c r="U152" s="885"/>
      <c r="V152" s="1501"/>
      <c r="W152" s="1501"/>
      <c r="X152" s="1501"/>
      <c r="Y152" s="1501"/>
      <c r="Z152" s="1501"/>
      <c r="AA152" s="1973"/>
      <c r="AB152" s="907"/>
      <c r="AC152" s="907"/>
      <c r="AD152" s="907"/>
      <c r="AE152" s="907"/>
      <c r="AF152" s="1982">
        <v>11</v>
      </c>
    </row>
    <row s="17832" customFormat="1" customHeight="1" ht="11.549999999999999">
      <c r="A153" s="1328"/>
      <c r="B153" s="1977"/>
      <c r="C153" s="1977"/>
      <c r="D153" s="692"/>
      <c r="K153" s="1501"/>
      <c r="L153" s="1977"/>
      <c r="M153" s="1977"/>
      <c r="N153" s="1501"/>
      <c r="O153" s="1501"/>
      <c r="P153" s="1501"/>
      <c r="Q153" s="1501"/>
      <c r="R153" s="1977"/>
      <c r="S153" s="1501"/>
      <c r="T153" s="1501"/>
      <c r="U153" s="885"/>
      <c r="V153" s="1501"/>
      <c r="W153" s="1501"/>
      <c r="X153" s="1501"/>
      <c r="Y153" s="1501"/>
      <c r="Z153" s="1501"/>
      <c r="AA153" s="1973"/>
      <c r="AB153" s="907"/>
      <c r="AC153" s="907"/>
      <c r="AD153" s="907"/>
      <c r="AE153" s="907"/>
      <c r="AF153" s="1982">
        <v>11</v>
      </c>
    </row>
    <row s="17832" customFormat="1" customHeight="1" ht="11.549999999999999">
      <c r="A154" s="1328"/>
      <c r="B154" s="1977"/>
      <c r="C154" s="1977"/>
      <c r="D154" s="692"/>
      <c r="K154" s="1501"/>
      <c r="L154" s="1977"/>
      <c r="M154" s="1977"/>
      <c r="N154" s="1501"/>
      <c r="O154" s="1501"/>
      <c r="P154" s="1501"/>
      <c r="Q154" s="1501"/>
      <c r="R154" s="1977"/>
      <c r="S154" s="1501"/>
      <c r="T154" s="1501"/>
      <c r="U154" s="885"/>
      <c r="V154" s="1501"/>
      <c r="W154" s="1501"/>
      <c r="X154" s="1501"/>
      <c r="Y154" s="1501"/>
      <c r="Z154" s="1501"/>
      <c r="AA154" s="1973"/>
      <c r="AB154" s="907"/>
      <c r="AC154" s="907"/>
      <c r="AD154" s="907"/>
      <c r="AE154" s="907"/>
      <c r="AF154" s="1982">
        <v>11</v>
      </c>
    </row>
    <row s="17832" customFormat="1" customHeight="1" ht="11.549999999999999">
      <c r="A155" s="1328"/>
      <c r="B155" s="1977"/>
      <c r="C155" s="1977"/>
      <c r="D155" s="692"/>
      <c r="K155" s="1501"/>
      <c r="L155" s="1977"/>
      <c r="M155" s="1977"/>
      <c r="N155" s="1501"/>
      <c r="O155" s="1501"/>
      <c r="P155" s="1501"/>
      <c r="Q155" s="1501"/>
      <c r="R155" s="1977"/>
      <c r="S155" s="1501"/>
      <c r="T155" s="1501"/>
      <c r="U155" s="885"/>
      <c r="V155" s="1501"/>
      <c r="W155" s="1501"/>
      <c r="X155" s="1501"/>
      <c r="Y155" s="1501"/>
      <c r="Z155" s="1501"/>
      <c r="AA155" s="1973"/>
      <c r="AB155" s="907"/>
      <c r="AC155" s="907"/>
      <c r="AD155" s="907"/>
      <c r="AE155" s="907"/>
      <c r="AF155" s="1982">
        <v>11</v>
      </c>
    </row>
    <row s="17832" customFormat="1" customHeight="1" ht="11.549999999999999">
      <c r="A156" s="1328"/>
      <c r="B156" s="1977"/>
      <c r="C156" s="1977"/>
      <c r="D156" s="692"/>
      <c r="K156" s="1501"/>
      <c r="L156" s="1977"/>
      <c r="M156" s="1977"/>
      <c r="N156" s="1501"/>
      <c r="O156" s="1501"/>
      <c r="P156" s="1501"/>
      <c r="Q156" s="1501"/>
      <c r="R156" s="1977"/>
      <c r="S156" s="1501"/>
      <c r="T156" s="1501"/>
      <c r="U156" s="885"/>
      <c r="V156" s="1501"/>
      <c r="W156" s="1501"/>
      <c r="X156" s="1501"/>
      <c r="Y156" s="1501"/>
      <c r="Z156" s="1501"/>
      <c r="AA156" s="1973"/>
      <c r="AB156" s="907"/>
      <c r="AC156" s="907"/>
      <c r="AD156" s="907"/>
      <c r="AE156" s="907"/>
      <c r="AF156" s="1982">
        <v>11</v>
      </c>
    </row>
    <row s="17832" customFormat="1" customHeight="1" ht="11.549999999999999">
      <c r="A157" s="1328"/>
      <c r="B157" s="1977"/>
      <c r="C157" s="1977"/>
      <c r="D157" s="692"/>
      <c r="K157" s="1501"/>
      <c r="L157" s="1977"/>
      <c r="M157" s="1977"/>
      <c r="N157" s="1501"/>
      <c r="O157" s="1501"/>
      <c r="P157" s="1501"/>
      <c r="Q157" s="1501"/>
      <c r="R157" s="1977"/>
      <c r="S157" s="1501"/>
      <c r="T157" s="1501"/>
      <c r="U157" s="885"/>
      <c r="V157" s="1501"/>
      <c r="W157" s="1501"/>
      <c r="X157" s="1501"/>
      <c r="Y157" s="1501"/>
      <c r="Z157" s="1501"/>
      <c r="AA157" s="1973"/>
      <c r="AB157" s="907"/>
      <c r="AC157" s="907"/>
      <c r="AD157" s="907"/>
      <c r="AE157" s="907"/>
      <c r="AF157" s="1982">
        <v>11</v>
      </c>
    </row>
    <row s="17832" customFormat="1" customHeight="1" ht="11.549999999999999">
      <c r="A158" s="1328"/>
      <c r="B158" s="1977"/>
      <c r="C158" s="1977"/>
      <c r="D158" s="692"/>
      <c r="K158" s="1501"/>
      <c r="L158" s="1977"/>
      <c r="M158" s="1977"/>
      <c r="N158" s="1501"/>
      <c r="O158" s="1501"/>
      <c r="P158" s="1501"/>
      <c r="Q158" s="1501"/>
      <c r="R158" s="1977"/>
      <c r="S158" s="1501"/>
      <c r="T158" s="1501"/>
      <c r="U158" s="885"/>
      <c r="V158" s="1501"/>
      <c r="W158" s="1501"/>
      <c r="X158" s="1501"/>
      <c r="Y158" s="1501"/>
      <c r="Z158" s="1501"/>
      <c r="AA158" s="1973"/>
      <c r="AB158" s="907"/>
      <c r="AC158" s="907"/>
      <c r="AD158" s="907"/>
      <c r="AE158" s="907"/>
      <c r="AF158" s="1982">
        <v>11</v>
      </c>
    </row>
    <row s="17832" customFormat="1" customHeight="1" ht="11.549999999999999">
      <c r="A159" s="1328"/>
      <c r="B159" s="1977"/>
      <c r="C159" s="1977"/>
      <c r="D159" s="692"/>
      <c r="K159" s="1501"/>
      <c r="L159" s="1977"/>
      <c r="M159" s="1977"/>
      <c r="N159" s="1501"/>
      <c r="O159" s="1501"/>
      <c r="P159" s="1501"/>
      <c r="Q159" s="1501"/>
      <c r="R159" s="1977"/>
      <c r="S159" s="1501"/>
      <c r="T159" s="1501"/>
      <c r="U159" s="885"/>
      <c r="V159" s="1501"/>
      <c r="W159" s="1501"/>
      <c r="X159" s="1501"/>
      <c r="Y159" s="1501"/>
      <c r="Z159" s="1501"/>
      <c r="AA159" s="1973"/>
      <c r="AB159" s="907"/>
      <c r="AC159" s="907"/>
      <c r="AD159" s="907"/>
      <c r="AE159" s="907"/>
      <c r="AF159" s="1982">
        <v>11</v>
      </c>
    </row>
    <row s="17832" customFormat="1" customHeight="1" ht="11.549999999999999">
      <c r="A160" s="1328"/>
      <c r="B160" s="1977"/>
      <c r="C160" s="1977"/>
      <c r="D160" s="692"/>
      <c r="K160" s="1501"/>
      <c r="L160" s="1977"/>
      <c r="M160" s="1977"/>
      <c r="N160" s="1501"/>
      <c r="O160" s="1501"/>
      <c r="P160" s="1501"/>
      <c r="Q160" s="1501"/>
      <c r="R160" s="1977"/>
      <c r="S160" s="1501"/>
      <c r="T160" s="1501"/>
      <c r="U160" s="885"/>
      <c r="V160" s="1501"/>
      <c r="W160" s="1501"/>
      <c r="X160" s="1501"/>
      <c r="Y160" s="1501"/>
      <c r="Z160" s="1501"/>
      <c r="AA160" s="1973"/>
      <c r="AB160" s="907"/>
      <c r="AC160" s="907"/>
      <c r="AD160" s="907"/>
      <c r="AE160" s="907"/>
      <c r="AF160" s="1982">
        <v>11</v>
      </c>
    </row>
    <row s="17832" customFormat="1" customHeight="1" ht="11.549999999999999">
      <c r="A161" s="1328"/>
      <c r="B161" s="1977"/>
      <c r="C161" s="1977"/>
      <c r="D161" s="692"/>
      <c r="K161" s="1501"/>
      <c r="L161" s="1977"/>
      <c r="M161" s="1977"/>
      <c r="N161" s="1501"/>
      <c r="O161" s="1501"/>
      <c r="P161" s="1501"/>
      <c r="Q161" s="1501"/>
      <c r="R161" s="1977"/>
      <c r="S161" s="1501"/>
      <c r="T161" s="1501"/>
      <c r="U161" s="885"/>
      <c r="V161" s="1501"/>
      <c r="W161" s="1501"/>
      <c r="X161" s="1501"/>
      <c r="Y161" s="1501"/>
      <c r="Z161" s="1501"/>
      <c r="AA161" s="1973"/>
      <c r="AB161" s="907"/>
      <c r="AC161" s="907"/>
      <c r="AD161" s="907"/>
      <c r="AE161" s="907"/>
      <c r="AF161" s="1982">
        <v>11</v>
      </c>
    </row>
    <row s="17832" customFormat="1" customHeight="1" ht="11.549999999999999">
      <c r="A162" s="1328"/>
      <c r="B162" s="1977"/>
      <c r="C162" s="1977"/>
      <c r="D162" s="692"/>
      <c r="K162" s="1501"/>
      <c r="L162" s="1977"/>
      <c r="M162" s="1977"/>
      <c r="N162" s="1501"/>
      <c r="O162" s="1501"/>
      <c r="P162" s="1501"/>
      <c r="Q162" s="1501"/>
      <c r="R162" s="1977"/>
      <c r="S162" s="1501"/>
      <c r="T162" s="1501"/>
      <c r="U162" s="885"/>
      <c r="V162" s="1501"/>
      <c r="W162" s="1501"/>
      <c r="X162" s="1501"/>
      <c r="Y162" s="1501"/>
      <c r="Z162" s="1501"/>
      <c r="AA162" s="1973"/>
      <c r="AB162" s="907"/>
      <c r="AC162" s="907"/>
      <c r="AD162" s="907"/>
      <c r="AE162" s="907"/>
      <c r="AF162" s="1982">
        <v>11</v>
      </c>
    </row>
    <row s="17832" customFormat="1" customHeight="1" ht="11.549999999999999">
      <c r="A163" s="1328"/>
      <c r="B163" s="1977"/>
      <c r="C163" s="1977"/>
      <c r="D163" s="692"/>
      <c r="K163" s="1501"/>
      <c r="L163" s="1977"/>
      <c r="M163" s="1977"/>
      <c r="N163" s="1501"/>
      <c r="O163" s="1501"/>
      <c r="P163" s="1501"/>
      <c r="Q163" s="1501"/>
      <c r="R163" s="1977"/>
      <c r="S163" s="1501"/>
      <c r="T163" s="1501"/>
      <c r="U163" s="885"/>
      <c r="V163" s="1501"/>
      <c r="W163" s="1501"/>
      <c r="X163" s="1501"/>
      <c r="Y163" s="1501"/>
      <c r="Z163" s="1501"/>
      <c r="AA163" s="1973"/>
      <c r="AB163" s="907"/>
      <c r="AC163" s="907"/>
      <c r="AD163" s="907"/>
      <c r="AE163" s="907"/>
      <c r="AF163" s="1982">
        <v>11</v>
      </c>
    </row>
    <row s="17832" customFormat="1" customHeight="1" ht="11.549999999999999">
      <c r="A164" s="1328"/>
      <c r="B164" s="1977"/>
      <c r="C164" s="1977"/>
      <c r="D164" s="692"/>
      <c r="K164" s="1501"/>
      <c r="L164" s="1977"/>
      <c r="M164" s="1977"/>
      <c r="N164" s="1501"/>
      <c r="O164" s="1501"/>
      <c r="P164" s="1501"/>
      <c r="Q164" s="1501"/>
      <c r="R164" s="1977"/>
      <c r="S164" s="1501"/>
      <c r="T164" s="1501"/>
      <c r="U164" s="885"/>
      <c r="V164" s="1501"/>
      <c r="W164" s="1501"/>
      <c r="X164" s="1501"/>
      <c r="Y164" s="1501"/>
      <c r="Z164" s="1501"/>
      <c r="AA164" s="1973"/>
      <c r="AB164" s="907"/>
      <c r="AC164" s="907"/>
      <c r="AD164" s="907"/>
      <c r="AE164" s="907"/>
      <c r="AF164" s="1982">
        <v>11</v>
      </c>
    </row>
    <row s="17832" customFormat="1" customHeight="1" ht="11.549999999999999">
      <c r="A165" s="1328"/>
      <c r="B165" s="1977"/>
      <c r="C165" s="1977"/>
      <c r="D165" s="692"/>
      <c r="K165" s="1501"/>
      <c r="L165" s="1977"/>
      <c r="M165" s="1977"/>
      <c r="N165" s="1501"/>
      <c r="O165" s="1501"/>
      <c r="P165" s="1501"/>
      <c r="Q165" s="1501"/>
      <c r="R165" s="1977"/>
      <c r="S165" s="1501"/>
      <c r="T165" s="1501"/>
      <c r="U165" s="885"/>
      <c r="V165" s="1501"/>
      <c r="W165" s="1501"/>
      <c r="X165" s="1501"/>
      <c r="Y165" s="1501"/>
      <c r="Z165" s="1501"/>
      <c r="AA165" s="1973"/>
      <c r="AB165" s="907"/>
      <c r="AC165" s="907"/>
      <c r="AD165" s="907"/>
      <c r="AE165" s="907"/>
      <c r="AF165" s="1982">
        <v>11</v>
      </c>
    </row>
    <row s="17832" customFormat="1" customHeight="1" ht="11.549999999999999">
      <c r="A166" s="1328"/>
      <c r="B166" s="1977"/>
      <c r="C166" s="1977"/>
      <c r="D166" s="692"/>
      <c r="K166" s="1501"/>
      <c r="L166" s="1977"/>
      <c r="M166" s="1977"/>
      <c r="N166" s="1501"/>
      <c r="O166" s="1501"/>
      <c r="P166" s="1501"/>
      <c r="Q166" s="1501"/>
      <c r="R166" s="1977"/>
      <c r="S166" s="1501"/>
      <c r="T166" s="1501"/>
      <c r="U166" s="885"/>
      <c r="V166" s="1501"/>
      <c r="W166" s="1501"/>
      <c r="X166" s="1501"/>
      <c r="Y166" s="1501"/>
      <c r="Z166" s="1501"/>
      <c r="AA166" s="1973"/>
      <c r="AB166" s="907"/>
      <c r="AC166" s="907"/>
      <c r="AD166" s="907"/>
      <c r="AE166" s="907"/>
      <c r="AF166" s="1982">
        <v>11</v>
      </c>
    </row>
    <row s="17832" customFormat="1" customHeight="1" ht="11.549999999999999">
      <c r="A167" s="1328"/>
      <c r="B167" s="1977"/>
      <c r="C167" s="1977"/>
      <c r="D167" s="692"/>
      <c r="K167" s="1501"/>
      <c r="L167" s="1977"/>
      <c r="M167" s="1977"/>
      <c r="N167" s="1501"/>
      <c r="O167" s="1501"/>
      <c r="P167" s="1501"/>
      <c r="Q167" s="1501"/>
      <c r="R167" s="1977"/>
      <c r="S167" s="1501"/>
      <c r="T167" s="1501"/>
      <c r="U167" s="885"/>
      <c r="V167" s="1501"/>
      <c r="W167" s="1501"/>
      <c r="X167" s="1501"/>
      <c r="Y167" s="1501"/>
      <c r="Z167" s="1501"/>
      <c r="AA167" s="1973"/>
      <c r="AB167" s="907"/>
      <c r="AC167" s="907"/>
      <c r="AD167" s="907"/>
      <c r="AE167" s="907"/>
      <c r="AF167" s="1982">
        <v>11</v>
      </c>
    </row>
    <row s="17832" customFormat="1" customHeight="1" ht="11.549999999999999">
      <c r="A168" s="1328"/>
      <c r="B168" s="1977"/>
      <c r="C168" s="1977"/>
      <c r="D168" s="692"/>
      <c r="K168" s="1501"/>
      <c r="L168" s="1977"/>
      <c r="M168" s="1977"/>
      <c r="N168" s="1501"/>
      <c r="O168" s="1501"/>
      <c r="P168" s="1501"/>
      <c r="Q168" s="1501"/>
      <c r="R168" s="1977"/>
      <c r="S168" s="1501"/>
      <c r="T168" s="1501"/>
      <c r="U168" s="885"/>
      <c r="V168" s="1501"/>
      <c r="W168" s="1501"/>
      <c r="X168" s="1501"/>
      <c r="Y168" s="1501"/>
      <c r="Z168" s="1501"/>
      <c r="AA168" s="1973"/>
      <c r="AB168" s="907"/>
      <c r="AC168" s="907"/>
      <c r="AD168" s="907"/>
      <c r="AE168" s="907"/>
      <c r="AF168" s="1982">
        <v>11</v>
      </c>
    </row>
    <row s="17832" customFormat="1" customHeight="1" ht="11.549999999999999">
      <c r="A169" s="1328"/>
      <c r="B169" s="1977"/>
      <c r="C169" s="1977"/>
      <c r="D169" s="692"/>
      <c r="K169" s="1501"/>
      <c r="L169" s="1977"/>
      <c r="M169" s="1977"/>
      <c r="N169" s="1501"/>
      <c r="O169" s="1501"/>
      <c r="P169" s="1501"/>
      <c r="Q169" s="1501"/>
      <c r="R169" s="1977"/>
      <c r="S169" s="1501"/>
      <c r="T169" s="1501"/>
      <c r="U169" s="885"/>
      <c r="V169" s="1501"/>
      <c r="W169" s="1501"/>
      <c r="X169" s="1501"/>
      <c r="Y169" s="1501"/>
      <c r="Z169" s="1501"/>
      <c r="AA169" s="1973"/>
      <c r="AB169" s="907"/>
      <c r="AC169" s="907"/>
      <c r="AD169" s="907"/>
      <c r="AE169" s="907"/>
      <c r="AF169" s="1982">
        <v>11</v>
      </c>
    </row>
    <row s="17832" customFormat="1" customHeight="1" ht="11.549999999999999">
      <c r="A170" s="1328"/>
      <c r="B170" s="1977"/>
      <c r="C170" s="1977"/>
      <c r="D170" s="692"/>
      <c r="K170" s="1501"/>
      <c r="L170" s="1977"/>
      <c r="M170" s="1977"/>
      <c r="N170" s="1501"/>
      <c r="O170" s="1501"/>
      <c r="P170" s="1501"/>
      <c r="Q170" s="1501"/>
      <c r="R170" s="1977"/>
      <c r="S170" s="1501"/>
      <c r="T170" s="1501"/>
      <c r="U170" s="885"/>
      <c r="V170" s="1501"/>
      <c r="W170" s="1501"/>
      <c r="X170" s="1501"/>
      <c r="Y170" s="1501"/>
      <c r="Z170" s="1501"/>
      <c r="AA170" s="1973"/>
      <c r="AB170" s="907"/>
      <c r="AC170" s="907"/>
      <c r="AD170" s="907"/>
      <c r="AE170" s="907"/>
      <c r="AF170" s="1982">
        <v>11</v>
      </c>
    </row>
    <row s="17832" customFormat="1" customHeight="1" ht="11.549999999999999">
      <c r="A171" s="1328"/>
      <c r="B171" s="1977"/>
      <c r="C171" s="1977"/>
      <c r="D171" s="692"/>
      <c r="K171" s="1501"/>
      <c r="L171" s="1977"/>
      <c r="M171" s="1977"/>
      <c r="N171" s="1501"/>
      <c r="O171" s="1501"/>
      <c r="P171" s="1501"/>
      <c r="Q171" s="1501"/>
      <c r="R171" s="1977"/>
      <c r="S171" s="1501"/>
      <c r="T171" s="1501"/>
      <c r="U171" s="885"/>
      <c r="V171" s="1501"/>
      <c r="W171" s="1501"/>
      <c r="X171" s="1501"/>
      <c r="Y171" s="1501"/>
      <c r="Z171" s="1501"/>
      <c r="AA171" s="1973"/>
      <c r="AB171" s="907"/>
      <c r="AC171" s="907"/>
      <c r="AD171" s="907"/>
      <c r="AE171" s="907"/>
      <c r="AF171" s="1982">
        <v>11</v>
      </c>
    </row>
    <row s="17832" customFormat="1" customHeight="1" ht="11.549999999999999">
      <c r="A172" s="1328"/>
      <c r="B172" s="1977"/>
      <c r="C172" s="1977"/>
      <c r="D172" s="692"/>
      <c r="K172" s="1501"/>
      <c r="L172" s="1977"/>
      <c r="M172" s="1977"/>
      <c r="N172" s="1501"/>
      <c r="O172" s="1501"/>
      <c r="P172" s="1501"/>
      <c r="Q172" s="1501"/>
      <c r="R172" s="1977"/>
      <c r="S172" s="1501"/>
      <c r="T172" s="1501"/>
      <c r="U172" s="885"/>
      <c r="V172" s="1501"/>
      <c r="W172" s="1501"/>
      <c r="X172" s="1501"/>
      <c r="Y172" s="1501"/>
      <c r="Z172" s="1501"/>
      <c r="AA172" s="1973"/>
      <c r="AB172" s="907"/>
      <c r="AC172" s="907"/>
      <c r="AD172" s="907"/>
      <c r="AE172" s="907"/>
      <c r="AF172" s="1982">
        <v>11</v>
      </c>
    </row>
    <row s="17832" customFormat="1" customHeight="1" ht="11.549999999999999">
      <c r="A173" s="1328"/>
      <c r="B173" s="1977"/>
      <c r="C173" s="1977"/>
      <c r="D173" s="692"/>
      <c r="K173" s="1501"/>
      <c r="L173" s="1977"/>
      <c r="M173" s="1977"/>
      <c r="N173" s="1501"/>
      <c r="O173" s="1501"/>
      <c r="P173" s="1501"/>
      <c r="Q173" s="1501"/>
      <c r="R173" s="1977"/>
      <c r="S173" s="1501"/>
      <c r="T173" s="1501"/>
      <c r="U173" s="885"/>
      <c r="V173" s="1501"/>
      <c r="W173" s="1501"/>
      <c r="X173" s="1501"/>
      <c r="Y173" s="1501"/>
      <c r="Z173" s="1501"/>
      <c r="AA173" s="1973"/>
      <c r="AB173" s="907"/>
      <c r="AC173" s="907"/>
      <c r="AD173" s="907"/>
      <c r="AE173" s="907"/>
      <c r="AF173" s="1982">
        <v>11</v>
      </c>
    </row>
    <row s="17832" customFormat="1" customHeight="1" ht="11.549999999999999">
      <c r="A174" s="1328"/>
      <c r="B174" s="1977"/>
      <c r="C174" s="1977"/>
      <c r="D174" s="692"/>
      <c r="K174" s="1501"/>
      <c r="L174" s="1977"/>
      <c r="M174" s="1977"/>
      <c r="N174" s="1501"/>
      <c r="O174" s="1501"/>
      <c r="P174" s="1501"/>
      <c r="Q174" s="1501"/>
      <c r="R174" s="1977"/>
      <c r="S174" s="1501"/>
      <c r="T174" s="1501"/>
      <c r="U174" s="885"/>
      <c r="V174" s="1501"/>
      <c r="W174" s="1501"/>
      <c r="X174" s="1501"/>
      <c r="Y174" s="1501"/>
      <c r="Z174" s="1501"/>
      <c r="AA174" s="1973"/>
      <c r="AB174" s="907"/>
      <c r="AC174" s="907"/>
      <c r="AD174" s="907"/>
      <c r="AE174" s="907"/>
      <c r="AF174" s="1982">
        <v>11</v>
      </c>
    </row>
    <row s="17832" customFormat="1" customHeight="1" ht="11.549999999999999">
      <c r="A175" s="1328"/>
      <c r="B175" s="1977"/>
      <c r="C175" s="1977"/>
      <c r="D175" s="692"/>
      <c r="K175" s="1501"/>
      <c r="L175" s="1977"/>
      <c r="M175" s="1977"/>
      <c r="N175" s="1501"/>
      <c r="O175" s="1501"/>
      <c r="P175" s="1501"/>
      <c r="Q175" s="1501"/>
      <c r="R175" s="1977"/>
      <c r="S175" s="1501"/>
      <c r="T175" s="1501"/>
      <c r="U175" s="885"/>
      <c r="V175" s="1501"/>
      <c r="W175" s="1501"/>
      <c r="X175" s="1501"/>
      <c r="Y175" s="1501"/>
      <c r="Z175" s="1501"/>
      <c r="AA175" s="1973"/>
      <c r="AB175" s="907"/>
      <c r="AC175" s="907"/>
      <c r="AD175" s="907"/>
      <c r="AE175" s="907"/>
      <c r="AF175" s="1982">
        <v>11</v>
      </c>
    </row>
    <row s="17832" customFormat="1" customHeight="1" ht="11.549999999999999">
      <c r="A176" s="1328"/>
      <c r="B176" s="1977"/>
      <c r="C176" s="1977"/>
      <c r="D176" s="692"/>
      <c r="K176" s="1501"/>
      <c r="L176" s="1977"/>
      <c r="M176" s="1977"/>
      <c r="N176" s="1501"/>
      <c r="O176" s="1501"/>
      <c r="P176" s="1501"/>
      <c r="Q176" s="1501"/>
      <c r="R176" s="1977"/>
      <c r="S176" s="1501"/>
      <c r="T176" s="1501"/>
      <c r="U176" s="885"/>
      <c r="V176" s="1501"/>
      <c r="W176" s="1501"/>
      <c r="X176" s="1501"/>
      <c r="Y176" s="1501"/>
      <c r="Z176" s="1501"/>
      <c r="AA176" s="1973"/>
      <c r="AB176" s="907"/>
      <c r="AC176" s="907"/>
      <c r="AD176" s="907"/>
      <c r="AE176" s="907"/>
      <c r="AF176" s="1982">
        <v>11</v>
      </c>
    </row>
    <row s="17832" customFormat="1" customHeight="1" ht="11.549999999999999">
      <c r="A177" s="1328"/>
      <c r="B177" s="1977"/>
      <c r="C177" s="1977"/>
      <c r="D177" s="692"/>
      <c r="K177" s="1501"/>
      <c r="L177" s="1977"/>
      <c r="M177" s="1977"/>
      <c r="N177" s="1501"/>
      <c r="O177" s="1501"/>
      <c r="P177" s="1501"/>
      <c r="Q177" s="1501"/>
      <c r="R177" s="1977"/>
      <c r="S177" s="1501"/>
      <c r="T177" s="1501"/>
      <c r="U177" s="885"/>
      <c r="V177" s="1501"/>
      <c r="W177" s="1501"/>
      <c r="X177" s="1501"/>
      <c r="Y177" s="1501"/>
      <c r="Z177" s="1501"/>
      <c r="AA177" s="1973"/>
      <c r="AB177" s="907"/>
      <c r="AC177" s="907"/>
      <c r="AD177" s="907"/>
      <c r="AE177" s="907"/>
      <c r="AF177" s="1982">
        <v>11</v>
      </c>
    </row>
    <row s="17832" customFormat="1" customHeight="1" ht="11.549999999999999">
      <c r="A178" s="1328"/>
      <c r="B178" s="1977"/>
      <c r="C178" s="1977"/>
      <c r="D178" s="692"/>
      <c r="K178" s="1501"/>
      <c r="L178" s="1977"/>
      <c r="M178" s="1977"/>
      <c r="N178" s="1501"/>
      <c r="O178" s="1501"/>
      <c r="P178" s="1501"/>
      <c r="Q178" s="1501"/>
      <c r="R178" s="1977"/>
      <c r="S178" s="1501"/>
      <c r="T178" s="1501"/>
      <c r="U178" s="885"/>
      <c r="V178" s="1501"/>
      <c r="W178" s="1501"/>
      <c r="X178" s="1501"/>
      <c r="Y178" s="1501"/>
      <c r="Z178" s="1501"/>
      <c r="AA178" s="1973"/>
      <c r="AB178" s="907"/>
      <c r="AC178" s="907"/>
      <c r="AD178" s="907"/>
      <c r="AE178" s="907"/>
      <c r="AF178" s="1982">
        <v>11</v>
      </c>
    </row>
    <row s="17832" customFormat="1" customHeight="1" ht="11.549999999999999">
      <c r="A179" s="1328"/>
      <c r="B179" s="1977"/>
      <c r="C179" s="1977"/>
      <c r="D179" s="692"/>
      <c r="K179" s="1501"/>
      <c r="L179" s="1977"/>
      <c r="M179" s="1977"/>
      <c r="N179" s="1501"/>
      <c r="O179" s="1501"/>
      <c r="P179" s="1501"/>
      <c r="Q179" s="1501"/>
      <c r="R179" s="1977"/>
      <c r="S179" s="1501"/>
      <c r="T179" s="1501"/>
      <c r="U179" s="885"/>
      <c r="V179" s="1501"/>
      <c r="W179" s="1501"/>
      <c r="X179" s="1501"/>
      <c r="Y179" s="1501"/>
      <c r="Z179" s="1501"/>
      <c r="AA179" s="1973"/>
      <c r="AB179" s="907"/>
      <c r="AC179" s="907"/>
      <c r="AD179" s="907"/>
      <c r="AE179" s="907"/>
      <c r="AF179" s="1982">
        <v>11</v>
      </c>
    </row>
    <row s="17832" customFormat="1" customHeight="1" ht="11.549999999999999">
      <c r="A180" s="1328"/>
      <c r="B180" s="1977"/>
      <c r="C180" s="1977"/>
      <c r="D180" s="692"/>
      <c r="K180" s="1501"/>
      <c r="L180" s="1977"/>
      <c r="M180" s="1977"/>
      <c r="N180" s="1501"/>
      <c r="O180" s="1501"/>
      <c r="P180" s="1501"/>
      <c r="Q180" s="1501"/>
      <c r="R180" s="1977"/>
      <c r="S180" s="1501"/>
      <c r="T180" s="1501"/>
      <c r="U180" s="885"/>
      <c r="V180" s="1501"/>
      <c r="W180" s="1501"/>
      <c r="X180" s="1501"/>
      <c r="Y180" s="1501"/>
      <c r="Z180" s="1501"/>
      <c r="AA180" s="1973"/>
      <c r="AB180" s="907"/>
      <c r="AC180" s="907"/>
      <c r="AD180" s="907"/>
      <c r="AE180" s="907"/>
      <c r="AF180" s="1982">
        <v>11</v>
      </c>
    </row>
    <row s="17832" customFormat="1" customHeight="1" ht="11.549999999999999">
      <c r="A181" s="1328"/>
      <c r="B181" s="1977"/>
      <c r="C181" s="1977"/>
      <c r="D181" s="692"/>
      <c r="K181" s="1501"/>
      <c r="L181" s="1977"/>
      <c r="M181" s="1977"/>
      <c r="N181" s="1501"/>
      <c r="O181" s="1501"/>
      <c r="P181" s="1501"/>
      <c r="Q181" s="1501"/>
      <c r="R181" s="1977"/>
      <c r="S181" s="1501"/>
      <c r="T181" s="1501"/>
      <c r="U181" s="885"/>
      <c r="V181" s="1501"/>
      <c r="W181" s="1501"/>
      <c r="X181" s="1501"/>
      <c r="Y181" s="1501"/>
      <c r="Z181" s="1501"/>
      <c r="AA181" s="1973"/>
      <c r="AB181" s="907"/>
      <c r="AC181" s="907"/>
      <c r="AD181" s="907"/>
      <c r="AE181" s="907"/>
      <c r="AF181" s="1982">
        <v>11</v>
      </c>
    </row>
    <row s="17832" customFormat="1" customHeight="1" ht="11.549999999999999">
      <c r="A182" s="1328"/>
      <c r="B182" s="1977"/>
      <c r="C182" s="1977"/>
      <c r="D182" s="692"/>
      <c r="K182" s="1501"/>
      <c r="L182" s="1977"/>
      <c r="M182" s="1977"/>
      <c r="N182" s="1501"/>
      <c r="O182" s="1501"/>
      <c r="P182" s="1501"/>
      <c r="Q182" s="1501"/>
      <c r="R182" s="1977"/>
      <c r="S182" s="1501"/>
      <c r="T182" s="1501"/>
      <c r="U182" s="885"/>
      <c r="V182" s="1501"/>
      <c r="W182" s="1501"/>
      <c r="X182" s="1501"/>
      <c r="Y182" s="1501"/>
      <c r="Z182" s="1501"/>
      <c r="AA182" s="1973"/>
      <c r="AB182" s="907"/>
      <c r="AC182" s="907"/>
      <c r="AD182" s="907"/>
      <c r="AE182" s="907"/>
      <c r="AF182" s="1982">
        <v>11</v>
      </c>
    </row>
    <row s="17832" customFormat="1" customHeight="1" ht="11.549999999999999">
      <c r="A183" s="1328"/>
      <c r="B183" s="1977"/>
      <c r="C183" s="1977"/>
      <c r="D183" s="692"/>
      <c r="K183" s="1501"/>
      <c r="L183" s="1977"/>
      <c r="M183" s="1977"/>
      <c r="N183" s="1501"/>
      <c r="O183" s="1501"/>
      <c r="P183" s="1501"/>
      <c r="Q183" s="1501"/>
      <c r="R183" s="1977"/>
      <c r="S183" s="1501"/>
      <c r="T183" s="1501"/>
      <c r="U183" s="885"/>
      <c r="V183" s="1501"/>
      <c r="W183" s="1501"/>
      <c r="X183" s="1501"/>
      <c r="Y183" s="1501"/>
      <c r="Z183" s="1501"/>
      <c r="AA183" s="1973"/>
      <c r="AB183" s="907"/>
      <c r="AC183" s="907"/>
      <c r="AD183" s="907"/>
      <c r="AE183" s="907"/>
      <c r="AF183" s="1982">
        <v>11</v>
      </c>
    </row>
    <row s="17832" customFormat="1" customHeight="1" ht="11.549999999999999">
      <c r="A184" s="1328"/>
      <c r="B184" s="1977"/>
      <c r="C184" s="1977"/>
      <c r="D184" s="692"/>
      <c r="K184" s="1501"/>
      <c r="L184" s="1977"/>
      <c r="M184" s="1977"/>
      <c r="N184" s="1501"/>
      <c r="O184" s="1501"/>
      <c r="P184" s="1501"/>
      <c r="Q184" s="1501"/>
      <c r="R184" s="1977"/>
      <c r="S184" s="1501"/>
      <c r="T184" s="1501"/>
      <c r="U184" s="885"/>
      <c r="V184" s="1501"/>
      <c r="W184" s="1501"/>
      <c r="X184" s="1501"/>
      <c r="Y184" s="1501"/>
      <c r="Z184" s="1501"/>
      <c r="AA184" s="1973"/>
      <c r="AB184" s="907"/>
      <c r="AC184" s="907"/>
      <c r="AD184" s="907"/>
      <c r="AE184" s="907"/>
      <c r="AF184" s="1982">
        <v>11</v>
      </c>
    </row>
    <row s="17832" customFormat="1" customHeight="1" ht="11.549999999999999">
      <c r="A185" s="1328"/>
      <c r="B185" s="1977"/>
      <c r="C185" s="1977"/>
      <c r="D185" s="692"/>
      <c r="K185" s="1501"/>
      <c r="L185" s="1977"/>
      <c r="M185" s="1977"/>
      <c r="N185" s="1501"/>
      <c r="O185" s="1501"/>
      <c r="P185" s="1501"/>
      <c r="Q185" s="1501"/>
      <c r="R185" s="1977"/>
      <c r="S185" s="1501"/>
      <c r="T185" s="1501"/>
      <c r="U185" s="885"/>
      <c r="V185" s="1501"/>
      <c r="W185" s="1501"/>
      <c r="X185" s="1501"/>
      <c r="Y185" s="1501"/>
      <c r="Z185" s="1501"/>
      <c r="AA185" s="1973"/>
      <c r="AB185" s="907"/>
      <c r="AC185" s="907"/>
      <c r="AD185" s="907"/>
      <c r="AE185" s="907"/>
      <c r="AF185" s="1982">
        <v>11</v>
      </c>
    </row>
    <row s="17832" customFormat="1" customHeight="1" ht="11.549999999999999">
      <c r="A186" s="1328"/>
      <c r="B186" s="1977"/>
      <c r="C186" s="1977"/>
      <c r="D186" s="692"/>
      <c r="K186" s="1501"/>
      <c r="L186" s="1977"/>
      <c r="M186" s="1977"/>
      <c r="N186" s="1501"/>
      <c r="O186" s="1501"/>
      <c r="P186" s="1501"/>
      <c r="Q186" s="1501"/>
      <c r="R186" s="1977"/>
      <c r="S186" s="1501"/>
      <c r="T186" s="1501"/>
      <c r="U186" s="885"/>
      <c r="V186" s="1501"/>
      <c r="W186" s="1501"/>
      <c r="X186" s="1501"/>
      <c r="Y186" s="1501"/>
      <c r="Z186" s="1501"/>
      <c r="AA186" s="1973"/>
      <c r="AB186" s="907"/>
      <c r="AC186" s="907"/>
      <c r="AD186" s="907"/>
      <c r="AE186" s="907"/>
      <c r="AF186" s="1982">
        <v>11</v>
      </c>
    </row>
    <row s="17832" customFormat="1" customHeight="1" ht="11.549999999999999">
      <c r="A187" s="1328"/>
      <c r="B187" s="1977"/>
      <c r="C187" s="1977"/>
      <c r="D187" s="692"/>
      <c r="K187" s="1501"/>
      <c r="L187" s="1977"/>
      <c r="M187" s="1977"/>
      <c r="N187" s="1501"/>
      <c r="O187" s="1501"/>
      <c r="P187" s="1501"/>
      <c r="Q187" s="1501"/>
      <c r="R187" s="1977"/>
      <c r="S187" s="1501"/>
      <c r="T187" s="1501"/>
      <c r="U187" s="885"/>
      <c r="V187" s="1501"/>
      <c r="W187" s="1501"/>
      <c r="X187" s="1501"/>
      <c r="Y187" s="1501"/>
      <c r="Z187" s="1501"/>
      <c r="AA187" s="1973"/>
      <c r="AB187" s="907"/>
      <c r="AC187" s="907"/>
      <c r="AD187" s="907"/>
      <c r="AE187" s="907"/>
      <c r="AF187" s="1982">
        <v>11</v>
      </c>
    </row>
    <row s="17832" customFormat="1" customHeight="1" ht="11.549999999999999">
      <c r="A188" s="1328"/>
      <c r="B188" s="1977"/>
      <c r="C188" s="1977"/>
      <c r="D188" s="692"/>
      <c r="K188" s="1501"/>
      <c r="L188" s="1977"/>
      <c r="M188" s="1977"/>
      <c r="N188" s="1501"/>
      <c r="O188" s="1501"/>
      <c r="P188" s="1501"/>
      <c r="Q188" s="1501"/>
      <c r="R188" s="1977"/>
      <c r="S188" s="1501"/>
      <c r="T188" s="1501"/>
      <c r="U188" s="885"/>
      <c r="V188" s="1501"/>
      <c r="W188" s="1501"/>
      <c r="X188" s="1501"/>
      <c r="Y188" s="1501"/>
      <c r="Z188" s="1501"/>
      <c r="AA188" s="1973"/>
      <c r="AB188" s="907"/>
      <c r="AC188" s="907"/>
      <c r="AD188" s="907"/>
      <c r="AE188" s="907"/>
      <c r="AF188" s="1982">
        <v>11</v>
      </c>
    </row>
    <row s="17832" customFormat="1" customHeight="1" ht="11.549999999999999">
      <c r="A189" s="1328"/>
      <c r="B189" s="1977"/>
      <c r="C189" s="1977"/>
      <c r="D189" s="692"/>
      <c r="K189" s="1501"/>
      <c r="L189" s="1977"/>
      <c r="M189" s="1977"/>
      <c r="N189" s="1501"/>
      <c r="O189" s="1501"/>
      <c r="P189" s="1501"/>
      <c r="Q189" s="1501"/>
      <c r="R189" s="1977"/>
      <c r="S189" s="1501"/>
      <c r="T189" s="1501"/>
      <c r="U189" s="885"/>
      <c r="V189" s="1501"/>
      <c r="W189" s="1501"/>
      <c r="X189" s="1501"/>
      <c r="Y189" s="1501"/>
      <c r="Z189" s="1501"/>
      <c r="AA189" s="1973"/>
      <c r="AB189" s="907"/>
      <c r="AC189" s="907"/>
      <c r="AD189" s="907"/>
      <c r="AE189" s="907"/>
      <c r="AF189" s="1982">
        <v>11</v>
      </c>
    </row>
    <row s="17832" customFormat="1" customHeight="1" ht="11.549999999999999">
      <c r="A190" s="1328"/>
      <c r="B190" s="1977"/>
      <c r="C190" s="1977"/>
      <c r="D190" s="692"/>
      <c r="K190" s="1501"/>
      <c r="L190" s="1977"/>
      <c r="M190" s="1977"/>
      <c r="N190" s="1501"/>
      <c r="O190" s="1501"/>
      <c r="P190" s="1501"/>
      <c r="Q190" s="1501"/>
      <c r="R190" s="1977"/>
      <c r="S190" s="1501"/>
      <c r="T190" s="1501"/>
      <c r="U190" s="885"/>
      <c r="V190" s="1501"/>
      <c r="W190" s="1501"/>
      <c r="X190" s="1501"/>
      <c r="Y190" s="1501"/>
      <c r="Z190" s="1501"/>
      <c r="AA190" s="1973"/>
      <c r="AB190" s="907"/>
      <c r="AC190" s="907"/>
      <c r="AD190" s="907"/>
      <c r="AE190" s="907"/>
      <c r="AF190" s="1982">
        <v>11</v>
      </c>
    </row>
    <row s="17832" customFormat="1" customHeight="1" ht="11.549999999999999">
      <c r="A191" s="1328"/>
      <c r="B191" s="1977"/>
      <c r="C191" s="1977"/>
      <c r="D191" s="692"/>
      <c r="K191" s="1501"/>
      <c r="L191" s="1977"/>
      <c r="M191" s="1977"/>
      <c r="N191" s="1501"/>
      <c r="O191" s="1501"/>
      <c r="P191" s="1501"/>
      <c r="Q191" s="1501"/>
      <c r="R191" s="1977"/>
      <c r="S191" s="1501"/>
      <c r="T191" s="1501"/>
      <c r="U191" s="885"/>
      <c r="V191" s="1501"/>
      <c r="W191" s="1501"/>
      <c r="X191" s="1501"/>
      <c r="Y191" s="1501"/>
      <c r="Z191" s="1501"/>
      <c r="AA191" s="1973"/>
      <c r="AB191" s="907"/>
      <c r="AC191" s="907"/>
      <c r="AD191" s="907"/>
      <c r="AE191" s="907"/>
      <c r="AF191" s="1982">
        <v>11</v>
      </c>
    </row>
    <row s="17832" customFormat="1" customHeight="1" ht="11.549999999999999">
      <c r="A192" s="1328"/>
      <c r="B192" s="1977"/>
      <c r="C192" s="1977"/>
      <c r="D192" s="692"/>
      <c r="K192" s="1501"/>
      <c r="L192" s="1977"/>
      <c r="M192" s="1977"/>
      <c r="N192" s="1501"/>
      <c r="O192" s="1501"/>
      <c r="P192" s="1501"/>
      <c r="Q192" s="1501"/>
      <c r="R192" s="1977"/>
      <c r="S192" s="1501"/>
      <c r="T192" s="1501"/>
      <c r="U192" s="885"/>
      <c r="V192" s="1501"/>
      <c r="W192" s="1501"/>
      <c r="X192" s="1501"/>
      <c r="Y192" s="1501"/>
      <c r="Z192" s="1501"/>
      <c r="AA192" s="1973"/>
      <c r="AB192" s="907"/>
      <c r="AC192" s="907"/>
      <c r="AD192" s="907"/>
      <c r="AE192" s="907"/>
      <c r="AF192" s="1982">
        <v>11</v>
      </c>
    </row>
    <row s="17832" customFormat="1" customHeight="1" ht="11.549999999999999">
      <c r="A193" s="1328"/>
      <c r="B193" s="1977"/>
      <c r="C193" s="1977"/>
      <c r="D193" s="692"/>
      <c r="K193" s="1501"/>
      <c r="L193" s="1977"/>
      <c r="M193" s="1977"/>
      <c r="N193" s="1501"/>
      <c r="O193" s="1501"/>
      <c r="P193" s="1501"/>
      <c r="Q193" s="1501"/>
      <c r="R193" s="1977"/>
      <c r="S193" s="1501"/>
      <c r="T193" s="1501"/>
      <c r="U193" s="885"/>
      <c r="V193" s="1501"/>
      <c r="W193" s="1501"/>
      <c r="X193" s="1501"/>
      <c r="Y193" s="1501"/>
      <c r="Z193" s="1501"/>
      <c r="AA193" s="1973"/>
      <c r="AB193" s="907"/>
      <c r="AC193" s="907"/>
      <c r="AD193" s="907"/>
      <c r="AE193" s="907"/>
      <c r="AF193" s="1982">
        <v>11</v>
      </c>
    </row>
    <row s="17832" customFormat="1" customHeight="1" ht="11.549999999999999">
      <c r="A194" s="1328"/>
      <c r="B194" s="1977"/>
      <c r="C194" s="1977"/>
      <c r="D194" s="692"/>
      <c r="K194" s="1501"/>
      <c r="L194" s="1977"/>
      <c r="M194" s="1977"/>
      <c r="N194" s="1501"/>
      <c r="O194" s="1501"/>
      <c r="P194" s="1501"/>
      <c r="Q194" s="1501"/>
      <c r="R194" s="1977"/>
      <c r="S194" s="1501"/>
      <c r="T194" s="1501"/>
      <c r="U194" s="885"/>
      <c r="V194" s="1501"/>
      <c r="W194" s="1501"/>
      <c r="X194" s="1501"/>
      <c r="Y194" s="1501"/>
      <c r="Z194" s="1501"/>
      <c r="AA194" s="1973"/>
      <c r="AB194" s="907"/>
      <c r="AC194" s="907"/>
      <c r="AD194" s="907"/>
      <c r="AE194" s="907"/>
      <c r="AF194" s="1982">
        <v>11</v>
      </c>
    </row>
    <row s="17832" customFormat="1" customHeight="1" ht="11.549999999999999">
      <c r="A195" s="1328"/>
      <c r="B195" s="1977"/>
      <c r="C195" s="1977"/>
      <c r="D195" s="692"/>
      <c r="K195" s="1501"/>
      <c r="L195" s="1977"/>
      <c r="M195" s="1977"/>
      <c r="N195" s="1501"/>
      <c r="O195" s="1501"/>
      <c r="P195" s="1501"/>
      <c r="Q195" s="1501"/>
      <c r="R195" s="1977"/>
      <c r="S195" s="1501"/>
      <c r="T195" s="1501"/>
      <c r="U195" s="885"/>
      <c r="V195" s="1501"/>
      <c r="W195" s="1501"/>
      <c r="X195" s="1501"/>
      <c r="Y195" s="1501"/>
      <c r="Z195" s="1501"/>
      <c r="AA195" s="1973"/>
      <c r="AB195" s="907"/>
      <c r="AC195" s="907"/>
      <c r="AD195" s="907"/>
      <c r="AE195" s="907"/>
      <c r="AF195" s="1982">
        <v>11</v>
      </c>
    </row>
    <row s="17832" customFormat="1" customHeight="1" ht="11.549999999999999">
      <c r="A196" s="1328"/>
      <c r="B196" s="1977"/>
      <c r="C196" s="1977"/>
      <c r="D196" s="692"/>
      <c r="K196" s="1501"/>
      <c r="L196" s="1977"/>
      <c r="M196" s="1977"/>
      <c r="N196" s="1501"/>
      <c r="O196" s="1501"/>
      <c r="P196" s="1501"/>
      <c r="Q196" s="1501"/>
      <c r="R196" s="1977"/>
      <c r="S196" s="1501"/>
      <c r="T196" s="1501"/>
      <c r="U196" s="885"/>
      <c r="V196" s="1501"/>
      <c r="W196" s="1501"/>
      <c r="X196" s="1501"/>
      <c r="Y196" s="1501"/>
      <c r="Z196" s="1501"/>
      <c r="AA196" s="1973"/>
      <c r="AB196" s="907"/>
      <c r="AC196" s="907"/>
      <c r="AD196" s="907"/>
      <c r="AE196" s="907"/>
      <c r="AF196" s="1982">
        <v>11</v>
      </c>
    </row>
    <row s="17832" customFormat="1" customHeight="1" ht="11.549999999999999">
      <c r="A197" s="1328"/>
      <c r="B197" s="1977"/>
      <c r="C197" s="1977"/>
      <c r="D197" s="692"/>
      <c r="K197" s="1501"/>
      <c r="L197" s="1977"/>
      <c r="M197" s="1977"/>
      <c r="N197" s="1501"/>
      <c r="O197" s="1501"/>
      <c r="P197" s="1501"/>
      <c r="Q197" s="1501"/>
      <c r="R197" s="1977"/>
      <c r="S197" s="1501"/>
      <c r="T197" s="1501"/>
      <c r="U197" s="885"/>
      <c r="V197" s="1501"/>
      <c r="W197" s="1501"/>
      <c r="X197" s="1501"/>
      <c r="Y197" s="1501"/>
      <c r="Z197" s="1501"/>
      <c r="AA197" s="1973"/>
      <c r="AB197" s="907"/>
      <c r="AC197" s="907"/>
      <c r="AD197" s="907"/>
      <c r="AE197" s="907"/>
      <c r="AF197" s="1982">
        <v>11</v>
      </c>
    </row>
    <row s="17832" customFormat="1" customHeight="1" ht="11.549999999999999">
      <c r="A198" s="1328"/>
      <c r="B198" s="1977"/>
      <c r="C198" s="1977"/>
      <c r="D198" s="692"/>
      <c r="K198" s="1501"/>
      <c r="L198" s="1977"/>
      <c r="M198" s="1977"/>
      <c r="N198" s="1501"/>
      <c r="O198" s="1501"/>
      <c r="P198" s="1501"/>
      <c r="Q198" s="1501"/>
      <c r="R198" s="1977"/>
      <c r="S198" s="1501"/>
      <c r="T198" s="1501"/>
      <c r="U198" s="885"/>
      <c r="V198" s="1501"/>
      <c r="W198" s="1501"/>
      <c r="X198" s="1501"/>
      <c r="Y198" s="1501"/>
      <c r="Z198" s="1501"/>
      <c r="AA198" s="1973"/>
      <c r="AB198" s="907"/>
      <c r="AC198" s="907"/>
      <c r="AD198" s="907"/>
      <c r="AE198" s="907"/>
      <c r="AF198" s="1982">
        <v>11</v>
      </c>
    </row>
    <row s="17832" customFormat="1" customHeight="1" ht="11.549999999999999">
      <c r="A199" s="1328"/>
      <c r="B199" s="1977"/>
      <c r="C199" s="1977"/>
      <c r="D199" s="692"/>
      <c r="K199" s="1501"/>
      <c r="L199" s="1977"/>
      <c r="M199" s="1977"/>
      <c r="N199" s="1501"/>
      <c r="O199" s="1501"/>
      <c r="P199" s="1501"/>
      <c r="Q199" s="1501"/>
      <c r="R199" s="1977"/>
      <c r="S199" s="1501"/>
      <c r="T199" s="1501"/>
      <c r="U199" s="885"/>
      <c r="V199" s="1501"/>
      <c r="W199" s="1501"/>
      <c r="X199" s="1501"/>
      <c r="Y199" s="1501"/>
      <c r="Z199" s="1501"/>
      <c r="AA199" s="1973"/>
      <c r="AB199" s="907"/>
      <c r="AC199" s="907"/>
      <c r="AD199" s="907"/>
      <c r="AE199" s="907"/>
      <c r="AF199" s="1982">
        <v>11</v>
      </c>
    </row>
    <row s="17832" customFormat="1" customHeight="1" ht="11.549999999999999">
      <c r="A200" s="1328"/>
      <c r="B200" s="1977"/>
      <c r="C200" s="1977"/>
      <c r="D200" s="692"/>
      <c r="K200" s="1501"/>
      <c r="L200" s="1977"/>
      <c r="M200" s="1977"/>
      <c r="N200" s="1501"/>
      <c r="O200" s="1501"/>
      <c r="P200" s="1501"/>
      <c r="Q200" s="1501"/>
      <c r="R200" s="1977"/>
      <c r="S200" s="1501"/>
      <c r="T200" s="1501"/>
      <c r="U200" s="885"/>
      <c r="V200" s="1501"/>
      <c r="W200" s="1501"/>
      <c r="X200" s="1501"/>
      <c r="Y200" s="1501"/>
      <c r="Z200" s="1501"/>
      <c r="AA200" s="1973"/>
      <c r="AB200" s="907"/>
      <c r="AC200" s="907"/>
      <c r="AD200" s="907"/>
      <c r="AE200" s="907"/>
      <c r="AF200" s="1982">
        <v>11</v>
      </c>
    </row>
    <row s="17832" customFormat="1" customHeight="1" ht="11.549999999999999">
      <c r="A201" s="1328"/>
      <c r="B201" s="1977"/>
      <c r="C201" s="1977"/>
      <c r="D201" s="692"/>
      <c r="K201" s="1501"/>
      <c r="L201" s="1977"/>
      <c r="M201" s="1977"/>
      <c r="N201" s="1501"/>
      <c r="O201" s="1501"/>
      <c r="P201" s="1501"/>
      <c r="Q201" s="1501"/>
      <c r="R201" s="1977"/>
      <c r="S201" s="1501"/>
      <c r="T201" s="1501"/>
      <c r="U201" s="885"/>
      <c r="V201" s="1501"/>
      <c r="W201" s="1501"/>
      <c r="X201" s="1501"/>
      <c r="Y201" s="1501"/>
      <c r="Z201" s="1501"/>
      <c r="AA201" s="1973"/>
      <c r="AB201" s="907"/>
      <c r="AC201" s="907"/>
      <c r="AD201" s="907"/>
      <c r="AE201" s="907"/>
      <c r="AF201" s="1982">
        <v>11</v>
      </c>
    </row>
    <row s="17832" customFormat="1" customHeight="1" ht="11.549999999999999">
      <c r="A202" s="1328"/>
      <c r="B202" s="1977"/>
      <c r="C202" s="1977"/>
      <c r="D202" s="692"/>
      <c r="K202" s="1501"/>
      <c r="L202" s="1977"/>
      <c r="M202" s="1977"/>
      <c r="N202" s="1501"/>
      <c r="O202" s="1501"/>
      <c r="P202" s="1501"/>
      <c r="Q202" s="1501"/>
      <c r="R202" s="1977"/>
      <c r="S202" s="1501"/>
      <c r="T202" s="1501"/>
      <c r="U202" s="885"/>
      <c r="V202" s="1501"/>
      <c r="W202" s="1501"/>
      <c r="X202" s="1501"/>
      <c r="Y202" s="1501"/>
      <c r="Z202" s="1501"/>
      <c r="AA202" s="1973"/>
      <c r="AB202" s="907"/>
      <c r="AC202" s="907"/>
      <c r="AD202" s="907"/>
      <c r="AE202" s="907"/>
      <c r="AF202" s="1982">
        <v>11</v>
      </c>
    </row>
    <row customHeight="1" ht="11.549999999999999">
      <c r="AF203" s="1972">
        <v>11</v>
      </c>
    </row>
    <row customHeight="1" ht="11.549999999999999">
      <c r="AF204" s="1972">
        <v>11</v>
      </c>
    </row>
    <row customHeight="1" ht="11.549999999999999">
      <c r="AF205" s="1972">
        <v>11</v>
      </c>
    </row>
    <row customHeight="1" ht="11.549999999999999">
      <c r="A206" s="1331"/>
      <c r="B206" s="1972"/>
      <c r="D206" s="1972"/>
      <c r="K206" s="1972"/>
      <c r="N206" s="1972"/>
      <c r="O206" s="1972"/>
      <c r="P206" s="1972"/>
      <c r="Q206" s="1972"/>
      <c r="S206" s="1972"/>
      <c r="T206" s="1972"/>
      <c r="U206" s="1972"/>
      <c r="V206" s="1972"/>
      <c r="W206" s="1972"/>
      <c r="X206" s="1972"/>
      <c r="Y206" s="1972"/>
      <c r="Z206" s="1972"/>
      <c r="AA206" s="1972"/>
      <c r="AB206" s="1972"/>
      <c r="AC206" s="1972"/>
      <c r="AD206" s="1972"/>
      <c r="AE206" s="1972"/>
      <c r="AF206" s="1972">
        <v>11</v>
      </c>
    </row>
    <row customHeight="1" ht="11.549999999999999">
      <c r="A207" s="1331"/>
      <c r="B207" s="1972"/>
      <c r="D207" s="1972"/>
      <c r="K207" s="1972"/>
      <c r="N207" s="1972"/>
      <c r="O207" s="1972"/>
      <c r="P207" s="1972"/>
      <c r="Q207" s="1972"/>
      <c r="S207" s="1972"/>
      <c r="T207" s="1972"/>
      <c r="U207" s="1972"/>
      <c r="V207" s="1972"/>
      <c r="W207" s="1972"/>
      <c r="X207" s="1972"/>
      <c r="Y207" s="1972"/>
      <c r="Z207" s="1972"/>
      <c r="AA207" s="1972"/>
      <c r="AB207" s="1972"/>
      <c r="AC207" s="1972"/>
      <c r="AD207" s="1972"/>
      <c r="AE207" s="1972"/>
      <c r="AF207" s="1972">
        <v>11</v>
      </c>
    </row>
    <row customHeight="1" ht="11.549999999999999">
      <c r="A208" s="1331"/>
      <c r="B208" s="1972"/>
      <c r="D208" s="1972"/>
      <c r="K208" s="1972"/>
      <c r="N208" s="1972"/>
      <c r="O208" s="1972"/>
      <c r="P208" s="1972"/>
      <c r="Q208" s="1972"/>
      <c r="S208" s="1972"/>
      <c r="T208" s="1972"/>
      <c r="U208" s="1972"/>
      <c r="V208" s="1972"/>
      <c r="W208" s="1972"/>
      <c r="X208" s="1972"/>
      <c r="Y208" s="1972"/>
      <c r="Z208" s="1972"/>
      <c r="AA208" s="1972"/>
      <c r="AB208" s="1972"/>
      <c r="AC208" s="1972"/>
      <c r="AD208" s="1972"/>
      <c r="AE208" s="1972"/>
      <c r="AF208" s="1972">
        <v>11</v>
      </c>
    </row>
    <row customHeight="1" ht="11.549999999999999">
      <c r="A209" s="1331"/>
      <c r="B209" s="1972"/>
      <c r="D209" s="1972"/>
      <c r="K209" s="1972"/>
      <c r="N209" s="1972"/>
      <c r="O209" s="1972"/>
      <c r="P209" s="1972"/>
      <c r="Q209" s="1972"/>
      <c r="S209" s="1972"/>
      <c r="T209" s="1972"/>
      <c r="U209" s="1972"/>
      <c r="V209" s="1972"/>
      <c r="W209" s="1972"/>
      <c r="X209" s="1972"/>
      <c r="Y209" s="1972"/>
      <c r="Z209" s="1972"/>
      <c r="AA209" s="1972"/>
      <c r="AB209" s="1972"/>
      <c r="AC209" s="1972"/>
      <c r="AD209" s="1972"/>
      <c r="AE209" s="1972"/>
      <c r="AF209" s="1972">
        <v>11</v>
      </c>
    </row>
    <row customHeight="1" ht="11.549999999999999">
      <c r="A210" s="1331"/>
      <c r="B210" s="1972"/>
      <c r="D210" s="1972"/>
      <c r="K210" s="1972"/>
      <c r="N210" s="1972"/>
      <c r="O210" s="1972"/>
      <c r="P210" s="1972"/>
      <c r="Q210" s="1972"/>
      <c r="S210" s="1972"/>
      <c r="T210" s="1972"/>
      <c r="U210" s="1972"/>
      <c r="V210" s="1972"/>
      <c r="W210" s="1972"/>
      <c r="X210" s="1972"/>
      <c r="Y210" s="1972"/>
      <c r="Z210" s="1972"/>
      <c r="AA210" s="1972"/>
      <c r="AB210" s="1972"/>
      <c r="AC210" s="1972"/>
      <c r="AD210" s="1972"/>
      <c r="AE210" s="1972"/>
      <c r="AF210" s="1972">
        <v>11</v>
      </c>
    </row>
    <row customHeight="1" ht="11.549999999999999">
      <c r="A211" s="1331"/>
      <c r="B211" s="1972"/>
      <c r="D211" s="1972"/>
      <c r="K211" s="1972"/>
      <c r="N211" s="1972"/>
      <c r="O211" s="1972"/>
      <c r="P211" s="1972"/>
      <c r="Q211" s="1972"/>
      <c r="S211" s="1972"/>
      <c r="T211" s="1972"/>
      <c r="U211" s="1972"/>
      <c r="V211" s="1972"/>
      <c r="W211" s="1972"/>
      <c r="X211" s="1972"/>
      <c r="Y211" s="1972"/>
      <c r="Z211" s="1972"/>
      <c r="AA211" s="1972"/>
      <c r="AB211" s="1972"/>
      <c r="AC211" s="1972"/>
      <c r="AD211" s="1972"/>
      <c r="AE211" s="1972"/>
      <c r="AF211" s="1972">
        <v>11</v>
      </c>
    </row>
    <row customHeight="1" ht="11.549999999999999">
      <c r="A212" s="1331"/>
      <c r="B212" s="1972"/>
      <c r="D212" s="1972"/>
      <c r="K212" s="1972"/>
      <c r="N212" s="1972"/>
      <c r="O212" s="1972"/>
      <c r="P212" s="1972"/>
      <c r="Q212" s="1972"/>
      <c r="S212" s="1972"/>
      <c r="T212" s="1972"/>
      <c r="U212" s="1972"/>
      <c r="V212" s="1972"/>
      <c r="W212" s="1972"/>
      <c r="X212" s="1972"/>
      <c r="Y212" s="1972"/>
      <c r="Z212" s="1972"/>
      <c r="AA212" s="1972"/>
      <c r="AB212" s="1972"/>
      <c r="AC212" s="1972"/>
      <c r="AD212" s="1972"/>
      <c r="AE212" s="1972"/>
      <c r="AF212" s="1972">
        <v>11</v>
      </c>
    </row>
    <row customHeight="1" ht="11.549999999999999">
      <c r="A213" s="1331"/>
      <c r="B213" s="1972"/>
      <c r="D213" s="1972"/>
      <c r="K213" s="1972"/>
      <c r="N213" s="1972"/>
      <c r="O213" s="1972"/>
      <c r="P213" s="1972"/>
      <c r="Q213" s="1972"/>
      <c r="S213" s="1972"/>
      <c r="T213" s="1972"/>
      <c r="U213" s="1972"/>
      <c r="V213" s="1972"/>
      <c r="W213" s="1972"/>
      <c r="X213" s="1972"/>
      <c r="Y213" s="1972"/>
      <c r="Z213" s="1972"/>
      <c r="AA213" s="1972"/>
      <c r="AB213" s="1972"/>
      <c r="AC213" s="1972"/>
      <c r="AD213" s="1972"/>
      <c r="AE213" s="1972"/>
      <c r="AF213" s="1972">
        <v>11</v>
      </c>
    </row>
    <row customHeight="1" ht="11.549999999999999">
      <c r="A214" s="1331"/>
      <c r="B214" s="1972"/>
      <c r="D214" s="1972"/>
      <c r="K214" s="1972"/>
      <c r="N214" s="1972"/>
      <c r="O214" s="1972"/>
      <c r="P214" s="1972"/>
      <c r="Q214" s="1972"/>
      <c r="S214" s="1972"/>
      <c r="T214" s="1972"/>
      <c r="U214" s="1972"/>
      <c r="V214" s="1972"/>
      <c r="W214" s="1972"/>
      <c r="X214" s="1972"/>
      <c r="Y214" s="1972"/>
      <c r="Z214" s="1972"/>
      <c r="AA214" s="1972"/>
      <c r="AB214" s="1972"/>
      <c r="AC214" s="1972"/>
      <c r="AD214" s="1972"/>
      <c r="AE214" s="1972"/>
      <c r="AF214" s="1972">
        <v>11</v>
      </c>
    </row>
    <row customHeight="1" ht="11.549999999999999">
      <c r="A215" s="1331"/>
      <c r="B215" s="1972"/>
      <c r="D215" s="1972"/>
      <c r="K215" s="1972"/>
      <c r="N215" s="1972"/>
      <c r="O215" s="1972"/>
      <c r="P215" s="1972"/>
      <c r="Q215" s="1972"/>
      <c r="S215" s="1972"/>
      <c r="T215" s="1972"/>
      <c r="U215" s="1972"/>
      <c r="V215" s="1972"/>
      <c r="W215" s="1972"/>
      <c r="X215" s="1972"/>
      <c r="Y215" s="1972"/>
      <c r="Z215" s="1972"/>
      <c r="AA215" s="1972"/>
      <c r="AB215" s="1972"/>
      <c r="AC215" s="1972"/>
      <c r="AD215" s="1972"/>
      <c r="AE215" s="1972"/>
      <c r="AF215" s="1972">
        <v>11</v>
      </c>
    </row>
    <row customHeight="1" ht="11.549999999999999">
      <c r="A216" s="1331"/>
      <c r="B216" s="1972"/>
      <c r="D216" s="1972"/>
      <c r="K216" s="1972"/>
      <c r="N216" s="1972"/>
      <c r="O216" s="1972"/>
      <c r="P216" s="1972"/>
      <c r="Q216" s="1972"/>
      <c r="S216" s="1972"/>
      <c r="T216" s="1972"/>
      <c r="U216" s="1972"/>
      <c r="V216" s="1972"/>
      <c r="W216" s="1972"/>
      <c r="X216" s="1972"/>
      <c r="Y216" s="1972"/>
      <c r="Z216" s="1972"/>
      <c r="AA216" s="1972"/>
      <c r="AB216" s="1972"/>
      <c r="AC216" s="1972"/>
      <c r="AD216" s="1972"/>
      <c r="AE216" s="1972"/>
      <c r="AF216" s="1972">
        <v>11</v>
      </c>
    </row>
    <row customHeight="1" ht="11.25" hidden="1">
      <c r="A217" s="1328" t="s">
        <v>82</v>
      </c>
      <c r="B217" s="1501">
        <v>0</v>
      </c>
      <c r="C217" s="1977">
        <v>0</v>
      </c>
      <c r="D217" s="1976">
        <v>3</v>
      </c>
      <c r="E217" s="1972">
        <v>7</v>
      </c>
      <c r="F217" s="1972">
        <v>56</v>
      </c>
      <c r="G217" s="1972">
        <v>10</v>
      </c>
      <c r="H217" s="1972">
        <v>0</v>
      </c>
      <c r="I217" s="1972">
        <v>40</v>
      </c>
      <c r="J217" s="1972">
        <v>102</v>
      </c>
      <c r="K217" s="1501">
        <v>9</v>
      </c>
      <c r="L217" s="1977">
        <v>5</v>
      </c>
      <c r="M217" s="1977">
        <v>3</v>
      </c>
      <c r="N217" s="1501">
        <v>3</v>
      </c>
      <c r="O217" s="1501">
        <v>3</v>
      </c>
      <c r="P217" s="1501">
        <v>3</v>
      </c>
      <c r="Q217" s="1501">
        <v>3</v>
      </c>
      <c r="R217" s="1977">
        <v>10</v>
      </c>
      <c r="S217" s="1501">
        <v>34</v>
      </c>
      <c r="T217" s="1501">
        <v>9</v>
      </c>
      <c r="U217" s="885">
        <v>8</v>
      </c>
      <c r="V217" s="1501">
        <v>8</v>
      </c>
      <c r="W217" s="1501">
        <v>8</v>
      </c>
      <c r="X217" s="1501">
        <v>8</v>
      </c>
      <c r="Y217" s="1501">
        <v>8</v>
      </c>
      <c r="Z217" s="1501">
        <v>8</v>
      </c>
      <c r="AA217" s="1973">
        <v>8</v>
      </c>
      <c r="AB217" s="1973">
        <v>8</v>
      </c>
      <c r="AC217" s="1973">
        <v>8</v>
      </c>
      <c r="AD217" s="1973">
        <v>8</v>
      </c>
      <c r="AE217" s="1973">
        <v>8</v>
      </c>
      <c r="AF217" s="1972">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E6E966-E44C-BA62-676A-29C1DFAE2618}"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18498" width="10.7109375" hidden="1" customWidth="1"/>
    <col min="2" max="2" style="17315" width="16.8515625" hidden="1" customWidth="1"/>
    <col min="3" max="3" style="17316" width="5.57421875" hidden="1" customWidth="1"/>
    <col min="4" max="4" style="17239" width="3.00390625" customWidth="1"/>
    <col min="5" max="5" style="17239" width="7.00390625" customWidth="1"/>
    <col min="6" max="6" style="17239" width="54.00390625" customWidth="1"/>
    <col min="7" max="7" style="17239" width="10.00390625" customWidth="1"/>
    <col min="8" max="8" style="17239" width="40.7109375" hidden="1" customWidth="1"/>
    <col min="9" max="9" style="17239" width="40.00390625" customWidth="1"/>
    <col min="10" max="10" style="17239" width="102.00390625" customWidth="1"/>
    <col min="11" max="11" style="17315" width="9.00390625" customWidth="1"/>
    <col min="12" max="12" style="17316" width="5.00390625" customWidth="1"/>
    <col min="13" max="13" style="17316" width="3.00390625" customWidth="1"/>
    <col min="14" max="17" style="17315" width="3.00390625" customWidth="1"/>
    <col min="18" max="18" style="17316" width="10.00390625" customWidth="1"/>
    <col min="19" max="19" style="17315" width="34.00390625" customWidth="1"/>
    <col min="20" max="20" style="17315" width="9.00390625" customWidth="1"/>
    <col min="21" max="21" style="18499" width="8.00390625" customWidth="1"/>
    <col min="22" max="26" style="17315" width="8.00390625" customWidth="1"/>
    <col min="27" max="31" style="17203" width="8.00390625" customWidth="1"/>
    <col min="32" max="32" style="17239" width="9.140625" hidden="1"/>
  </cols>
  <sheetData>
    <row s="17315" customFormat="1" customHeight="1" ht="22.5" hidden="1">
      <c r="A1" s="1328"/>
      <c r="C1" s="1977"/>
      <c r="D1" s="878"/>
      <c r="H1" s="1501">
        <v>4</v>
      </c>
      <c r="I1" s="1501">
        <v>4</v>
      </c>
      <c r="L1" s="1977"/>
      <c r="M1" s="1977"/>
      <c r="R1" s="1977"/>
      <c r="AF1" s="1501" t="s">
        <v>14</v>
      </c>
    </row>
    <row s="17315" customFormat="1" customHeight="1" ht="22.5" hidden="1">
      <c r="A2" s="1328"/>
      <c r="C2" s="1977"/>
      <c r="D2" s="879"/>
      <c r="E2" s="1999"/>
      <c r="F2" s="881"/>
      <c r="G2" s="1998" t="s">
        <v>547</v>
      </c>
      <c r="H2" s="882"/>
      <c r="I2" s="882"/>
      <c r="J2" s="883" t="s">
        <v>550</v>
      </c>
      <c r="K2" s="884"/>
      <c r="L2" s="1977"/>
      <c r="M2" s="1977"/>
      <c r="R2" s="1977"/>
      <c r="U2" s="885"/>
      <c r="AA2" s="1973"/>
      <c r="AB2" s="1973"/>
      <c r="AC2" s="1973"/>
      <c r="AD2" s="1973"/>
      <c r="AE2" s="1973"/>
      <c r="AF2" s="1501">
        <v>0</v>
      </c>
    </row>
    <row customHeight="1" ht="11.25" hidden="1">
      <c r="AF3" s="1972">
        <v>0</v>
      </c>
    </row>
    <row s="17203" customFormat="1" customHeight="1" ht="11.25" hidden="1">
      <c r="A4" s="1328"/>
      <c r="B4" s="1501"/>
      <c r="C4" s="1977"/>
      <c r="D4" s="703"/>
      <c r="J4" s="1973">
        <v>4</v>
      </c>
      <c r="K4" s="1501"/>
      <c r="L4" s="1977"/>
      <c r="M4" s="1977"/>
      <c r="N4" s="1501"/>
      <c r="O4" s="1501"/>
      <c r="P4" s="1501"/>
      <c r="Q4" s="1501"/>
      <c r="R4" s="1977"/>
      <c r="S4" s="1501"/>
      <c r="T4" s="1501"/>
      <c r="U4" s="885"/>
      <c r="V4" s="1501"/>
      <c r="W4" s="1501"/>
      <c r="X4" s="1501"/>
      <c r="Y4" s="1501"/>
      <c r="Z4" s="1501"/>
      <c r="AF4" s="1973">
        <v>0</v>
      </c>
    </row>
    <row customHeight="1" ht="11.549999999999999">
      <c r="AF5" s="1972">
        <v>11</v>
      </c>
    </row>
    <row customHeight="1" ht="33.75">
      <c r="E6" s="2589" t="s">
        <v>770</v>
      </c>
      <c r="F6" s="2589"/>
      <c r="G6" s="2589"/>
      <c r="H6" s="2589"/>
      <c r="I6" s="2589"/>
      <c r="J6" s="897"/>
      <c r="AF6" s="1972">
        <v>32</v>
      </c>
    </row>
    <row customHeight="1" ht="25.2">
      <c r="E7" s="2590" t="str">
        <f>IF(org=0,"Не определено",org)</f>
        <v>АО "ДГК"</v>
      </c>
      <c r="F7" s="2590"/>
      <c r="G7" s="2590"/>
      <c r="H7" s="2590"/>
      <c r="I7" s="2590"/>
      <c r="AF7" s="1972">
        <v>24</v>
      </c>
    </row>
    <row customHeight="1" ht="11.549999999999999">
      <c r="E8" s="1476"/>
      <c r="F8" s="1476"/>
      <c r="G8" s="1476"/>
      <c r="H8" s="1476"/>
      <c r="I8" s="1476"/>
      <c r="AF8" s="1972">
        <v>11</v>
      </c>
    </row>
    <row s="17316" customFormat="1" customHeight="1" ht="1.05">
      <c r="A9" s="1508"/>
      <c r="D9" s="1983"/>
      <c r="H9" s="1230"/>
      <c r="I9" s="1230" t="s">
        <v>114</v>
      </c>
      <c r="AF9" s="1977">
        <v>1</v>
      </c>
    </row>
    <row customHeight="1" ht="11.549999999999999">
      <c r="E10" s="1052"/>
      <c r="F10" s="2708" t="s">
        <v>102</v>
      </c>
      <c r="G10" s="2709"/>
      <c r="H10" s="2000" t="str">
        <f>IF(H9="","",INDEX(DIFFERENTIATION_UNMERGE_VD,MATCH(H9,DIFFERENTIATION_ID_DIFF,0)))</f>
        <v/>
      </c>
      <c r="I10" s="2000">
        <f>IF(I9="","",INDEX(DIFFERENTIATION_UNMERGE_VD,MATCH(I9,DIFFERENTIATION_ID_DIFF,0)))</f>
        <v>0</v>
      </c>
      <c r="J10" s="2468"/>
      <c r="AF10" s="1972">
        <v>11</v>
      </c>
    </row>
    <row customHeight="1" ht="11.549999999999999">
      <c r="E11" s="1052"/>
      <c r="F11" s="2708" t="s">
        <v>559</v>
      </c>
      <c r="G11" s="2709"/>
      <c r="H11" s="2000" t="str">
        <f>IF(H9="","",INDEX(DIFFERENTIATION_UNMERGE_AREA,MATCH(H9,DIFFERENTIATION_ID_DIFF,0)))</f>
        <v/>
      </c>
      <c r="I11" s="2000" t="str">
        <f>IF(I9="","",INDEX(DIFFERENTIATION_UNMERGE_AREA,MATCH(I9,DIFFERENTIATION_ID_DIFF,0)))</f>
        <v/>
      </c>
      <c r="J11" s="2468"/>
      <c r="AF11" s="1972">
        <v>11</v>
      </c>
    </row>
    <row customHeight="1" ht="11.25" hidden="1">
      <c r="E12" s="2003"/>
      <c r="F12" s="2731" t="s">
        <v>560</v>
      </c>
      <c r="G12" s="2732"/>
      <c r="H12" s="2004" t="str">
        <f>IF(H9="","",INDEX(DIFFERENTIATION_UNMERGE_SYSTEM,MATCH(H9,DIFFERENTIATION_ID_DIFF,0)))</f>
        <v/>
      </c>
      <c r="I12" s="2004" t="str">
        <f>IF(I9="","",INDEX(DIFFERENTIATION_UNMERGE_SYSTEM,MATCH(I9,DIFFERENTIATION_ID_DIFF,0)))</f>
        <v>без дифференциации</v>
      </c>
      <c r="J12" s="2468"/>
      <c r="AF12" s="1972">
        <v>0</v>
      </c>
    </row>
    <row customHeight="1" ht="11.549999999999999">
      <c r="E13" s="2710" t="s">
        <v>295</v>
      </c>
      <c r="F13" s="2711"/>
      <c r="G13" s="2711"/>
      <c r="H13" s="1997"/>
      <c r="I13" s="1997"/>
      <c r="J13" s="2468"/>
      <c r="AF13" s="1972">
        <v>11</v>
      </c>
    </row>
    <row customHeight="1" ht="24">
      <c r="E14" s="1998" t="s">
        <v>88</v>
      </c>
      <c r="F14" s="2001" t="s">
        <v>297</v>
      </c>
      <c r="G14" s="2001" t="s">
        <v>561</v>
      </c>
      <c r="H14" s="2001" t="s">
        <v>298</v>
      </c>
      <c r="I14" s="2001" t="s">
        <v>298</v>
      </c>
      <c r="J14" s="2468"/>
      <c r="AF14" s="1972">
        <v>23</v>
      </c>
    </row>
    <row customHeight="1" ht="19.95">
      <c r="D15" s="1979"/>
      <c r="E15" s="1971" t="s">
        <v>106</v>
      </c>
      <c r="F15" s="1048" t="s">
        <v>771</v>
      </c>
      <c r="G15" s="1998" t="s">
        <v>547</v>
      </c>
      <c r="H15" s="898"/>
      <c r="I15" s="898"/>
      <c r="J15" s="630" t="s">
        <v>772</v>
      </c>
      <c r="K15" s="884" t="s">
        <v>625</v>
      </c>
      <c r="AF15" s="1972">
        <v>19</v>
      </c>
    </row>
    <row customHeight="1" ht="24">
      <c r="D16" s="1979"/>
      <c r="E16" s="1971" t="s">
        <v>107</v>
      </c>
      <c r="F16" s="2006" t="s">
        <v>773</v>
      </c>
      <c r="G16" s="1998" t="s">
        <v>547</v>
      </c>
      <c r="H16" s="899">
        <f>SUM(H17,H20:H27)</f>
        <v>0</v>
      </c>
      <c r="I16" s="899">
        <f>SUM(I17,I20:I27)</f>
        <v>0</v>
      </c>
      <c r="J16" s="630" t="s">
        <v>774</v>
      </c>
      <c r="K16" s="884" t="s">
        <v>625</v>
      </c>
      <c r="AF16" s="1972">
        <v>23</v>
      </c>
    </row>
    <row customHeight="1" ht="35.699999999999996">
      <c r="D17" s="1979"/>
      <c r="E17" s="2005" t="s">
        <v>704</v>
      </c>
      <c r="F17" s="2008" t="s">
        <v>775</v>
      </c>
      <c r="G17" s="1995" t="s">
        <v>547</v>
      </c>
      <c r="H17" s="898"/>
      <c r="I17" s="898"/>
      <c r="J17" s="630" t="s">
        <v>776</v>
      </c>
      <c r="K17" s="884"/>
      <c r="AF17" s="1972">
        <v>34</v>
      </c>
    </row>
    <row customHeight="1" ht="19.95">
      <c r="D18" s="1979"/>
      <c r="E18" s="2005" t="s">
        <v>707</v>
      </c>
      <c r="F18" s="2009" t="s">
        <v>777</v>
      </c>
      <c r="G18" s="1995" t="s">
        <v>547</v>
      </c>
      <c r="H18" s="898"/>
      <c r="I18" s="898"/>
      <c r="J18" s="630"/>
      <c r="K18" s="884"/>
      <c r="AF18" s="1972">
        <v>19</v>
      </c>
    </row>
    <row customHeight="1" ht="24">
      <c r="D19" s="1979"/>
      <c r="E19" s="2005" t="s">
        <v>710</v>
      </c>
      <c r="F19" s="2009" t="s">
        <v>778</v>
      </c>
      <c r="G19" s="1995" t="s">
        <v>547</v>
      </c>
      <c r="H19" s="898"/>
      <c r="I19" s="898"/>
      <c r="J19" s="630"/>
      <c r="K19" s="884"/>
      <c r="AF19" s="1972">
        <v>23</v>
      </c>
    </row>
    <row customHeight="1" ht="35.699999999999996">
      <c r="D20" s="1979"/>
      <c r="E20" s="2005" t="s">
        <v>302</v>
      </c>
      <c r="F20" s="2008" t="s">
        <v>779</v>
      </c>
      <c r="G20" s="1995" t="s">
        <v>547</v>
      </c>
      <c r="H20" s="898"/>
      <c r="I20" s="898"/>
      <c r="J20" s="630"/>
      <c r="K20" s="884"/>
      <c r="AF20" s="1972">
        <v>34</v>
      </c>
    </row>
    <row customHeight="1" ht="48.29999999999999">
      <c r="D21" s="1979"/>
      <c r="E21" s="2005" t="s">
        <v>305</v>
      </c>
      <c r="F21" s="2008" t="s">
        <v>780</v>
      </c>
      <c r="G21" s="1995" t="s">
        <v>547</v>
      </c>
      <c r="H21" s="898"/>
      <c r="I21" s="898"/>
      <c r="J21" s="630"/>
      <c r="K21" s="884"/>
      <c r="AF21" s="1972">
        <v>46</v>
      </c>
    </row>
    <row customHeight="1" ht="60">
      <c r="D22" s="1979"/>
      <c r="E22" s="2005" t="s">
        <v>724</v>
      </c>
      <c r="F22" s="2008" t="s">
        <v>781</v>
      </c>
      <c r="G22" s="1995" t="s">
        <v>547</v>
      </c>
      <c r="H22" s="898"/>
      <c r="I22" s="898"/>
      <c r="J22" s="630"/>
      <c r="K22" s="884"/>
      <c r="AF22" s="1972">
        <v>57</v>
      </c>
    </row>
    <row customHeight="1" ht="35.699999999999996">
      <c r="D23" s="1979"/>
      <c r="E23" s="2005" t="s">
        <v>731</v>
      </c>
      <c r="F23" s="2008" t="s">
        <v>782</v>
      </c>
      <c r="G23" s="1995" t="s">
        <v>547</v>
      </c>
      <c r="H23" s="898"/>
      <c r="I23" s="898"/>
      <c r="J23" s="630"/>
      <c r="K23" s="884"/>
      <c r="AF23" s="1972">
        <v>34</v>
      </c>
    </row>
    <row customHeight="1" ht="35.699999999999996">
      <c r="D24" s="1979"/>
      <c r="E24" s="2005" t="s">
        <v>733</v>
      </c>
      <c r="F24" s="2008" t="s">
        <v>783</v>
      </c>
      <c r="G24" s="1995" t="s">
        <v>547</v>
      </c>
      <c r="H24" s="898"/>
      <c r="I24" s="898"/>
      <c r="J24" s="630"/>
      <c r="K24" s="884"/>
      <c r="AF24" s="1972">
        <v>34</v>
      </c>
    </row>
    <row customHeight="1" ht="24">
      <c r="D25" s="1979"/>
      <c r="E25" s="2005" t="s">
        <v>735</v>
      </c>
      <c r="F25" s="2008" t="s">
        <v>784</v>
      </c>
      <c r="G25" s="1995" t="s">
        <v>547</v>
      </c>
      <c r="H25" s="898"/>
      <c r="I25" s="898"/>
      <c r="J25" s="630"/>
      <c r="K25" s="884"/>
      <c r="AF25" s="1972">
        <v>23</v>
      </c>
    </row>
    <row customHeight="1" ht="76.5">
      <c r="D26" s="1979"/>
      <c r="E26" s="2005" t="s">
        <v>737</v>
      </c>
      <c r="F26" s="2008" t="s">
        <v>785</v>
      </c>
      <c r="G26" s="1995" t="s">
        <v>547</v>
      </c>
      <c r="H26" s="898"/>
      <c r="I26" s="898"/>
      <c r="J26" s="630"/>
      <c r="K26" s="884"/>
      <c r="AF26" s="1972">
        <v>73</v>
      </c>
    </row>
    <row s="17315" customFormat="1" customHeight="1" ht="35.699999999999996">
      <c r="A27" s="1328"/>
      <c r="C27" s="1977"/>
      <c r="D27" s="1979"/>
      <c r="E27" s="1970" t="s">
        <v>741</v>
      </c>
      <c r="F27" s="1969" t="s">
        <v>786</v>
      </c>
      <c r="G27" s="1996" t="s">
        <v>547</v>
      </c>
      <c r="H27" s="920">
        <f>SUM(H28:H29)</f>
        <v>0</v>
      </c>
      <c r="I27" s="920">
        <f>SUM(I28:I29)</f>
        <v>0</v>
      </c>
      <c r="J27" s="630" t="s">
        <v>739</v>
      </c>
      <c r="K27" s="884"/>
      <c r="L27" s="1977"/>
      <c r="M27" s="1977"/>
      <c r="R27" s="1977"/>
      <c r="U27" s="885"/>
      <c r="AA27" s="1973"/>
      <c r="AB27" s="1973"/>
      <c r="AC27" s="1973"/>
      <c r="AD27" s="1973"/>
      <c r="AE27" s="1973"/>
      <c r="AF27" s="1501">
        <v>34</v>
      </c>
    </row>
    <row s="17316" customFormat="1" customHeight="1" ht="1.05">
      <c r="A28" s="1508"/>
      <c r="D28" s="889"/>
      <c r="E28" s="1143" t="str">
        <f>E27&amp;".0"</f>
        <v>2.9.0</v>
      </c>
      <c r="F28" s="1332"/>
      <c r="G28" s="892"/>
      <c r="H28" s="1333"/>
      <c r="I28" s="1333"/>
      <c r="J28" s="1334"/>
      <c r="AF28" s="1977">
        <v>1</v>
      </c>
    </row>
    <row s="17315" customFormat="1" customHeight="1" ht="19.95">
      <c r="A29" s="1328"/>
      <c r="C29" s="1977"/>
      <c r="D29" s="1974"/>
      <c r="E29" s="911"/>
      <c r="F29" s="2007" t="s">
        <v>572</v>
      </c>
      <c r="G29" s="913"/>
      <c r="H29" s="914"/>
      <c r="I29" s="914"/>
      <c r="J29" s="642" t="s">
        <v>740</v>
      </c>
      <c r="K29" s="884"/>
      <c r="L29" s="1977"/>
      <c r="M29" s="1977"/>
      <c r="R29" s="1977"/>
      <c r="U29" s="885"/>
      <c r="AA29" s="1973"/>
      <c r="AB29" s="1973"/>
      <c r="AC29" s="1973"/>
      <c r="AD29" s="1973"/>
      <c r="AE29" s="1973"/>
      <c r="AF29" s="1501">
        <v>19</v>
      </c>
    </row>
    <row s="17315" customFormat="1" customHeight="1" ht="24">
      <c r="A30" s="1328"/>
      <c r="C30" s="1977"/>
      <c r="D30" s="1979"/>
      <c r="E30" s="2005" t="s">
        <v>90</v>
      </c>
      <c r="F30" s="2002" t="s">
        <v>787</v>
      </c>
      <c r="G30" s="1995" t="s">
        <v>547</v>
      </c>
      <c r="H30" s="898"/>
      <c r="I30" s="898"/>
      <c r="J30" s="630"/>
      <c r="K30" s="884"/>
      <c r="L30" s="1977"/>
      <c r="M30" s="1977"/>
      <c r="R30" s="1977"/>
      <c r="U30" s="885"/>
      <c r="AA30" s="1973"/>
      <c r="AB30" s="1973"/>
      <c r="AC30" s="1973"/>
      <c r="AD30" s="1973"/>
      <c r="AE30" s="1973"/>
      <c r="AF30" s="1501">
        <v>23</v>
      </c>
    </row>
    <row s="17315" customFormat="1" customHeight="1" ht="35.699999999999996">
      <c r="A31" s="1328"/>
      <c r="C31" s="1977"/>
      <c r="D31" s="916"/>
      <c r="E31" s="2005" t="s">
        <v>91</v>
      </c>
      <c r="F31" s="2002" t="s">
        <v>788</v>
      </c>
      <c r="G31" s="1995" t="s">
        <v>547</v>
      </c>
      <c r="H31" s="898"/>
      <c r="I31" s="898"/>
      <c r="J31" s="630" t="s">
        <v>789</v>
      </c>
      <c r="K31" s="884"/>
      <c r="L31" s="1977"/>
      <c r="M31" s="1977"/>
      <c r="R31" s="1977"/>
      <c r="U31" s="885"/>
      <c r="AA31" s="1973"/>
      <c r="AB31" s="1973"/>
      <c r="AC31" s="1973"/>
      <c r="AD31" s="1973"/>
      <c r="AE31" s="1973"/>
      <c r="AF31" s="1501">
        <v>34</v>
      </c>
    </row>
    <row s="17315" customFormat="1" customHeight="1" ht="24">
      <c r="A32" s="1328"/>
      <c r="C32" s="1977"/>
      <c r="D32" s="1979"/>
      <c r="E32" s="2005" t="s">
        <v>749</v>
      </c>
      <c r="F32" s="1031" t="s">
        <v>753</v>
      </c>
      <c r="G32" s="1995" t="s">
        <v>547</v>
      </c>
      <c r="H32" s="898"/>
      <c r="I32" s="898"/>
      <c r="J32" s="630" t="s">
        <v>790</v>
      </c>
      <c r="K32" s="884"/>
      <c r="L32" s="1977"/>
      <c r="M32" s="1977"/>
      <c r="R32" s="1977"/>
      <c r="U32" s="885"/>
      <c r="AA32" s="1973"/>
      <c r="AB32" s="1973"/>
      <c r="AC32" s="1973"/>
      <c r="AD32" s="1973"/>
      <c r="AE32" s="1973"/>
      <c r="AF32" s="1501">
        <v>23</v>
      </c>
    </row>
    <row s="17315" customFormat="1" customHeight="1" ht="24">
      <c r="A33" s="1328"/>
      <c r="C33" s="1977"/>
      <c r="D33" s="1979"/>
      <c r="E33" s="2005" t="s">
        <v>791</v>
      </c>
      <c r="F33" s="1031" t="s">
        <v>792</v>
      </c>
      <c r="G33" s="1995" t="s">
        <v>547</v>
      </c>
      <c r="H33" s="898"/>
      <c r="I33" s="898"/>
      <c r="J33" s="630" t="s">
        <v>793</v>
      </c>
      <c r="K33" s="884"/>
      <c r="L33" s="1977"/>
      <c r="M33" s="1977"/>
      <c r="R33" s="1977"/>
      <c r="U33" s="885"/>
      <c r="AA33" s="1973"/>
      <c r="AB33" s="1973"/>
      <c r="AC33" s="1973"/>
      <c r="AD33" s="1973"/>
      <c r="AE33" s="1973"/>
      <c r="AF33" s="1501">
        <v>23</v>
      </c>
    </row>
    <row s="17315" customFormat="1" customHeight="1" ht="24">
      <c r="A34" s="1328"/>
      <c r="C34" s="1977"/>
      <c r="D34" s="1979"/>
      <c r="E34" s="2005" t="s">
        <v>794</v>
      </c>
      <c r="F34" s="1031" t="s">
        <v>759</v>
      </c>
      <c r="G34" s="1995" t="s">
        <v>547</v>
      </c>
      <c r="H34" s="898"/>
      <c r="I34" s="898"/>
      <c r="J34" s="630" t="s">
        <v>795</v>
      </c>
      <c r="K34" s="884"/>
      <c r="L34" s="1977"/>
      <c r="M34" s="1977"/>
      <c r="R34" s="1977"/>
      <c r="U34" s="885"/>
      <c r="AA34" s="1973"/>
      <c r="AB34" s="1973"/>
      <c r="AC34" s="1973"/>
      <c r="AD34" s="1973"/>
      <c r="AE34" s="1973"/>
      <c r="AF34" s="1501">
        <v>23</v>
      </c>
    </row>
    <row s="17315" customFormat="1" customHeight="1" ht="35.699999999999996">
      <c r="A35" s="1328"/>
      <c r="C35" s="1977" t="s">
        <v>583</v>
      </c>
      <c r="D35" s="1979"/>
      <c r="E35" s="2005" t="s">
        <v>108</v>
      </c>
      <c r="F35" s="2002" t="s">
        <v>624</v>
      </c>
      <c r="G35" s="1998" t="s">
        <v>301</v>
      </c>
      <c r="H35" s="742"/>
      <c r="I35" s="742"/>
      <c r="J35" s="630" t="s">
        <v>796</v>
      </c>
      <c r="K35" s="884"/>
      <c r="L35" s="1977"/>
      <c r="M35" s="1977"/>
      <c r="R35" s="1977"/>
      <c r="U35" s="885"/>
      <c r="AA35" s="1973"/>
      <c r="AB35" s="1973"/>
      <c r="AC35" s="1973"/>
      <c r="AD35" s="1973"/>
      <c r="AE35" s="1973"/>
      <c r="AF35" s="1501">
        <v>34</v>
      </c>
    </row>
    <row s="17315" customFormat="1" customHeight="1" ht="35.699999999999996">
      <c r="A36" s="1328"/>
      <c r="C36" s="1977"/>
      <c r="D36" s="1979"/>
      <c r="E36" s="2005" t="s">
        <v>92</v>
      </c>
      <c r="F36" s="2002" t="s">
        <v>797</v>
      </c>
      <c r="G36" s="1995" t="s">
        <v>764</v>
      </c>
      <c r="H36" s="886"/>
      <c r="I36" s="886"/>
      <c r="J36" s="630" t="s">
        <v>765</v>
      </c>
      <c r="K36" s="884"/>
      <c r="L36" s="1977"/>
      <c r="M36" s="1977"/>
      <c r="R36" s="1977"/>
      <c r="U36" s="885"/>
      <c r="AA36" s="1973"/>
      <c r="AB36" s="1973"/>
      <c r="AC36" s="1973"/>
      <c r="AD36" s="1973"/>
      <c r="AE36" s="1973"/>
      <c r="AF36" s="1501">
        <v>34</v>
      </c>
    </row>
    <row s="17315" customFormat="1" customHeight="1" ht="24">
      <c r="A37" s="1328"/>
      <c r="C37" s="1977"/>
      <c r="D37" s="1979"/>
      <c r="E37" s="2005" t="s">
        <v>93</v>
      </c>
      <c r="F37" s="2002" t="s">
        <v>798</v>
      </c>
      <c r="G37" s="1995" t="s">
        <v>767</v>
      </c>
      <c r="H37" s="886"/>
      <c r="I37" s="886"/>
      <c r="J37" s="630" t="s">
        <v>768</v>
      </c>
      <c r="K37" s="884"/>
      <c r="L37" s="1977"/>
      <c r="M37" s="1977"/>
      <c r="R37" s="1977"/>
      <c r="U37" s="885"/>
      <c r="AA37" s="1973"/>
      <c r="AB37" s="1973"/>
      <c r="AC37" s="1973"/>
      <c r="AD37" s="1973"/>
      <c r="AE37" s="1973"/>
      <c r="AF37" s="1501">
        <v>23</v>
      </c>
    </row>
    <row customHeight="1" ht="11.549999999999999">
      <c r="D38" s="1979"/>
      <c r="AF38" s="1972">
        <v>11</v>
      </c>
    </row>
    <row customHeight="1" ht="27.299999999999997">
      <c r="D39" s="1979"/>
      <c r="E39" s="1594" t="s">
        <v>799</v>
      </c>
      <c r="F39" s="2626" t="s">
        <v>800</v>
      </c>
      <c r="G39" s="2626"/>
      <c r="H39" s="710"/>
      <c r="I39" s="710"/>
      <c r="J39" s="710"/>
      <c r="AF39" s="1972">
        <v>26</v>
      </c>
    </row>
    <row s="17832" customFormat="1" customHeight="1" ht="39.75">
      <c r="A40" s="1328"/>
      <c r="B40" s="1977"/>
      <c r="C40" s="1977"/>
      <c r="D40" s="692"/>
      <c r="F40" s="2626" t="s">
        <v>801</v>
      </c>
      <c r="G40" s="2626"/>
      <c r="H40" s="710"/>
      <c r="I40" s="710"/>
      <c r="J40" s="710"/>
      <c r="K40" s="1501"/>
      <c r="L40" s="1977"/>
      <c r="M40" s="1977"/>
      <c r="N40" s="1501"/>
      <c r="O40" s="1501"/>
      <c r="P40" s="1501"/>
      <c r="Q40" s="1501"/>
      <c r="R40" s="1977"/>
      <c r="S40" s="1501"/>
      <c r="T40" s="1501"/>
      <c r="U40" s="885"/>
      <c r="V40" s="1501"/>
      <c r="W40" s="1501"/>
      <c r="X40" s="1501"/>
      <c r="Y40" s="1501"/>
      <c r="Z40" s="1501"/>
      <c r="AA40" s="1973"/>
      <c r="AB40" s="907"/>
      <c r="AC40" s="907"/>
      <c r="AD40" s="907"/>
      <c r="AE40" s="907"/>
      <c r="AF40" s="1982">
        <v>38</v>
      </c>
    </row>
    <row s="17832" customFormat="1" customHeight="1" ht="11.549999999999999">
      <c r="A41" s="1328"/>
      <c r="B41" s="1977"/>
      <c r="C41" s="1977"/>
      <c r="D41" s="692"/>
      <c r="K41" s="1501"/>
      <c r="L41" s="1977"/>
      <c r="M41" s="1977"/>
      <c r="N41" s="1501"/>
      <c r="O41" s="1501"/>
      <c r="P41" s="1501"/>
      <c r="Q41" s="1501"/>
      <c r="R41" s="1977"/>
      <c r="S41" s="1501"/>
      <c r="T41" s="1501"/>
      <c r="U41" s="885"/>
      <c r="V41" s="1501"/>
      <c r="W41" s="1501"/>
      <c r="X41" s="1501"/>
      <c r="Y41" s="1501"/>
      <c r="Z41" s="1501"/>
      <c r="AA41" s="1973"/>
      <c r="AB41" s="907"/>
      <c r="AC41" s="907"/>
      <c r="AD41" s="907"/>
      <c r="AE41" s="907"/>
      <c r="AF41" s="1982">
        <v>11</v>
      </c>
    </row>
    <row s="17832" customFormat="1" customHeight="1" ht="11.549999999999999">
      <c r="A42" s="1328"/>
      <c r="B42" s="1977"/>
      <c r="C42" s="1977"/>
      <c r="D42" s="692"/>
      <c r="K42" s="1501"/>
      <c r="L42" s="1977"/>
      <c r="M42" s="1977"/>
      <c r="N42" s="1501"/>
      <c r="O42" s="1501"/>
      <c r="P42" s="1501"/>
      <c r="Q42" s="1501"/>
      <c r="R42" s="1977"/>
      <c r="S42" s="1501"/>
      <c r="T42" s="1501"/>
      <c r="U42" s="885"/>
      <c r="V42" s="1501"/>
      <c r="W42" s="1501"/>
      <c r="X42" s="1501"/>
      <c r="Y42" s="1501"/>
      <c r="Z42" s="1501"/>
      <c r="AA42" s="1973"/>
      <c r="AB42" s="907"/>
      <c r="AC42" s="907"/>
      <c r="AD42" s="907"/>
      <c r="AE42" s="907"/>
      <c r="AF42" s="1982">
        <v>11</v>
      </c>
    </row>
    <row s="17832" customFormat="1" customHeight="1" ht="11.549999999999999">
      <c r="A43" s="1328"/>
      <c r="B43" s="1977"/>
      <c r="C43" s="1977"/>
      <c r="D43" s="692"/>
      <c r="H43" s="907"/>
      <c r="I43" s="907"/>
      <c r="K43" s="1501"/>
      <c r="L43" s="1977"/>
      <c r="M43" s="1977"/>
      <c r="N43" s="1501"/>
      <c r="O43" s="1501"/>
      <c r="P43" s="1501"/>
      <c r="Q43" s="1501"/>
      <c r="R43" s="1977"/>
      <c r="S43" s="1501"/>
      <c r="T43" s="1501"/>
      <c r="U43" s="885"/>
      <c r="V43" s="1501"/>
      <c r="W43" s="1501"/>
      <c r="X43" s="1501"/>
      <c r="Y43" s="1501"/>
      <c r="Z43" s="1501"/>
      <c r="AA43" s="1973"/>
      <c r="AB43" s="907"/>
      <c r="AC43" s="907"/>
      <c r="AD43" s="907"/>
      <c r="AE43" s="907"/>
      <c r="AF43" s="1982">
        <v>11</v>
      </c>
    </row>
    <row s="17832" customFormat="1" customHeight="1" ht="11.549999999999999">
      <c r="A44" s="1328"/>
      <c r="B44" s="1977"/>
      <c r="C44" s="1977"/>
      <c r="D44" s="692"/>
      <c r="K44" s="1501"/>
      <c r="L44" s="1977"/>
      <c r="M44" s="1977"/>
      <c r="N44" s="1501"/>
      <c r="O44" s="1501"/>
      <c r="P44" s="1501"/>
      <c r="Q44" s="1501"/>
      <c r="R44" s="1977"/>
      <c r="S44" s="1501"/>
      <c r="T44" s="1501"/>
      <c r="U44" s="885"/>
      <c r="V44" s="1501"/>
      <c r="W44" s="1501"/>
      <c r="X44" s="1501"/>
      <c r="Y44" s="1501"/>
      <c r="Z44" s="1501"/>
      <c r="AA44" s="1973"/>
      <c r="AB44" s="907"/>
      <c r="AC44" s="907"/>
      <c r="AD44" s="907"/>
      <c r="AE44" s="907"/>
      <c r="AF44" s="1982">
        <v>11</v>
      </c>
    </row>
    <row s="17832" customFormat="1" customHeight="1" ht="11.549999999999999">
      <c r="A45" s="1328"/>
      <c r="B45" s="1977"/>
      <c r="C45" s="1977"/>
      <c r="D45" s="692"/>
      <c r="K45" s="1501"/>
      <c r="L45" s="1977"/>
      <c r="M45" s="1977"/>
      <c r="N45" s="1501"/>
      <c r="O45" s="1501"/>
      <c r="P45" s="1501"/>
      <c r="Q45" s="1501"/>
      <c r="R45" s="1977"/>
      <c r="S45" s="1501"/>
      <c r="T45" s="1501"/>
      <c r="U45" s="885"/>
      <c r="V45" s="1501"/>
      <c r="W45" s="1501"/>
      <c r="X45" s="1501"/>
      <c r="Y45" s="1501"/>
      <c r="Z45" s="1501"/>
      <c r="AA45" s="1973"/>
      <c r="AB45" s="907"/>
      <c r="AC45" s="907"/>
      <c r="AD45" s="907"/>
      <c r="AE45" s="907"/>
      <c r="AF45" s="1982">
        <v>11</v>
      </c>
    </row>
    <row s="17832" customFormat="1" customHeight="1" ht="11.549999999999999">
      <c r="A46" s="1328"/>
      <c r="B46" s="1977"/>
      <c r="C46" s="1977"/>
      <c r="D46" s="692"/>
      <c r="K46" s="1501"/>
      <c r="L46" s="1977"/>
      <c r="M46" s="1977"/>
      <c r="N46" s="1501"/>
      <c r="O46" s="1501"/>
      <c r="P46" s="1501"/>
      <c r="Q46" s="1501"/>
      <c r="R46" s="1977"/>
      <c r="S46" s="1501"/>
      <c r="T46" s="1501"/>
      <c r="U46" s="885"/>
      <c r="V46" s="1501"/>
      <c r="W46" s="1501"/>
      <c r="X46" s="1501"/>
      <c r="Y46" s="1501"/>
      <c r="Z46" s="1501"/>
      <c r="AA46" s="1973"/>
      <c r="AB46" s="907"/>
      <c r="AC46" s="907"/>
      <c r="AD46" s="907"/>
      <c r="AE46" s="907"/>
      <c r="AF46" s="1982">
        <v>11</v>
      </c>
    </row>
    <row s="17832" customFormat="1" customHeight="1" ht="11.549999999999999">
      <c r="A47" s="1328"/>
      <c r="B47" s="1977"/>
      <c r="C47" s="1977"/>
      <c r="D47" s="692"/>
      <c r="K47" s="1501"/>
      <c r="L47" s="1977"/>
      <c r="M47" s="1977"/>
      <c r="N47" s="1501"/>
      <c r="O47" s="1501"/>
      <c r="P47" s="1501"/>
      <c r="Q47" s="1501"/>
      <c r="R47" s="1977"/>
      <c r="S47" s="1501"/>
      <c r="T47" s="1501"/>
      <c r="U47" s="885"/>
      <c r="V47" s="1501"/>
      <c r="W47" s="1501"/>
      <c r="X47" s="1501"/>
      <c r="Y47" s="1501"/>
      <c r="Z47" s="1501"/>
      <c r="AA47" s="1973"/>
      <c r="AB47" s="907"/>
      <c r="AC47" s="907"/>
      <c r="AD47" s="907"/>
      <c r="AE47" s="907"/>
      <c r="AF47" s="1982">
        <v>11</v>
      </c>
    </row>
    <row s="17832" customFormat="1" customHeight="1" ht="11.549999999999999">
      <c r="A48" s="1328"/>
      <c r="B48" s="1977"/>
      <c r="C48" s="1977"/>
      <c r="D48" s="692"/>
      <c r="K48" s="1501"/>
      <c r="L48" s="1977"/>
      <c r="M48" s="1977"/>
      <c r="N48" s="1501"/>
      <c r="O48" s="1501"/>
      <c r="P48" s="1501"/>
      <c r="Q48" s="1501"/>
      <c r="R48" s="1977"/>
      <c r="S48" s="1501"/>
      <c r="T48" s="1501"/>
      <c r="U48" s="885"/>
      <c r="V48" s="1501"/>
      <c r="W48" s="1501"/>
      <c r="X48" s="1501"/>
      <c r="Y48" s="1501"/>
      <c r="Z48" s="1501"/>
      <c r="AA48" s="1973"/>
      <c r="AB48" s="907"/>
      <c r="AC48" s="907"/>
      <c r="AD48" s="907"/>
      <c r="AE48" s="907"/>
      <c r="AF48" s="1982">
        <v>11</v>
      </c>
    </row>
    <row s="17832" customFormat="1" customHeight="1" ht="11.549999999999999">
      <c r="A49" s="1328"/>
      <c r="B49" s="1977"/>
      <c r="C49" s="1977"/>
      <c r="D49" s="692"/>
      <c r="K49" s="1501"/>
      <c r="L49" s="1977"/>
      <c r="M49" s="1977"/>
      <c r="N49" s="1501"/>
      <c r="O49" s="1501"/>
      <c r="P49" s="1501"/>
      <c r="Q49" s="1501"/>
      <c r="R49" s="1977"/>
      <c r="S49" s="1501"/>
      <c r="T49" s="1501"/>
      <c r="U49" s="885"/>
      <c r="V49" s="1501"/>
      <c r="W49" s="1501"/>
      <c r="X49" s="1501"/>
      <c r="Y49" s="1501"/>
      <c r="Z49" s="1501"/>
      <c r="AA49" s="1973"/>
      <c r="AB49" s="907"/>
      <c r="AC49" s="907"/>
      <c r="AD49" s="907"/>
      <c r="AE49" s="907"/>
      <c r="AF49" s="1982">
        <v>11</v>
      </c>
    </row>
    <row s="17832" customFormat="1" customHeight="1" ht="11.549999999999999">
      <c r="A50" s="1328"/>
      <c r="B50" s="1977"/>
      <c r="C50" s="1977"/>
      <c r="D50" s="692"/>
      <c r="K50" s="1501"/>
      <c r="L50" s="1977"/>
      <c r="M50" s="1977"/>
      <c r="N50" s="1501"/>
      <c r="O50" s="1501"/>
      <c r="P50" s="1501"/>
      <c r="Q50" s="1501"/>
      <c r="R50" s="1977"/>
      <c r="S50" s="1501"/>
      <c r="T50" s="1501"/>
      <c r="U50" s="885"/>
      <c r="V50" s="1501"/>
      <c r="W50" s="1501"/>
      <c r="X50" s="1501"/>
      <c r="Y50" s="1501"/>
      <c r="Z50" s="1501"/>
      <c r="AA50" s="1973"/>
      <c r="AB50" s="907"/>
      <c r="AC50" s="907"/>
      <c r="AD50" s="907"/>
      <c r="AE50" s="907"/>
      <c r="AF50" s="1982">
        <v>11</v>
      </c>
    </row>
    <row s="17832" customFormat="1" customHeight="1" ht="11.549999999999999">
      <c r="A51" s="1328"/>
      <c r="B51" s="1977"/>
      <c r="C51" s="1977"/>
      <c r="D51" s="692"/>
      <c r="K51" s="1501"/>
      <c r="L51" s="1977"/>
      <c r="M51" s="1977"/>
      <c r="N51" s="1501"/>
      <c r="O51" s="1501"/>
      <c r="P51" s="1501"/>
      <c r="Q51" s="1501"/>
      <c r="R51" s="1977"/>
      <c r="S51" s="1501"/>
      <c r="T51" s="1501"/>
      <c r="U51" s="885"/>
      <c r="V51" s="1501"/>
      <c r="W51" s="1501"/>
      <c r="X51" s="1501"/>
      <c r="Y51" s="1501"/>
      <c r="Z51" s="1501"/>
      <c r="AA51" s="1973"/>
      <c r="AB51" s="907"/>
      <c r="AC51" s="907"/>
      <c r="AD51" s="907"/>
      <c r="AE51" s="907"/>
      <c r="AF51" s="1982">
        <v>11</v>
      </c>
    </row>
    <row s="17832" customFormat="1" customHeight="1" ht="11.549999999999999">
      <c r="A52" s="1328"/>
      <c r="B52" s="1977"/>
      <c r="C52" s="1977"/>
      <c r="D52" s="692"/>
      <c r="K52" s="1501"/>
      <c r="L52" s="1977"/>
      <c r="M52" s="1977"/>
      <c r="N52" s="1501"/>
      <c r="O52" s="1501"/>
      <c r="P52" s="1501"/>
      <c r="Q52" s="1501"/>
      <c r="R52" s="1977"/>
      <c r="S52" s="1501"/>
      <c r="T52" s="1501"/>
      <c r="U52" s="885"/>
      <c r="V52" s="1501"/>
      <c r="W52" s="1501"/>
      <c r="X52" s="1501"/>
      <c r="Y52" s="1501"/>
      <c r="Z52" s="1501"/>
      <c r="AA52" s="1973"/>
      <c r="AB52" s="907"/>
      <c r="AC52" s="907"/>
      <c r="AD52" s="907"/>
      <c r="AE52" s="907"/>
      <c r="AF52" s="1982">
        <v>11</v>
      </c>
    </row>
    <row s="17832" customFormat="1" customHeight="1" ht="11.549999999999999">
      <c r="A53" s="1328"/>
      <c r="B53" s="1977"/>
      <c r="C53" s="1977"/>
      <c r="D53" s="692"/>
      <c r="K53" s="1501"/>
      <c r="L53" s="1977"/>
      <c r="M53" s="1977"/>
      <c r="N53" s="1501"/>
      <c r="O53" s="1501"/>
      <c r="P53" s="1501"/>
      <c r="Q53" s="1501"/>
      <c r="R53" s="1977"/>
      <c r="S53" s="1501"/>
      <c r="T53" s="1501"/>
      <c r="U53" s="885"/>
      <c r="V53" s="1501"/>
      <c r="W53" s="1501"/>
      <c r="X53" s="1501"/>
      <c r="Y53" s="1501"/>
      <c r="Z53" s="1501"/>
      <c r="AA53" s="1973"/>
      <c r="AB53" s="907"/>
      <c r="AC53" s="907"/>
      <c r="AD53" s="907"/>
      <c r="AE53" s="907"/>
      <c r="AF53" s="1982">
        <v>11</v>
      </c>
    </row>
    <row s="17832" customFormat="1" customHeight="1" ht="11.549999999999999">
      <c r="A54" s="1328"/>
      <c r="B54" s="1977"/>
      <c r="C54" s="1977"/>
      <c r="D54" s="692"/>
      <c r="K54" s="1501"/>
      <c r="L54" s="1977"/>
      <c r="M54" s="1977"/>
      <c r="N54" s="1501"/>
      <c r="O54" s="1501"/>
      <c r="P54" s="1501"/>
      <c r="Q54" s="1501"/>
      <c r="R54" s="1977"/>
      <c r="S54" s="1501"/>
      <c r="T54" s="1501"/>
      <c r="U54" s="885"/>
      <c r="V54" s="1501"/>
      <c r="W54" s="1501"/>
      <c r="X54" s="1501"/>
      <c r="Y54" s="1501"/>
      <c r="Z54" s="1501"/>
      <c r="AA54" s="1973"/>
      <c r="AB54" s="907"/>
      <c r="AC54" s="907"/>
      <c r="AD54" s="907"/>
      <c r="AE54" s="907"/>
      <c r="AF54" s="1982">
        <v>11</v>
      </c>
    </row>
    <row s="17832" customFormat="1" customHeight="1" ht="11.549999999999999">
      <c r="A55" s="1328"/>
      <c r="B55" s="1977"/>
      <c r="C55" s="1977"/>
      <c r="D55" s="692"/>
      <c r="K55" s="1501"/>
      <c r="L55" s="1977"/>
      <c r="M55" s="1977"/>
      <c r="N55" s="1501"/>
      <c r="O55" s="1501"/>
      <c r="P55" s="1501"/>
      <c r="Q55" s="1501"/>
      <c r="R55" s="1977"/>
      <c r="S55" s="1501"/>
      <c r="T55" s="1501"/>
      <c r="U55" s="885"/>
      <c r="V55" s="1501"/>
      <c r="W55" s="1501"/>
      <c r="X55" s="1501"/>
      <c r="Y55" s="1501"/>
      <c r="Z55" s="1501"/>
      <c r="AA55" s="1973"/>
      <c r="AB55" s="907"/>
      <c r="AC55" s="907"/>
      <c r="AD55" s="907"/>
      <c r="AE55" s="907"/>
      <c r="AF55" s="1982">
        <v>11</v>
      </c>
    </row>
    <row s="17832" customFormat="1" customHeight="1" ht="11.549999999999999">
      <c r="A56" s="1328"/>
      <c r="B56" s="1977"/>
      <c r="C56" s="1977"/>
      <c r="D56" s="692"/>
      <c r="K56" s="1501"/>
      <c r="L56" s="1977"/>
      <c r="M56" s="1977"/>
      <c r="N56" s="1501"/>
      <c r="O56" s="1501"/>
      <c r="P56" s="1501"/>
      <c r="Q56" s="1501"/>
      <c r="R56" s="1977"/>
      <c r="S56" s="1501"/>
      <c r="T56" s="1501"/>
      <c r="U56" s="885"/>
      <c r="V56" s="1501"/>
      <c r="W56" s="1501"/>
      <c r="X56" s="1501"/>
      <c r="Y56" s="1501"/>
      <c r="Z56" s="1501"/>
      <c r="AA56" s="1973"/>
      <c r="AB56" s="907"/>
      <c r="AC56" s="907"/>
      <c r="AD56" s="907"/>
      <c r="AE56" s="907"/>
      <c r="AF56" s="1982">
        <v>11</v>
      </c>
    </row>
    <row s="17832" customFormat="1" customHeight="1" ht="11.549999999999999">
      <c r="A57" s="1328"/>
      <c r="B57" s="1977"/>
      <c r="C57" s="1977"/>
      <c r="D57" s="692"/>
      <c r="K57" s="1501"/>
      <c r="L57" s="1977"/>
      <c r="M57" s="1977"/>
      <c r="N57" s="1501"/>
      <c r="O57" s="1501"/>
      <c r="P57" s="1501"/>
      <c r="Q57" s="1501"/>
      <c r="R57" s="1977"/>
      <c r="S57" s="1501"/>
      <c r="T57" s="1501"/>
      <c r="U57" s="885"/>
      <c r="V57" s="1501"/>
      <c r="W57" s="1501"/>
      <c r="X57" s="1501"/>
      <c r="Y57" s="1501"/>
      <c r="Z57" s="1501"/>
      <c r="AA57" s="1973"/>
      <c r="AB57" s="907"/>
      <c r="AC57" s="907"/>
      <c r="AD57" s="907"/>
      <c r="AE57" s="907"/>
      <c r="AF57" s="1982">
        <v>11</v>
      </c>
    </row>
    <row s="17832" customFormat="1" customHeight="1" ht="11.549999999999999">
      <c r="A58" s="1328"/>
      <c r="B58" s="1977"/>
      <c r="C58" s="1977"/>
      <c r="D58" s="692"/>
      <c r="K58" s="1501"/>
      <c r="L58" s="1977"/>
      <c r="M58" s="1977"/>
      <c r="N58" s="1501"/>
      <c r="O58" s="1501"/>
      <c r="P58" s="1501"/>
      <c r="Q58" s="1501"/>
      <c r="R58" s="1977"/>
      <c r="S58" s="1501"/>
      <c r="T58" s="1501"/>
      <c r="U58" s="885"/>
      <c r="V58" s="1501"/>
      <c r="W58" s="1501"/>
      <c r="X58" s="1501"/>
      <c r="Y58" s="1501"/>
      <c r="Z58" s="1501"/>
      <c r="AA58" s="1973"/>
      <c r="AB58" s="907"/>
      <c r="AC58" s="907"/>
      <c r="AD58" s="907"/>
      <c r="AE58" s="907"/>
      <c r="AF58" s="1982">
        <v>11</v>
      </c>
    </row>
    <row s="17832" customFormat="1" customHeight="1" ht="11.549999999999999">
      <c r="A59" s="1328"/>
      <c r="B59" s="1977"/>
      <c r="C59" s="1977"/>
      <c r="D59" s="692"/>
      <c r="K59" s="1501"/>
      <c r="L59" s="1977"/>
      <c r="M59" s="1977"/>
      <c r="N59" s="1501"/>
      <c r="O59" s="1501"/>
      <c r="P59" s="1501"/>
      <c r="Q59" s="1501"/>
      <c r="R59" s="1977"/>
      <c r="S59" s="1501"/>
      <c r="T59" s="1501"/>
      <c r="U59" s="885"/>
      <c r="V59" s="1501"/>
      <c r="W59" s="1501"/>
      <c r="X59" s="1501"/>
      <c r="Y59" s="1501"/>
      <c r="Z59" s="1501"/>
      <c r="AA59" s="1973"/>
      <c r="AB59" s="907"/>
      <c r="AC59" s="907"/>
      <c r="AD59" s="907"/>
      <c r="AE59" s="907"/>
      <c r="AF59" s="1982">
        <v>11</v>
      </c>
    </row>
    <row s="17832" customFormat="1" customHeight="1" ht="11.549999999999999">
      <c r="A60" s="1328"/>
      <c r="B60" s="1977"/>
      <c r="C60" s="1977"/>
      <c r="D60" s="692"/>
      <c r="K60" s="1501"/>
      <c r="L60" s="1977"/>
      <c r="M60" s="1977"/>
      <c r="N60" s="1501"/>
      <c r="O60" s="1501"/>
      <c r="P60" s="1501"/>
      <c r="Q60" s="1501"/>
      <c r="R60" s="1977"/>
      <c r="S60" s="1501"/>
      <c r="T60" s="1501"/>
      <c r="U60" s="885"/>
      <c r="V60" s="1501"/>
      <c r="W60" s="1501"/>
      <c r="X60" s="1501"/>
      <c r="Y60" s="1501"/>
      <c r="Z60" s="1501"/>
      <c r="AA60" s="1973"/>
      <c r="AB60" s="907"/>
      <c r="AC60" s="907"/>
      <c r="AD60" s="907"/>
      <c r="AE60" s="907"/>
      <c r="AF60" s="1982">
        <v>11</v>
      </c>
    </row>
    <row s="17832" customFormat="1" customHeight="1" ht="11.549999999999999">
      <c r="A61" s="1328"/>
      <c r="B61" s="1977"/>
      <c r="C61" s="1977"/>
      <c r="D61" s="692"/>
      <c r="K61" s="1501"/>
      <c r="L61" s="1977"/>
      <c r="M61" s="1977"/>
      <c r="N61" s="1501"/>
      <c r="O61" s="1501"/>
      <c r="P61" s="1501"/>
      <c r="Q61" s="1501"/>
      <c r="R61" s="1977"/>
      <c r="S61" s="1501"/>
      <c r="T61" s="1501"/>
      <c r="U61" s="885"/>
      <c r="V61" s="1501"/>
      <c r="W61" s="1501"/>
      <c r="X61" s="1501"/>
      <c r="Y61" s="1501"/>
      <c r="Z61" s="1501"/>
      <c r="AA61" s="1973"/>
      <c r="AB61" s="907"/>
      <c r="AC61" s="907"/>
      <c r="AD61" s="907"/>
      <c r="AE61" s="907"/>
      <c r="AF61" s="1982">
        <v>11</v>
      </c>
    </row>
    <row s="17832" customFormat="1" customHeight="1" ht="11.549999999999999">
      <c r="A62" s="1328"/>
      <c r="B62" s="1977"/>
      <c r="C62" s="1977"/>
      <c r="D62" s="692"/>
      <c r="K62" s="1501"/>
      <c r="L62" s="1977"/>
      <c r="M62" s="1977"/>
      <c r="N62" s="1501"/>
      <c r="O62" s="1501"/>
      <c r="P62" s="1501"/>
      <c r="Q62" s="1501"/>
      <c r="R62" s="1977"/>
      <c r="S62" s="1501"/>
      <c r="T62" s="1501"/>
      <c r="U62" s="885"/>
      <c r="V62" s="1501"/>
      <c r="W62" s="1501"/>
      <c r="X62" s="1501"/>
      <c r="Y62" s="1501"/>
      <c r="Z62" s="1501"/>
      <c r="AA62" s="1973"/>
      <c r="AB62" s="907"/>
      <c r="AC62" s="907"/>
      <c r="AD62" s="907"/>
      <c r="AE62" s="907"/>
      <c r="AF62" s="1982">
        <v>11</v>
      </c>
    </row>
    <row s="17832" customFormat="1" customHeight="1" ht="11.549999999999999">
      <c r="A63" s="1328"/>
      <c r="B63" s="1977"/>
      <c r="C63" s="1977"/>
      <c r="D63" s="692"/>
      <c r="K63" s="1501"/>
      <c r="L63" s="1977"/>
      <c r="M63" s="1977"/>
      <c r="N63" s="1501"/>
      <c r="O63" s="1501"/>
      <c r="P63" s="1501"/>
      <c r="Q63" s="1501"/>
      <c r="R63" s="1977"/>
      <c r="S63" s="1501"/>
      <c r="T63" s="1501"/>
      <c r="U63" s="885"/>
      <c r="V63" s="1501"/>
      <c r="W63" s="1501"/>
      <c r="X63" s="1501"/>
      <c r="Y63" s="1501"/>
      <c r="Z63" s="1501"/>
      <c r="AA63" s="1973"/>
      <c r="AB63" s="907"/>
      <c r="AC63" s="907"/>
      <c r="AD63" s="907"/>
      <c r="AE63" s="907"/>
      <c r="AF63" s="1982">
        <v>11</v>
      </c>
    </row>
    <row s="17832" customFormat="1" customHeight="1" ht="11.549999999999999">
      <c r="A64" s="1328"/>
      <c r="B64" s="1977"/>
      <c r="C64" s="1977"/>
      <c r="D64" s="692"/>
      <c r="K64" s="1501"/>
      <c r="L64" s="1977"/>
      <c r="M64" s="1977"/>
      <c r="N64" s="1501"/>
      <c r="O64" s="1501"/>
      <c r="P64" s="1501"/>
      <c r="Q64" s="1501"/>
      <c r="R64" s="1977"/>
      <c r="S64" s="1501"/>
      <c r="T64" s="1501"/>
      <c r="U64" s="885"/>
      <c r="V64" s="1501"/>
      <c r="W64" s="1501"/>
      <c r="X64" s="1501"/>
      <c r="Y64" s="1501"/>
      <c r="Z64" s="1501"/>
      <c r="AA64" s="1973"/>
      <c r="AB64" s="907"/>
      <c r="AC64" s="907"/>
      <c r="AD64" s="907"/>
      <c r="AE64" s="907"/>
      <c r="AF64" s="1982">
        <v>11</v>
      </c>
    </row>
    <row s="17832" customFormat="1" customHeight="1" ht="11.549999999999999">
      <c r="A65" s="1328"/>
      <c r="B65" s="1977"/>
      <c r="C65" s="1977"/>
      <c r="D65" s="692"/>
      <c r="K65" s="1501"/>
      <c r="L65" s="1977"/>
      <c r="M65" s="1977"/>
      <c r="N65" s="1501"/>
      <c r="O65" s="1501"/>
      <c r="P65" s="1501"/>
      <c r="Q65" s="1501"/>
      <c r="R65" s="1977"/>
      <c r="S65" s="1501"/>
      <c r="T65" s="1501"/>
      <c r="U65" s="885"/>
      <c r="V65" s="1501"/>
      <c r="W65" s="1501"/>
      <c r="X65" s="1501"/>
      <c r="Y65" s="1501"/>
      <c r="Z65" s="1501"/>
      <c r="AA65" s="1973"/>
      <c r="AB65" s="907"/>
      <c r="AC65" s="907"/>
      <c r="AD65" s="907"/>
      <c r="AE65" s="907"/>
      <c r="AF65" s="1982">
        <v>11</v>
      </c>
    </row>
    <row s="17832" customFormat="1" customHeight="1" ht="11.549999999999999">
      <c r="A66" s="1328"/>
      <c r="B66" s="1977"/>
      <c r="C66" s="1977"/>
      <c r="D66" s="692"/>
      <c r="K66" s="1501"/>
      <c r="L66" s="1977"/>
      <c r="M66" s="1977"/>
      <c r="N66" s="1501"/>
      <c r="O66" s="1501"/>
      <c r="P66" s="1501"/>
      <c r="Q66" s="1501"/>
      <c r="R66" s="1977"/>
      <c r="S66" s="1501"/>
      <c r="T66" s="1501"/>
      <c r="U66" s="885"/>
      <c r="V66" s="1501"/>
      <c r="W66" s="1501"/>
      <c r="X66" s="1501"/>
      <c r="Y66" s="1501"/>
      <c r="Z66" s="1501"/>
      <c r="AA66" s="1973"/>
      <c r="AB66" s="907"/>
      <c r="AC66" s="907"/>
      <c r="AD66" s="907"/>
      <c r="AE66" s="907"/>
      <c r="AF66" s="1982">
        <v>11</v>
      </c>
    </row>
    <row s="17832" customFormat="1" customHeight="1" ht="11.549999999999999">
      <c r="A67" s="1328"/>
      <c r="B67" s="1977"/>
      <c r="C67" s="1977"/>
      <c r="D67" s="692"/>
      <c r="K67" s="1501"/>
      <c r="L67" s="1977"/>
      <c r="M67" s="1977"/>
      <c r="N67" s="1501"/>
      <c r="O67" s="1501"/>
      <c r="P67" s="1501"/>
      <c r="Q67" s="1501"/>
      <c r="R67" s="1977"/>
      <c r="S67" s="1501"/>
      <c r="T67" s="1501"/>
      <c r="U67" s="885"/>
      <c r="V67" s="1501"/>
      <c r="W67" s="1501"/>
      <c r="X67" s="1501"/>
      <c r="Y67" s="1501"/>
      <c r="Z67" s="1501"/>
      <c r="AA67" s="1973"/>
      <c r="AB67" s="907"/>
      <c r="AC67" s="907"/>
      <c r="AD67" s="907"/>
      <c r="AE67" s="907"/>
      <c r="AF67" s="1982">
        <v>11</v>
      </c>
    </row>
    <row s="17832" customFormat="1" customHeight="1" ht="11.549999999999999">
      <c r="A68" s="1328"/>
      <c r="B68" s="1977"/>
      <c r="C68" s="1977"/>
      <c r="D68" s="692"/>
      <c r="K68" s="1501"/>
      <c r="L68" s="1977"/>
      <c r="M68" s="1977"/>
      <c r="N68" s="1501"/>
      <c r="O68" s="1501"/>
      <c r="P68" s="1501"/>
      <c r="Q68" s="1501"/>
      <c r="R68" s="1977"/>
      <c r="S68" s="1501"/>
      <c r="T68" s="1501"/>
      <c r="U68" s="885"/>
      <c r="V68" s="1501"/>
      <c r="W68" s="1501"/>
      <c r="X68" s="1501"/>
      <c r="Y68" s="1501"/>
      <c r="Z68" s="1501"/>
      <c r="AA68" s="1973"/>
      <c r="AB68" s="907"/>
      <c r="AC68" s="907"/>
      <c r="AD68" s="907"/>
      <c r="AE68" s="907"/>
      <c r="AF68" s="1982">
        <v>11</v>
      </c>
    </row>
    <row s="17832" customFormat="1" customHeight="1" ht="11.549999999999999">
      <c r="A69" s="1328"/>
      <c r="B69" s="1977"/>
      <c r="C69" s="1977"/>
      <c r="D69" s="692"/>
      <c r="K69" s="1501"/>
      <c r="L69" s="1977"/>
      <c r="M69" s="1977"/>
      <c r="N69" s="1501"/>
      <c r="O69" s="1501"/>
      <c r="P69" s="1501"/>
      <c r="Q69" s="1501"/>
      <c r="R69" s="1977"/>
      <c r="S69" s="1501"/>
      <c r="T69" s="1501"/>
      <c r="U69" s="885"/>
      <c r="V69" s="1501"/>
      <c r="W69" s="1501"/>
      <c r="X69" s="1501"/>
      <c r="Y69" s="1501"/>
      <c r="Z69" s="1501"/>
      <c r="AA69" s="1973"/>
      <c r="AB69" s="907"/>
      <c r="AC69" s="907"/>
      <c r="AD69" s="907"/>
      <c r="AE69" s="907"/>
      <c r="AF69" s="1982">
        <v>11</v>
      </c>
    </row>
    <row s="17832" customFormat="1" customHeight="1" ht="11.549999999999999">
      <c r="A70" s="1328"/>
      <c r="B70" s="1977"/>
      <c r="C70" s="1977"/>
      <c r="D70" s="692"/>
      <c r="K70" s="1501"/>
      <c r="L70" s="1977"/>
      <c r="M70" s="1977"/>
      <c r="N70" s="1501"/>
      <c r="O70" s="1501"/>
      <c r="P70" s="1501"/>
      <c r="Q70" s="1501"/>
      <c r="R70" s="1977"/>
      <c r="S70" s="1501"/>
      <c r="T70" s="1501"/>
      <c r="U70" s="885"/>
      <c r="V70" s="1501"/>
      <c r="W70" s="1501"/>
      <c r="X70" s="1501"/>
      <c r="Y70" s="1501"/>
      <c r="Z70" s="1501"/>
      <c r="AA70" s="1973"/>
      <c r="AB70" s="907"/>
      <c r="AC70" s="907"/>
      <c r="AD70" s="907"/>
      <c r="AE70" s="907"/>
      <c r="AF70" s="1982">
        <v>11</v>
      </c>
    </row>
    <row s="17832" customFormat="1" customHeight="1" ht="11.549999999999999">
      <c r="A71" s="1328"/>
      <c r="B71" s="1977"/>
      <c r="C71" s="1977"/>
      <c r="D71" s="692"/>
      <c r="K71" s="1501"/>
      <c r="L71" s="1977"/>
      <c r="M71" s="1977"/>
      <c r="N71" s="1501"/>
      <c r="O71" s="1501"/>
      <c r="P71" s="1501"/>
      <c r="Q71" s="1501"/>
      <c r="R71" s="1977"/>
      <c r="S71" s="1501"/>
      <c r="T71" s="1501"/>
      <c r="U71" s="885"/>
      <c r="V71" s="1501"/>
      <c r="W71" s="1501"/>
      <c r="X71" s="1501"/>
      <c r="Y71" s="1501"/>
      <c r="Z71" s="1501"/>
      <c r="AA71" s="1973"/>
      <c r="AB71" s="907"/>
      <c r="AC71" s="907"/>
      <c r="AD71" s="907"/>
      <c r="AE71" s="907"/>
      <c r="AF71" s="1982">
        <v>11</v>
      </c>
    </row>
    <row s="17832" customFormat="1" customHeight="1" ht="11.549999999999999">
      <c r="A72" s="1328"/>
      <c r="B72" s="1977"/>
      <c r="C72" s="1977"/>
      <c r="D72" s="692"/>
      <c r="K72" s="1501"/>
      <c r="L72" s="1977"/>
      <c r="M72" s="1977"/>
      <c r="N72" s="1501"/>
      <c r="O72" s="1501"/>
      <c r="P72" s="1501"/>
      <c r="Q72" s="1501"/>
      <c r="R72" s="1977"/>
      <c r="S72" s="1501"/>
      <c r="T72" s="1501"/>
      <c r="U72" s="885"/>
      <c r="V72" s="1501"/>
      <c r="W72" s="1501"/>
      <c r="X72" s="1501"/>
      <c r="Y72" s="1501"/>
      <c r="Z72" s="1501"/>
      <c r="AA72" s="1973"/>
      <c r="AB72" s="907"/>
      <c r="AC72" s="907"/>
      <c r="AD72" s="907"/>
      <c r="AE72" s="907"/>
      <c r="AF72" s="1982">
        <v>11</v>
      </c>
    </row>
    <row s="17832" customFormat="1" customHeight="1" ht="11.549999999999999">
      <c r="A73" s="1328"/>
      <c r="B73" s="1977"/>
      <c r="C73" s="1977"/>
      <c r="D73" s="692"/>
      <c r="K73" s="1501"/>
      <c r="L73" s="1977"/>
      <c r="M73" s="1977"/>
      <c r="N73" s="1501"/>
      <c r="O73" s="1501"/>
      <c r="P73" s="1501"/>
      <c r="Q73" s="1501"/>
      <c r="R73" s="1977"/>
      <c r="S73" s="1501"/>
      <c r="T73" s="1501"/>
      <c r="U73" s="885"/>
      <c r="V73" s="1501"/>
      <c r="W73" s="1501"/>
      <c r="X73" s="1501"/>
      <c r="Y73" s="1501"/>
      <c r="Z73" s="1501"/>
      <c r="AA73" s="1973"/>
      <c r="AB73" s="907"/>
      <c r="AC73" s="907"/>
      <c r="AD73" s="907"/>
      <c r="AE73" s="907"/>
      <c r="AF73" s="1982">
        <v>11</v>
      </c>
    </row>
    <row s="17832" customFormat="1" customHeight="1" ht="11.549999999999999">
      <c r="A74" s="1328"/>
      <c r="B74" s="1977"/>
      <c r="C74" s="1977"/>
      <c r="D74" s="692"/>
      <c r="K74" s="1501"/>
      <c r="L74" s="1977"/>
      <c r="M74" s="1977"/>
      <c r="N74" s="1501"/>
      <c r="O74" s="1501"/>
      <c r="P74" s="1501"/>
      <c r="Q74" s="1501"/>
      <c r="R74" s="1977"/>
      <c r="S74" s="1501"/>
      <c r="T74" s="1501"/>
      <c r="U74" s="885"/>
      <c r="V74" s="1501"/>
      <c r="W74" s="1501"/>
      <c r="X74" s="1501"/>
      <c r="Y74" s="1501"/>
      <c r="Z74" s="1501"/>
      <c r="AA74" s="1973"/>
      <c r="AB74" s="907"/>
      <c r="AC74" s="907"/>
      <c r="AD74" s="907"/>
      <c r="AE74" s="907"/>
      <c r="AF74" s="1982">
        <v>11</v>
      </c>
    </row>
    <row s="17832" customFormat="1" customHeight="1" ht="11.549999999999999">
      <c r="A75" s="1328"/>
      <c r="B75" s="1977"/>
      <c r="C75" s="1977"/>
      <c r="D75" s="692"/>
      <c r="K75" s="1501"/>
      <c r="L75" s="1977"/>
      <c r="M75" s="1977"/>
      <c r="N75" s="1501"/>
      <c r="O75" s="1501"/>
      <c r="P75" s="1501"/>
      <c r="Q75" s="1501"/>
      <c r="R75" s="1977"/>
      <c r="S75" s="1501"/>
      <c r="T75" s="1501"/>
      <c r="U75" s="885"/>
      <c r="V75" s="1501"/>
      <c r="W75" s="1501"/>
      <c r="X75" s="1501"/>
      <c r="Y75" s="1501"/>
      <c r="Z75" s="1501"/>
      <c r="AA75" s="1973"/>
      <c r="AB75" s="907"/>
      <c r="AC75" s="907"/>
      <c r="AD75" s="907"/>
      <c r="AE75" s="907"/>
      <c r="AF75" s="1982">
        <v>11</v>
      </c>
    </row>
    <row s="17832" customFormat="1" customHeight="1" ht="11.549999999999999">
      <c r="A76" s="1328"/>
      <c r="B76" s="1977"/>
      <c r="C76" s="1977"/>
      <c r="D76" s="692"/>
      <c r="K76" s="1501"/>
      <c r="L76" s="1977"/>
      <c r="M76" s="1977"/>
      <c r="N76" s="1501"/>
      <c r="O76" s="1501"/>
      <c r="P76" s="1501"/>
      <c r="Q76" s="1501"/>
      <c r="R76" s="1977"/>
      <c r="S76" s="1501"/>
      <c r="T76" s="1501"/>
      <c r="U76" s="885"/>
      <c r="V76" s="1501"/>
      <c r="W76" s="1501"/>
      <c r="X76" s="1501"/>
      <c r="Y76" s="1501"/>
      <c r="Z76" s="1501"/>
      <c r="AA76" s="1973"/>
      <c r="AB76" s="907"/>
      <c r="AC76" s="907"/>
      <c r="AD76" s="907"/>
      <c r="AE76" s="907"/>
      <c r="AF76" s="1982">
        <v>11</v>
      </c>
    </row>
    <row s="17832" customFormat="1" customHeight="1" ht="11.549999999999999">
      <c r="A77" s="1328"/>
      <c r="B77" s="1977"/>
      <c r="C77" s="1977"/>
      <c r="D77" s="692"/>
      <c r="K77" s="1501"/>
      <c r="L77" s="1977"/>
      <c r="M77" s="1977"/>
      <c r="N77" s="1501"/>
      <c r="O77" s="1501"/>
      <c r="P77" s="1501"/>
      <c r="Q77" s="1501"/>
      <c r="R77" s="1977"/>
      <c r="S77" s="1501"/>
      <c r="T77" s="1501"/>
      <c r="U77" s="885"/>
      <c r="V77" s="1501"/>
      <c r="W77" s="1501"/>
      <c r="X77" s="1501"/>
      <c r="Y77" s="1501"/>
      <c r="Z77" s="1501"/>
      <c r="AA77" s="1973"/>
      <c r="AB77" s="907"/>
      <c r="AC77" s="907"/>
      <c r="AD77" s="907"/>
      <c r="AE77" s="907"/>
      <c r="AF77" s="1982">
        <v>11</v>
      </c>
    </row>
    <row s="17832" customFormat="1" customHeight="1" ht="11.549999999999999">
      <c r="A78" s="1328"/>
      <c r="B78" s="1977"/>
      <c r="C78" s="1977"/>
      <c r="D78" s="692"/>
      <c r="K78" s="1501"/>
      <c r="L78" s="1977"/>
      <c r="M78" s="1977"/>
      <c r="N78" s="1501"/>
      <c r="O78" s="1501"/>
      <c r="P78" s="1501"/>
      <c r="Q78" s="1501"/>
      <c r="R78" s="1977"/>
      <c r="S78" s="1501"/>
      <c r="T78" s="1501"/>
      <c r="U78" s="885"/>
      <c r="V78" s="1501"/>
      <c r="W78" s="1501"/>
      <c r="X78" s="1501"/>
      <c r="Y78" s="1501"/>
      <c r="Z78" s="1501"/>
      <c r="AA78" s="1973"/>
      <c r="AB78" s="907"/>
      <c r="AC78" s="907"/>
      <c r="AD78" s="907"/>
      <c r="AE78" s="907"/>
      <c r="AF78" s="1982">
        <v>11</v>
      </c>
    </row>
    <row s="17832" customFormat="1" customHeight="1" ht="11.549999999999999">
      <c r="A79" s="1328"/>
      <c r="B79" s="1977"/>
      <c r="C79" s="1977"/>
      <c r="D79" s="692"/>
      <c r="K79" s="1501"/>
      <c r="L79" s="1977"/>
      <c r="M79" s="1977"/>
      <c r="N79" s="1501"/>
      <c r="O79" s="1501"/>
      <c r="P79" s="1501"/>
      <c r="Q79" s="1501"/>
      <c r="R79" s="1977"/>
      <c r="S79" s="1501"/>
      <c r="T79" s="1501"/>
      <c r="U79" s="885"/>
      <c r="V79" s="1501"/>
      <c r="W79" s="1501"/>
      <c r="X79" s="1501"/>
      <c r="Y79" s="1501"/>
      <c r="Z79" s="1501"/>
      <c r="AA79" s="1973"/>
      <c r="AB79" s="907"/>
      <c r="AC79" s="907"/>
      <c r="AD79" s="907"/>
      <c r="AE79" s="907"/>
      <c r="AF79" s="1982">
        <v>11</v>
      </c>
    </row>
    <row s="17832" customFormat="1" customHeight="1" ht="11.549999999999999">
      <c r="A80" s="1328"/>
      <c r="B80" s="1977"/>
      <c r="C80" s="1977"/>
      <c r="D80" s="692"/>
      <c r="K80" s="1501"/>
      <c r="L80" s="1977"/>
      <c r="M80" s="1977"/>
      <c r="N80" s="1501"/>
      <c r="O80" s="1501"/>
      <c r="P80" s="1501"/>
      <c r="Q80" s="1501"/>
      <c r="R80" s="1977"/>
      <c r="S80" s="1501"/>
      <c r="T80" s="1501"/>
      <c r="U80" s="885"/>
      <c r="V80" s="1501"/>
      <c r="W80" s="1501"/>
      <c r="X80" s="1501"/>
      <c r="Y80" s="1501"/>
      <c r="Z80" s="1501"/>
      <c r="AA80" s="1973"/>
      <c r="AB80" s="907"/>
      <c r="AC80" s="907"/>
      <c r="AD80" s="907"/>
      <c r="AE80" s="907"/>
      <c r="AF80" s="1982">
        <v>11</v>
      </c>
    </row>
    <row s="17832" customFormat="1" customHeight="1" ht="11.549999999999999">
      <c r="A81" s="1328"/>
      <c r="B81" s="1977"/>
      <c r="C81" s="1977"/>
      <c r="D81" s="692"/>
      <c r="K81" s="1501"/>
      <c r="L81" s="1977"/>
      <c r="M81" s="1977"/>
      <c r="N81" s="1501"/>
      <c r="O81" s="1501"/>
      <c r="P81" s="1501"/>
      <c r="Q81" s="1501"/>
      <c r="R81" s="1977"/>
      <c r="S81" s="1501"/>
      <c r="T81" s="1501"/>
      <c r="U81" s="885"/>
      <c r="V81" s="1501"/>
      <c r="W81" s="1501"/>
      <c r="X81" s="1501"/>
      <c r="Y81" s="1501"/>
      <c r="Z81" s="1501"/>
      <c r="AA81" s="1973"/>
      <c r="AB81" s="907"/>
      <c r="AC81" s="907"/>
      <c r="AD81" s="907"/>
      <c r="AE81" s="907"/>
      <c r="AF81" s="1982">
        <v>11</v>
      </c>
    </row>
    <row s="17832" customFormat="1" customHeight="1" ht="11.549999999999999">
      <c r="A82" s="1328"/>
      <c r="B82" s="1977"/>
      <c r="C82" s="1977"/>
      <c r="D82" s="692"/>
      <c r="K82" s="1501"/>
      <c r="L82" s="1977"/>
      <c r="M82" s="1977"/>
      <c r="N82" s="1501"/>
      <c r="O82" s="1501"/>
      <c r="P82" s="1501"/>
      <c r="Q82" s="1501"/>
      <c r="R82" s="1977"/>
      <c r="S82" s="1501"/>
      <c r="T82" s="1501"/>
      <c r="U82" s="885"/>
      <c r="V82" s="1501"/>
      <c r="W82" s="1501"/>
      <c r="X82" s="1501"/>
      <c r="Y82" s="1501"/>
      <c r="Z82" s="1501"/>
      <c r="AA82" s="1973"/>
      <c r="AB82" s="907"/>
      <c r="AC82" s="907"/>
      <c r="AD82" s="907"/>
      <c r="AE82" s="907"/>
      <c r="AF82" s="1982">
        <v>11</v>
      </c>
    </row>
    <row s="17832" customFormat="1" customHeight="1" ht="11.549999999999999">
      <c r="A83" s="1328"/>
      <c r="B83" s="1977"/>
      <c r="C83" s="1977"/>
      <c r="D83" s="692"/>
      <c r="K83" s="1501"/>
      <c r="L83" s="1977"/>
      <c r="M83" s="1977"/>
      <c r="N83" s="1501"/>
      <c r="O83" s="1501"/>
      <c r="P83" s="1501"/>
      <c r="Q83" s="1501"/>
      <c r="R83" s="1977"/>
      <c r="S83" s="1501"/>
      <c r="T83" s="1501"/>
      <c r="U83" s="885"/>
      <c r="V83" s="1501"/>
      <c r="W83" s="1501"/>
      <c r="X83" s="1501"/>
      <c r="Y83" s="1501"/>
      <c r="Z83" s="1501"/>
      <c r="AA83" s="1973"/>
      <c r="AB83" s="907"/>
      <c r="AC83" s="907"/>
      <c r="AD83" s="907"/>
      <c r="AE83" s="907"/>
      <c r="AF83" s="1982">
        <v>11</v>
      </c>
    </row>
    <row s="17832" customFormat="1" customHeight="1" ht="11.549999999999999">
      <c r="A84" s="1328"/>
      <c r="B84" s="1977"/>
      <c r="C84" s="1977"/>
      <c r="D84" s="692"/>
      <c r="K84" s="1501"/>
      <c r="L84" s="1977"/>
      <c r="M84" s="1977"/>
      <c r="N84" s="1501"/>
      <c r="O84" s="1501"/>
      <c r="P84" s="1501"/>
      <c r="Q84" s="1501"/>
      <c r="R84" s="1977"/>
      <c r="S84" s="1501"/>
      <c r="T84" s="1501"/>
      <c r="U84" s="885"/>
      <c r="V84" s="1501"/>
      <c r="W84" s="1501"/>
      <c r="X84" s="1501"/>
      <c r="Y84" s="1501"/>
      <c r="Z84" s="1501"/>
      <c r="AA84" s="1973"/>
      <c r="AB84" s="907"/>
      <c r="AC84" s="907"/>
      <c r="AD84" s="907"/>
      <c r="AE84" s="907"/>
      <c r="AF84" s="1982">
        <v>11</v>
      </c>
    </row>
    <row s="17832" customFormat="1" customHeight="1" ht="11.549999999999999">
      <c r="A85" s="1328"/>
      <c r="B85" s="1977"/>
      <c r="C85" s="1977"/>
      <c r="D85" s="692"/>
      <c r="K85" s="1501"/>
      <c r="L85" s="1977"/>
      <c r="M85" s="1977"/>
      <c r="N85" s="1501"/>
      <c r="O85" s="1501"/>
      <c r="P85" s="1501"/>
      <c r="Q85" s="1501"/>
      <c r="R85" s="1977"/>
      <c r="S85" s="1501"/>
      <c r="T85" s="1501"/>
      <c r="U85" s="885"/>
      <c r="V85" s="1501"/>
      <c r="W85" s="1501"/>
      <c r="X85" s="1501"/>
      <c r="Y85" s="1501"/>
      <c r="Z85" s="1501"/>
      <c r="AA85" s="1973"/>
      <c r="AB85" s="907"/>
      <c r="AC85" s="907"/>
      <c r="AD85" s="907"/>
      <c r="AE85" s="907"/>
      <c r="AF85" s="1982">
        <v>11</v>
      </c>
    </row>
    <row s="17832" customFormat="1" customHeight="1" ht="11.549999999999999">
      <c r="A86" s="1328"/>
      <c r="B86" s="1977"/>
      <c r="C86" s="1977"/>
      <c r="D86" s="692"/>
      <c r="K86" s="1501"/>
      <c r="L86" s="1977"/>
      <c r="M86" s="1977"/>
      <c r="N86" s="1501"/>
      <c r="O86" s="1501"/>
      <c r="P86" s="1501"/>
      <c r="Q86" s="1501"/>
      <c r="R86" s="1977"/>
      <c r="S86" s="1501"/>
      <c r="T86" s="1501"/>
      <c r="U86" s="885"/>
      <c r="V86" s="1501"/>
      <c r="W86" s="1501"/>
      <c r="X86" s="1501"/>
      <c r="Y86" s="1501"/>
      <c r="Z86" s="1501"/>
      <c r="AA86" s="1973"/>
      <c r="AB86" s="907"/>
      <c r="AC86" s="907"/>
      <c r="AD86" s="907"/>
      <c r="AE86" s="907"/>
      <c r="AF86" s="1982">
        <v>11</v>
      </c>
    </row>
    <row s="17832" customFormat="1" customHeight="1" ht="11.549999999999999">
      <c r="A87" s="1328"/>
      <c r="B87" s="1977"/>
      <c r="C87" s="1977"/>
      <c r="D87" s="692"/>
      <c r="K87" s="1501"/>
      <c r="L87" s="1977"/>
      <c r="M87" s="1977"/>
      <c r="N87" s="1501"/>
      <c r="O87" s="1501"/>
      <c r="P87" s="1501"/>
      <c r="Q87" s="1501"/>
      <c r="R87" s="1977"/>
      <c r="S87" s="1501"/>
      <c r="T87" s="1501"/>
      <c r="U87" s="885"/>
      <c r="V87" s="1501"/>
      <c r="W87" s="1501"/>
      <c r="X87" s="1501"/>
      <c r="Y87" s="1501"/>
      <c r="Z87" s="1501"/>
      <c r="AA87" s="1973"/>
      <c r="AB87" s="907"/>
      <c r="AC87" s="907"/>
      <c r="AD87" s="907"/>
      <c r="AE87" s="907"/>
      <c r="AF87" s="1982">
        <v>11</v>
      </c>
    </row>
    <row s="17832" customFormat="1" customHeight="1" ht="11.549999999999999">
      <c r="A88" s="1328"/>
      <c r="B88" s="1977"/>
      <c r="C88" s="1977"/>
      <c r="D88" s="692"/>
      <c r="K88" s="1501"/>
      <c r="L88" s="1977"/>
      <c r="M88" s="1977"/>
      <c r="N88" s="1501"/>
      <c r="O88" s="1501"/>
      <c r="P88" s="1501"/>
      <c r="Q88" s="1501"/>
      <c r="R88" s="1977"/>
      <c r="S88" s="1501"/>
      <c r="T88" s="1501"/>
      <c r="U88" s="885"/>
      <c r="V88" s="1501"/>
      <c r="W88" s="1501"/>
      <c r="X88" s="1501"/>
      <c r="Y88" s="1501"/>
      <c r="Z88" s="1501"/>
      <c r="AA88" s="1973"/>
      <c r="AB88" s="907"/>
      <c r="AC88" s="907"/>
      <c r="AD88" s="907"/>
      <c r="AE88" s="907"/>
      <c r="AF88" s="1982">
        <v>11</v>
      </c>
    </row>
    <row s="17832" customFormat="1" customHeight="1" ht="11.549999999999999">
      <c r="A89" s="1328"/>
      <c r="B89" s="1977"/>
      <c r="C89" s="1977"/>
      <c r="D89" s="692"/>
      <c r="K89" s="1501"/>
      <c r="L89" s="1977"/>
      <c r="M89" s="1977"/>
      <c r="N89" s="1501"/>
      <c r="O89" s="1501"/>
      <c r="P89" s="1501"/>
      <c r="Q89" s="1501"/>
      <c r="R89" s="1977"/>
      <c r="S89" s="1501"/>
      <c r="T89" s="1501"/>
      <c r="U89" s="885"/>
      <c r="V89" s="1501"/>
      <c r="W89" s="1501"/>
      <c r="X89" s="1501"/>
      <c r="Y89" s="1501"/>
      <c r="Z89" s="1501"/>
      <c r="AA89" s="1973"/>
      <c r="AB89" s="907"/>
      <c r="AC89" s="907"/>
      <c r="AD89" s="907"/>
      <c r="AE89" s="907"/>
      <c r="AF89" s="1982">
        <v>11</v>
      </c>
    </row>
    <row s="17832" customFormat="1" customHeight="1" ht="11.549999999999999">
      <c r="A90" s="1328"/>
      <c r="B90" s="1977"/>
      <c r="C90" s="1977"/>
      <c r="D90" s="692"/>
      <c r="K90" s="1501"/>
      <c r="L90" s="1977"/>
      <c r="M90" s="1977"/>
      <c r="N90" s="1501"/>
      <c r="O90" s="1501"/>
      <c r="P90" s="1501"/>
      <c r="Q90" s="1501"/>
      <c r="R90" s="1977"/>
      <c r="S90" s="1501"/>
      <c r="T90" s="1501"/>
      <c r="U90" s="885"/>
      <c r="V90" s="1501"/>
      <c r="W90" s="1501"/>
      <c r="X90" s="1501"/>
      <c r="Y90" s="1501"/>
      <c r="Z90" s="1501"/>
      <c r="AA90" s="1973"/>
      <c r="AB90" s="907"/>
      <c r="AC90" s="907"/>
      <c r="AD90" s="907"/>
      <c r="AE90" s="907"/>
      <c r="AF90" s="1982">
        <v>11</v>
      </c>
    </row>
    <row s="17832" customFormat="1" customHeight="1" ht="11.549999999999999">
      <c r="A91" s="1328"/>
      <c r="B91" s="1977"/>
      <c r="C91" s="1977"/>
      <c r="D91" s="692"/>
      <c r="K91" s="1501"/>
      <c r="L91" s="1977"/>
      <c r="M91" s="1977"/>
      <c r="N91" s="1501"/>
      <c r="O91" s="1501"/>
      <c r="P91" s="1501"/>
      <c r="Q91" s="1501"/>
      <c r="R91" s="1977"/>
      <c r="S91" s="1501"/>
      <c r="T91" s="1501"/>
      <c r="U91" s="885"/>
      <c r="V91" s="1501"/>
      <c r="W91" s="1501"/>
      <c r="X91" s="1501"/>
      <c r="Y91" s="1501"/>
      <c r="Z91" s="1501"/>
      <c r="AA91" s="1973"/>
      <c r="AB91" s="907"/>
      <c r="AC91" s="907"/>
      <c r="AD91" s="907"/>
      <c r="AE91" s="907"/>
      <c r="AF91" s="1982">
        <v>11</v>
      </c>
    </row>
    <row s="17832" customFormat="1" customHeight="1" ht="11.549999999999999">
      <c r="A92" s="1328"/>
      <c r="B92" s="1977"/>
      <c r="C92" s="1977"/>
      <c r="D92" s="692"/>
      <c r="K92" s="1501"/>
      <c r="L92" s="1977"/>
      <c r="M92" s="1977"/>
      <c r="N92" s="1501"/>
      <c r="O92" s="1501"/>
      <c r="P92" s="1501"/>
      <c r="Q92" s="1501"/>
      <c r="R92" s="1977"/>
      <c r="S92" s="1501"/>
      <c r="T92" s="1501"/>
      <c r="U92" s="885"/>
      <c r="V92" s="1501"/>
      <c r="W92" s="1501"/>
      <c r="X92" s="1501"/>
      <c r="Y92" s="1501"/>
      <c r="Z92" s="1501"/>
      <c r="AA92" s="1973"/>
      <c r="AB92" s="907"/>
      <c r="AC92" s="907"/>
      <c r="AD92" s="907"/>
      <c r="AE92" s="907"/>
      <c r="AF92" s="1982">
        <v>11</v>
      </c>
    </row>
    <row s="17832" customFormat="1" customHeight="1" ht="11.549999999999999">
      <c r="A93" s="1328"/>
      <c r="B93" s="1977"/>
      <c r="C93" s="1977"/>
      <c r="D93" s="692"/>
      <c r="K93" s="1501"/>
      <c r="L93" s="1977"/>
      <c r="M93" s="1977"/>
      <c r="N93" s="1501"/>
      <c r="O93" s="1501"/>
      <c r="P93" s="1501"/>
      <c r="Q93" s="1501"/>
      <c r="R93" s="1977"/>
      <c r="S93" s="1501"/>
      <c r="T93" s="1501"/>
      <c r="U93" s="885"/>
      <c r="V93" s="1501"/>
      <c r="W93" s="1501"/>
      <c r="X93" s="1501"/>
      <c r="Y93" s="1501"/>
      <c r="Z93" s="1501"/>
      <c r="AA93" s="1973"/>
      <c r="AB93" s="907"/>
      <c r="AC93" s="907"/>
      <c r="AD93" s="907"/>
      <c r="AE93" s="907"/>
      <c r="AF93" s="1982">
        <v>11</v>
      </c>
    </row>
    <row s="17832" customFormat="1" customHeight="1" ht="11.549999999999999">
      <c r="A94" s="1328"/>
      <c r="B94" s="1977"/>
      <c r="C94" s="1977"/>
      <c r="D94" s="692"/>
      <c r="K94" s="1501"/>
      <c r="L94" s="1977"/>
      <c r="M94" s="1977"/>
      <c r="N94" s="1501"/>
      <c r="O94" s="1501"/>
      <c r="P94" s="1501"/>
      <c r="Q94" s="1501"/>
      <c r="R94" s="1977"/>
      <c r="S94" s="1501"/>
      <c r="T94" s="1501"/>
      <c r="U94" s="885"/>
      <c r="V94" s="1501"/>
      <c r="W94" s="1501"/>
      <c r="X94" s="1501"/>
      <c r="Y94" s="1501"/>
      <c r="Z94" s="1501"/>
      <c r="AA94" s="1973"/>
      <c r="AB94" s="907"/>
      <c r="AC94" s="907"/>
      <c r="AD94" s="907"/>
      <c r="AE94" s="907"/>
      <c r="AF94" s="1982">
        <v>11</v>
      </c>
    </row>
    <row s="17832" customFormat="1" customHeight="1" ht="11.549999999999999">
      <c r="A95" s="1328"/>
      <c r="B95" s="1977"/>
      <c r="C95" s="1977"/>
      <c r="D95" s="692"/>
      <c r="K95" s="1501"/>
      <c r="L95" s="1977"/>
      <c r="M95" s="1977"/>
      <c r="N95" s="1501"/>
      <c r="O95" s="1501"/>
      <c r="P95" s="1501"/>
      <c r="Q95" s="1501"/>
      <c r="R95" s="1977"/>
      <c r="S95" s="1501"/>
      <c r="T95" s="1501"/>
      <c r="U95" s="885"/>
      <c r="V95" s="1501"/>
      <c r="W95" s="1501"/>
      <c r="X95" s="1501"/>
      <c r="Y95" s="1501"/>
      <c r="Z95" s="1501"/>
      <c r="AA95" s="1973"/>
      <c r="AB95" s="907"/>
      <c r="AC95" s="907"/>
      <c r="AD95" s="907"/>
      <c r="AE95" s="907"/>
      <c r="AF95" s="1982">
        <v>11</v>
      </c>
    </row>
    <row s="17832" customFormat="1" customHeight="1" ht="11.549999999999999">
      <c r="A96" s="1328"/>
      <c r="B96" s="1977"/>
      <c r="C96" s="1977"/>
      <c r="D96" s="692"/>
      <c r="K96" s="1501"/>
      <c r="L96" s="1977"/>
      <c r="M96" s="1977"/>
      <c r="N96" s="1501"/>
      <c r="O96" s="1501"/>
      <c r="P96" s="1501"/>
      <c r="Q96" s="1501"/>
      <c r="R96" s="1977"/>
      <c r="S96" s="1501"/>
      <c r="T96" s="1501"/>
      <c r="U96" s="885"/>
      <c r="V96" s="1501"/>
      <c r="W96" s="1501"/>
      <c r="X96" s="1501"/>
      <c r="Y96" s="1501"/>
      <c r="Z96" s="1501"/>
      <c r="AA96" s="1973"/>
      <c r="AB96" s="907"/>
      <c r="AC96" s="907"/>
      <c r="AD96" s="907"/>
      <c r="AE96" s="907"/>
      <c r="AF96" s="1982">
        <v>11</v>
      </c>
    </row>
    <row s="17832" customFormat="1" customHeight="1" ht="11.549999999999999">
      <c r="A97" s="1328"/>
      <c r="B97" s="1977"/>
      <c r="C97" s="1977"/>
      <c r="D97" s="692"/>
      <c r="K97" s="1501"/>
      <c r="L97" s="1977"/>
      <c r="M97" s="1977"/>
      <c r="N97" s="1501"/>
      <c r="O97" s="1501"/>
      <c r="P97" s="1501"/>
      <c r="Q97" s="1501"/>
      <c r="R97" s="1977"/>
      <c r="S97" s="1501"/>
      <c r="T97" s="1501"/>
      <c r="U97" s="885"/>
      <c r="V97" s="1501"/>
      <c r="W97" s="1501"/>
      <c r="X97" s="1501"/>
      <c r="Y97" s="1501"/>
      <c r="Z97" s="1501"/>
      <c r="AA97" s="1973"/>
      <c r="AB97" s="907"/>
      <c r="AC97" s="907"/>
      <c r="AD97" s="907"/>
      <c r="AE97" s="907"/>
      <c r="AF97" s="1982">
        <v>11</v>
      </c>
    </row>
    <row s="17832" customFormat="1" customHeight="1" ht="11.549999999999999">
      <c r="A98" s="1328"/>
      <c r="B98" s="1977"/>
      <c r="C98" s="1977"/>
      <c r="D98" s="692"/>
      <c r="K98" s="1501"/>
      <c r="L98" s="1977"/>
      <c r="M98" s="1977"/>
      <c r="N98" s="1501"/>
      <c r="O98" s="1501"/>
      <c r="P98" s="1501"/>
      <c r="Q98" s="1501"/>
      <c r="R98" s="1977"/>
      <c r="S98" s="1501"/>
      <c r="T98" s="1501"/>
      <c r="U98" s="885"/>
      <c r="V98" s="1501"/>
      <c r="W98" s="1501"/>
      <c r="X98" s="1501"/>
      <c r="Y98" s="1501"/>
      <c r="Z98" s="1501"/>
      <c r="AA98" s="1973"/>
      <c r="AB98" s="907"/>
      <c r="AC98" s="907"/>
      <c r="AD98" s="907"/>
      <c r="AE98" s="907"/>
      <c r="AF98" s="1982">
        <v>11</v>
      </c>
    </row>
    <row s="17832" customFormat="1" customHeight="1" ht="11.549999999999999">
      <c r="A99" s="1328"/>
      <c r="B99" s="1977"/>
      <c r="C99" s="1977"/>
      <c r="D99" s="692"/>
      <c r="K99" s="1501"/>
      <c r="L99" s="1977"/>
      <c r="M99" s="1977"/>
      <c r="N99" s="1501"/>
      <c r="O99" s="1501"/>
      <c r="P99" s="1501"/>
      <c r="Q99" s="1501"/>
      <c r="R99" s="1977"/>
      <c r="S99" s="1501"/>
      <c r="T99" s="1501"/>
      <c r="U99" s="885"/>
      <c r="V99" s="1501"/>
      <c r="W99" s="1501"/>
      <c r="X99" s="1501"/>
      <c r="Y99" s="1501"/>
      <c r="Z99" s="1501"/>
      <c r="AA99" s="1973"/>
      <c r="AB99" s="907"/>
      <c r="AC99" s="907"/>
      <c r="AD99" s="907"/>
      <c r="AE99" s="907"/>
      <c r="AF99" s="1982">
        <v>11</v>
      </c>
    </row>
    <row s="17832" customFormat="1" customHeight="1" ht="11.549999999999999">
      <c r="A100" s="1328"/>
      <c r="B100" s="1977"/>
      <c r="C100" s="1977"/>
      <c r="D100" s="692"/>
      <c r="K100" s="1501"/>
      <c r="L100" s="1977"/>
      <c r="M100" s="1977"/>
      <c r="N100" s="1501"/>
      <c r="O100" s="1501"/>
      <c r="P100" s="1501"/>
      <c r="Q100" s="1501"/>
      <c r="R100" s="1977"/>
      <c r="S100" s="1501"/>
      <c r="T100" s="1501"/>
      <c r="U100" s="885"/>
      <c r="V100" s="1501"/>
      <c r="W100" s="1501"/>
      <c r="X100" s="1501"/>
      <c r="Y100" s="1501"/>
      <c r="Z100" s="1501"/>
      <c r="AA100" s="1973"/>
      <c r="AB100" s="907"/>
      <c r="AC100" s="907"/>
      <c r="AD100" s="907"/>
      <c r="AE100" s="907"/>
      <c r="AF100" s="1982">
        <v>11</v>
      </c>
    </row>
    <row s="17832" customFormat="1" customHeight="1" ht="11.549999999999999">
      <c r="A101" s="1328"/>
      <c r="B101" s="1977"/>
      <c r="C101" s="1977"/>
      <c r="D101" s="692"/>
      <c r="K101" s="1501"/>
      <c r="L101" s="1977"/>
      <c r="M101" s="1977"/>
      <c r="N101" s="1501"/>
      <c r="O101" s="1501"/>
      <c r="P101" s="1501"/>
      <c r="Q101" s="1501"/>
      <c r="R101" s="1977"/>
      <c r="S101" s="1501"/>
      <c r="T101" s="1501"/>
      <c r="U101" s="885"/>
      <c r="V101" s="1501"/>
      <c r="W101" s="1501"/>
      <c r="X101" s="1501"/>
      <c r="Y101" s="1501"/>
      <c r="Z101" s="1501"/>
      <c r="AA101" s="1973"/>
      <c r="AB101" s="907"/>
      <c r="AC101" s="907"/>
      <c r="AD101" s="907"/>
      <c r="AE101" s="907"/>
      <c r="AF101" s="1982">
        <v>11</v>
      </c>
    </row>
    <row s="17832" customFormat="1" customHeight="1" ht="11.549999999999999">
      <c r="A102" s="1328"/>
      <c r="B102" s="1977"/>
      <c r="C102" s="1977"/>
      <c r="D102" s="692"/>
      <c r="K102" s="1501"/>
      <c r="L102" s="1977"/>
      <c r="M102" s="1977"/>
      <c r="N102" s="1501"/>
      <c r="O102" s="1501"/>
      <c r="P102" s="1501"/>
      <c r="Q102" s="1501"/>
      <c r="R102" s="1977"/>
      <c r="S102" s="1501"/>
      <c r="T102" s="1501"/>
      <c r="U102" s="885"/>
      <c r="V102" s="1501"/>
      <c r="W102" s="1501"/>
      <c r="X102" s="1501"/>
      <c r="Y102" s="1501"/>
      <c r="Z102" s="1501"/>
      <c r="AA102" s="1973"/>
      <c r="AB102" s="907"/>
      <c r="AC102" s="907"/>
      <c r="AD102" s="907"/>
      <c r="AE102" s="907"/>
      <c r="AF102" s="1982">
        <v>11</v>
      </c>
    </row>
    <row s="17832" customFormat="1" customHeight="1" ht="11.549999999999999">
      <c r="A103" s="1328"/>
      <c r="B103" s="1977"/>
      <c r="C103" s="1977"/>
      <c r="D103" s="692"/>
      <c r="K103" s="1501"/>
      <c r="L103" s="1977"/>
      <c r="M103" s="1977"/>
      <c r="N103" s="1501"/>
      <c r="O103" s="1501"/>
      <c r="P103" s="1501"/>
      <c r="Q103" s="1501"/>
      <c r="R103" s="1977"/>
      <c r="S103" s="1501"/>
      <c r="T103" s="1501"/>
      <c r="U103" s="885"/>
      <c r="V103" s="1501"/>
      <c r="W103" s="1501"/>
      <c r="X103" s="1501"/>
      <c r="Y103" s="1501"/>
      <c r="Z103" s="1501"/>
      <c r="AA103" s="1973"/>
      <c r="AB103" s="907"/>
      <c r="AC103" s="907"/>
      <c r="AD103" s="907"/>
      <c r="AE103" s="907"/>
      <c r="AF103" s="1982">
        <v>11</v>
      </c>
    </row>
    <row s="17832" customFormat="1" customHeight="1" ht="11.549999999999999">
      <c r="A104" s="1328"/>
      <c r="B104" s="1977"/>
      <c r="C104" s="1977"/>
      <c r="D104" s="692"/>
      <c r="K104" s="1501"/>
      <c r="L104" s="1977"/>
      <c r="M104" s="1977"/>
      <c r="N104" s="1501"/>
      <c r="O104" s="1501"/>
      <c r="P104" s="1501"/>
      <c r="Q104" s="1501"/>
      <c r="R104" s="1977"/>
      <c r="S104" s="1501"/>
      <c r="T104" s="1501"/>
      <c r="U104" s="885"/>
      <c r="V104" s="1501"/>
      <c r="W104" s="1501"/>
      <c r="X104" s="1501"/>
      <c r="Y104" s="1501"/>
      <c r="Z104" s="1501"/>
      <c r="AA104" s="1973"/>
      <c r="AB104" s="907"/>
      <c r="AC104" s="907"/>
      <c r="AD104" s="907"/>
      <c r="AE104" s="907"/>
      <c r="AF104" s="1982">
        <v>11</v>
      </c>
    </row>
    <row s="17832" customFormat="1" customHeight="1" ht="11.549999999999999">
      <c r="A105" s="1328"/>
      <c r="B105" s="1977"/>
      <c r="C105" s="1977"/>
      <c r="D105" s="692"/>
      <c r="K105" s="1501"/>
      <c r="L105" s="1977"/>
      <c r="M105" s="1977"/>
      <c r="N105" s="1501"/>
      <c r="O105" s="1501"/>
      <c r="P105" s="1501"/>
      <c r="Q105" s="1501"/>
      <c r="R105" s="1977"/>
      <c r="S105" s="1501"/>
      <c r="T105" s="1501"/>
      <c r="U105" s="885"/>
      <c r="V105" s="1501"/>
      <c r="W105" s="1501"/>
      <c r="X105" s="1501"/>
      <c r="Y105" s="1501"/>
      <c r="Z105" s="1501"/>
      <c r="AA105" s="1973"/>
      <c r="AB105" s="907"/>
      <c r="AC105" s="907"/>
      <c r="AD105" s="907"/>
      <c r="AE105" s="907"/>
      <c r="AF105" s="1982">
        <v>11</v>
      </c>
    </row>
    <row s="17832" customFormat="1" customHeight="1" ht="11.549999999999999">
      <c r="A106" s="1328"/>
      <c r="B106" s="1977"/>
      <c r="C106" s="1977"/>
      <c r="D106" s="692"/>
      <c r="K106" s="1501"/>
      <c r="L106" s="1977"/>
      <c r="M106" s="1977"/>
      <c r="N106" s="1501"/>
      <c r="O106" s="1501"/>
      <c r="P106" s="1501"/>
      <c r="Q106" s="1501"/>
      <c r="R106" s="1977"/>
      <c r="S106" s="1501"/>
      <c r="T106" s="1501"/>
      <c r="U106" s="885"/>
      <c r="V106" s="1501"/>
      <c r="W106" s="1501"/>
      <c r="X106" s="1501"/>
      <c r="Y106" s="1501"/>
      <c r="Z106" s="1501"/>
      <c r="AA106" s="1973"/>
      <c r="AB106" s="907"/>
      <c r="AC106" s="907"/>
      <c r="AD106" s="907"/>
      <c r="AE106" s="907"/>
      <c r="AF106" s="1982">
        <v>11</v>
      </c>
    </row>
    <row s="17832" customFormat="1" customHeight="1" ht="11.549999999999999">
      <c r="A107" s="1328"/>
      <c r="B107" s="1977"/>
      <c r="C107" s="1977"/>
      <c r="D107" s="692"/>
      <c r="K107" s="1501"/>
      <c r="L107" s="1977"/>
      <c r="M107" s="1977"/>
      <c r="N107" s="1501"/>
      <c r="O107" s="1501"/>
      <c r="P107" s="1501"/>
      <c r="Q107" s="1501"/>
      <c r="R107" s="1977"/>
      <c r="S107" s="1501"/>
      <c r="T107" s="1501"/>
      <c r="U107" s="885"/>
      <c r="V107" s="1501"/>
      <c r="W107" s="1501"/>
      <c r="X107" s="1501"/>
      <c r="Y107" s="1501"/>
      <c r="Z107" s="1501"/>
      <c r="AA107" s="1973"/>
      <c r="AB107" s="907"/>
      <c r="AC107" s="907"/>
      <c r="AD107" s="907"/>
      <c r="AE107" s="907"/>
      <c r="AF107" s="1982">
        <v>11</v>
      </c>
    </row>
    <row s="17832" customFormat="1" customHeight="1" ht="11.549999999999999">
      <c r="A108" s="1328"/>
      <c r="B108" s="1977"/>
      <c r="C108" s="1977"/>
      <c r="D108" s="692"/>
      <c r="K108" s="1501"/>
      <c r="L108" s="1977"/>
      <c r="M108" s="1977"/>
      <c r="N108" s="1501"/>
      <c r="O108" s="1501"/>
      <c r="P108" s="1501"/>
      <c r="Q108" s="1501"/>
      <c r="R108" s="1977"/>
      <c r="S108" s="1501"/>
      <c r="T108" s="1501"/>
      <c r="U108" s="885"/>
      <c r="V108" s="1501"/>
      <c r="W108" s="1501"/>
      <c r="X108" s="1501"/>
      <c r="Y108" s="1501"/>
      <c r="Z108" s="1501"/>
      <c r="AA108" s="1973"/>
      <c r="AB108" s="907"/>
      <c r="AC108" s="907"/>
      <c r="AD108" s="907"/>
      <c r="AE108" s="907"/>
      <c r="AF108" s="1982">
        <v>11</v>
      </c>
    </row>
    <row s="17832" customFormat="1" customHeight="1" ht="11.549999999999999">
      <c r="A109" s="1328"/>
      <c r="B109" s="1977"/>
      <c r="C109" s="1977"/>
      <c r="D109" s="692"/>
      <c r="K109" s="1501"/>
      <c r="L109" s="1977"/>
      <c r="M109" s="1977"/>
      <c r="N109" s="1501"/>
      <c r="O109" s="1501"/>
      <c r="P109" s="1501"/>
      <c r="Q109" s="1501"/>
      <c r="R109" s="1977"/>
      <c r="S109" s="1501"/>
      <c r="T109" s="1501"/>
      <c r="U109" s="885"/>
      <c r="V109" s="1501"/>
      <c r="W109" s="1501"/>
      <c r="X109" s="1501"/>
      <c r="Y109" s="1501"/>
      <c r="Z109" s="1501"/>
      <c r="AA109" s="1973"/>
      <c r="AB109" s="907"/>
      <c r="AC109" s="907"/>
      <c r="AD109" s="907"/>
      <c r="AE109" s="907"/>
      <c r="AF109" s="1982">
        <v>11</v>
      </c>
    </row>
    <row s="17832" customFormat="1" customHeight="1" ht="11.549999999999999">
      <c r="A110" s="1328"/>
      <c r="B110" s="1977"/>
      <c r="C110" s="1977"/>
      <c r="D110" s="692"/>
      <c r="K110" s="1501"/>
      <c r="L110" s="1977"/>
      <c r="M110" s="1977"/>
      <c r="N110" s="1501"/>
      <c r="O110" s="1501"/>
      <c r="P110" s="1501"/>
      <c r="Q110" s="1501"/>
      <c r="R110" s="1977"/>
      <c r="S110" s="1501"/>
      <c r="T110" s="1501"/>
      <c r="U110" s="885"/>
      <c r="V110" s="1501"/>
      <c r="W110" s="1501"/>
      <c r="X110" s="1501"/>
      <c r="Y110" s="1501"/>
      <c r="Z110" s="1501"/>
      <c r="AA110" s="1973"/>
      <c r="AB110" s="907"/>
      <c r="AC110" s="907"/>
      <c r="AD110" s="907"/>
      <c r="AE110" s="907"/>
      <c r="AF110" s="1982">
        <v>11</v>
      </c>
    </row>
    <row s="17832" customFormat="1" customHeight="1" ht="11.549999999999999">
      <c r="A111" s="1328"/>
      <c r="B111" s="1977"/>
      <c r="C111" s="1977"/>
      <c r="D111" s="692"/>
      <c r="K111" s="1501"/>
      <c r="L111" s="1977"/>
      <c r="M111" s="1977"/>
      <c r="N111" s="1501"/>
      <c r="O111" s="1501"/>
      <c r="P111" s="1501"/>
      <c r="Q111" s="1501"/>
      <c r="R111" s="1977"/>
      <c r="S111" s="1501"/>
      <c r="T111" s="1501"/>
      <c r="U111" s="885"/>
      <c r="V111" s="1501"/>
      <c r="W111" s="1501"/>
      <c r="X111" s="1501"/>
      <c r="Y111" s="1501"/>
      <c r="Z111" s="1501"/>
      <c r="AA111" s="1973"/>
      <c r="AB111" s="907"/>
      <c r="AC111" s="907"/>
      <c r="AD111" s="907"/>
      <c r="AE111" s="907"/>
      <c r="AF111" s="1982">
        <v>11</v>
      </c>
    </row>
    <row s="17832" customFormat="1" customHeight="1" ht="11.549999999999999">
      <c r="A112" s="1328"/>
      <c r="B112" s="1977"/>
      <c r="C112" s="1977"/>
      <c r="D112" s="692"/>
      <c r="K112" s="1501"/>
      <c r="L112" s="1977"/>
      <c r="M112" s="1977"/>
      <c r="N112" s="1501"/>
      <c r="O112" s="1501"/>
      <c r="P112" s="1501"/>
      <c r="Q112" s="1501"/>
      <c r="R112" s="1977"/>
      <c r="S112" s="1501"/>
      <c r="T112" s="1501"/>
      <c r="U112" s="885"/>
      <c r="V112" s="1501"/>
      <c r="W112" s="1501"/>
      <c r="X112" s="1501"/>
      <c r="Y112" s="1501"/>
      <c r="Z112" s="1501"/>
      <c r="AA112" s="1973"/>
      <c r="AB112" s="907"/>
      <c r="AC112" s="907"/>
      <c r="AD112" s="907"/>
      <c r="AE112" s="907"/>
      <c r="AF112" s="1982">
        <v>11</v>
      </c>
    </row>
    <row s="17832" customFormat="1" customHeight="1" ht="11.549999999999999">
      <c r="A113" s="1328"/>
      <c r="B113" s="1977"/>
      <c r="C113" s="1977"/>
      <c r="D113" s="692"/>
      <c r="K113" s="1501"/>
      <c r="L113" s="1977"/>
      <c r="M113" s="1977"/>
      <c r="N113" s="1501"/>
      <c r="O113" s="1501"/>
      <c r="P113" s="1501"/>
      <c r="Q113" s="1501"/>
      <c r="R113" s="1977"/>
      <c r="S113" s="1501"/>
      <c r="T113" s="1501"/>
      <c r="U113" s="885"/>
      <c r="V113" s="1501"/>
      <c r="W113" s="1501"/>
      <c r="X113" s="1501"/>
      <c r="Y113" s="1501"/>
      <c r="Z113" s="1501"/>
      <c r="AA113" s="1973"/>
      <c r="AB113" s="907"/>
      <c r="AC113" s="907"/>
      <c r="AD113" s="907"/>
      <c r="AE113" s="907"/>
      <c r="AF113" s="1982">
        <v>11</v>
      </c>
    </row>
    <row s="17832" customFormat="1" customHeight="1" ht="11.549999999999999">
      <c r="A114" s="1328"/>
      <c r="B114" s="1977"/>
      <c r="C114" s="1977"/>
      <c r="D114" s="692"/>
      <c r="K114" s="1501"/>
      <c r="L114" s="1977"/>
      <c r="M114" s="1977"/>
      <c r="N114" s="1501"/>
      <c r="O114" s="1501"/>
      <c r="P114" s="1501"/>
      <c r="Q114" s="1501"/>
      <c r="R114" s="1977"/>
      <c r="S114" s="1501"/>
      <c r="T114" s="1501"/>
      <c r="U114" s="885"/>
      <c r="V114" s="1501"/>
      <c r="W114" s="1501"/>
      <c r="X114" s="1501"/>
      <c r="Y114" s="1501"/>
      <c r="Z114" s="1501"/>
      <c r="AA114" s="1973"/>
      <c r="AB114" s="907"/>
      <c r="AC114" s="907"/>
      <c r="AD114" s="907"/>
      <c r="AE114" s="907"/>
      <c r="AF114" s="1982">
        <v>11</v>
      </c>
    </row>
    <row s="17832" customFormat="1" customHeight="1" ht="11.549999999999999">
      <c r="A115" s="1328"/>
      <c r="B115" s="1977"/>
      <c r="C115" s="1977"/>
      <c r="D115" s="692"/>
      <c r="K115" s="1501"/>
      <c r="L115" s="1977"/>
      <c r="M115" s="1977"/>
      <c r="N115" s="1501"/>
      <c r="O115" s="1501"/>
      <c r="P115" s="1501"/>
      <c r="Q115" s="1501"/>
      <c r="R115" s="1977"/>
      <c r="S115" s="1501"/>
      <c r="T115" s="1501"/>
      <c r="U115" s="885"/>
      <c r="V115" s="1501"/>
      <c r="W115" s="1501"/>
      <c r="X115" s="1501"/>
      <c r="Y115" s="1501"/>
      <c r="Z115" s="1501"/>
      <c r="AA115" s="1973"/>
      <c r="AB115" s="907"/>
      <c r="AC115" s="907"/>
      <c r="AD115" s="907"/>
      <c r="AE115" s="907"/>
      <c r="AF115" s="1982">
        <v>11</v>
      </c>
    </row>
    <row s="17832" customFormat="1" customHeight="1" ht="11.549999999999999">
      <c r="A116" s="1328"/>
      <c r="B116" s="1977"/>
      <c r="C116" s="1977"/>
      <c r="D116" s="692"/>
      <c r="K116" s="1501"/>
      <c r="L116" s="1977"/>
      <c r="M116" s="1977"/>
      <c r="N116" s="1501"/>
      <c r="O116" s="1501"/>
      <c r="P116" s="1501"/>
      <c r="Q116" s="1501"/>
      <c r="R116" s="1977"/>
      <c r="S116" s="1501"/>
      <c r="T116" s="1501"/>
      <c r="U116" s="885"/>
      <c r="V116" s="1501"/>
      <c r="W116" s="1501"/>
      <c r="X116" s="1501"/>
      <c r="Y116" s="1501"/>
      <c r="Z116" s="1501"/>
      <c r="AA116" s="1973"/>
      <c r="AB116" s="907"/>
      <c r="AC116" s="907"/>
      <c r="AD116" s="907"/>
      <c r="AE116" s="907"/>
      <c r="AF116" s="1982">
        <v>11</v>
      </c>
    </row>
    <row s="17832" customFormat="1" customHeight="1" ht="11.549999999999999">
      <c r="A117" s="1328"/>
      <c r="B117" s="1977"/>
      <c r="C117" s="1977"/>
      <c r="D117" s="692"/>
      <c r="K117" s="1501"/>
      <c r="L117" s="1977"/>
      <c r="M117" s="1977"/>
      <c r="N117" s="1501"/>
      <c r="O117" s="1501"/>
      <c r="P117" s="1501"/>
      <c r="Q117" s="1501"/>
      <c r="R117" s="1977"/>
      <c r="S117" s="1501"/>
      <c r="T117" s="1501"/>
      <c r="U117" s="885"/>
      <c r="V117" s="1501"/>
      <c r="W117" s="1501"/>
      <c r="X117" s="1501"/>
      <c r="Y117" s="1501"/>
      <c r="Z117" s="1501"/>
      <c r="AA117" s="1973"/>
      <c r="AB117" s="907"/>
      <c r="AC117" s="907"/>
      <c r="AD117" s="907"/>
      <c r="AE117" s="907"/>
      <c r="AF117" s="1982">
        <v>11</v>
      </c>
    </row>
    <row s="17832" customFormat="1" customHeight="1" ht="11.549999999999999">
      <c r="A118" s="1328"/>
      <c r="B118" s="1977"/>
      <c r="C118" s="1977"/>
      <c r="D118" s="692"/>
      <c r="K118" s="1501"/>
      <c r="L118" s="1977"/>
      <c r="M118" s="1977"/>
      <c r="N118" s="1501"/>
      <c r="O118" s="1501"/>
      <c r="P118" s="1501"/>
      <c r="Q118" s="1501"/>
      <c r="R118" s="1977"/>
      <c r="S118" s="1501"/>
      <c r="T118" s="1501"/>
      <c r="U118" s="885"/>
      <c r="V118" s="1501"/>
      <c r="W118" s="1501"/>
      <c r="X118" s="1501"/>
      <c r="Y118" s="1501"/>
      <c r="Z118" s="1501"/>
      <c r="AA118" s="1973"/>
      <c r="AB118" s="907"/>
      <c r="AC118" s="907"/>
      <c r="AD118" s="907"/>
      <c r="AE118" s="907"/>
      <c r="AF118" s="1982">
        <v>11</v>
      </c>
    </row>
    <row s="17832" customFormat="1" customHeight="1" ht="11.549999999999999">
      <c r="A119" s="1328"/>
      <c r="B119" s="1977"/>
      <c r="C119" s="1977"/>
      <c r="D119" s="692"/>
      <c r="K119" s="1501"/>
      <c r="L119" s="1977"/>
      <c r="M119" s="1977"/>
      <c r="N119" s="1501"/>
      <c r="O119" s="1501"/>
      <c r="P119" s="1501"/>
      <c r="Q119" s="1501"/>
      <c r="R119" s="1977"/>
      <c r="S119" s="1501"/>
      <c r="T119" s="1501"/>
      <c r="U119" s="885"/>
      <c r="V119" s="1501"/>
      <c r="W119" s="1501"/>
      <c r="X119" s="1501"/>
      <c r="Y119" s="1501"/>
      <c r="Z119" s="1501"/>
      <c r="AA119" s="1973"/>
      <c r="AB119" s="907"/>
      <c r="AC119" s="907"/>
      <c r="AD119" s="907"/>
      <c r="AE119" s="907"/>
      <c r="AF119" s="1982">
        <v>11</v>
      </c>
    </row>
    <row s="17832" customFormat="1" customHeight="1" ht="11.549999999999999">
      <c r="A120" s="1328"/>
      <c r="B120" s="1977"/>
      <c r="C120" s="1977"/>
      <c r="D120" s="692"/>
      <c r="K120" s="1501"/>
      <c r="L120" s="1977"/>
      <c r="M120" s="1977"/>
      <c r="N120" s="1501"/>
      <c r="O120" s="1501"/>
      <c r="P120" s="1501"/>
      <c r="Q120" s="1501"/>
      <c r="R120" s="1977"/>
      <c r="S120" s="1501"/>
      <c r="T120" s="1501"/>
      <c r="U120" s="885"/>
      <c r="V120" s="1501"/>
      <c r="W120" s="1501"/>
      <c r="X120" s="1501"/>
      <c r="Y120" s="1501"/>
      <c r="Z120" s="1501"/>
      <c r="AA120" s="1973"/>
      <c r="AB120" s="907"/>
      <c r="AC120" s="907"/>
      <c r="AD120" s="907"/>
      <c r="AE120" s="907"/>
      <c r="AF120" s="1982">
        <v>11</v>
      </c>
    </row>
    <row s="17832" customFormat="1" customHeight="1" ht="11.549999999999999">
      <c r="A121" s="1328"/>
      <c r="B121" s="1977"/>
      <c r="C121" s="1977"/>
      <c r="D121" s="692"/>
      <c r="K121" s="1501"/>
      <c r="L121" s="1977"/>
      <c r="M121" s="1977"/>
      <c r="N121" s="1501"/>
      <c r="O121" s="1501"/>
      <c r="P121" s="1501"/>
      <c r="Q121" s="1501"/>
      <c r="R121" s="1977"/>
      <c r="S121" s="1501"/>
      <c r="T121" s="1501"/>
      <c r="U121" s="885"/>
      <c r="V121" s="1501"/>
      <c r="W121" s="1501"/>
      <c r="X121" s="1501"/>
      <c r="Y121" s="1501"/>
      <c r="Z121" s="1501"/>
      <c r="AA121" s="1973"/>
      <c r="AB121" s="907"/>
      <c r="AC121" s="907"/>
      <c r="AD121" s="907"/>
      <c r="AE121" s="907"/>
      <c r="AF121" s="1982">
        <v>11</v>
      </c>
    </row>
    <row s="17832" customFormat="1" customHeight="1" ht="11.549999999999999">
      <c r="A122" s="1328"/>
      <c r="B122" s="1977"/>
      <c r="C122" s="1977"/>
      <c r="D122" s="692"/>
      <c r="K122" s="1501"/>
      <c r="L122" s="1977"/>
      <c r="M122" s="1977"/>
      <c r="N122" s="1501"/>
      <c r="O122" s="1501"/>
      <c r="P122" s="1501"/>
      <c r="Q122" s="1501"/>
      <c r="R122" s="1977"/>
      <c r="S122" s="1501"/>
      <c r="T122" s="1501"/>
      <c r="U122" s="885"/>
      <c r="V122" s="1501"/>
      <c r="W122" s="1501"/>
      <c r="X122" s="1501"/>
      <c r="Y122" s="1501"/>
      <c r="Z122" s="1501"/>
      <c r="AA122" s="1973"/>
      <c r="AB122" s="907"/>
      <c r="AC122" s="907"/>
      <c r="AD122" s="907"/>
      <c r="AE122" s="907"/>
      <c r="AF122" s="1982">
        <v>11</v>
      </c>
    </row>
    <row s="17832" customFormat="1" customHeight="1" ht="11.549999999999999">
      <c r="A123" s="1328"/>
      <c r="B123" s="1977"/>
      <c r="C123" s="1977"/>
      <c r="D123" s="692"/>
      <c r="K123" s="1501"/>
      <c r="L123" s="1977"/>
      <c r="M123" s="1977"/>
      <c r="N123" s="1501"/>
      <c r="O123" s="1501"/>
      <c r="P123" s="1501"/>
      <c r="Q123" s="1501"/>
      <c r="R123" s="1977"/>
      <c r="S123" s="1501"/>
      <c r="T123" s="1501"/>
      <c r="U123" s="885"/>
      <c r="V123" s="1501"/>
      <c r="W123" s="1501"/>
      <c r="X123" s="1501"/>
      <c r="Y123" s="1501"/>
      <c r="Z123" s="1501"/>
      <c r="AA123" s="1973"/>
      <c r="AB123" s="907"/>
      <c r="AC123" s="907"/>
      <c r="AD123" s="907"/>
      <c r="AE123" s="907"/>
      <c r="AF123" s="1982">
        <v>11</v>
      </c>
    </row>
    <row s="17832" customFormat="1" customHeight="1" ht="11.549999999999999">
      <c r="A124" s="1328"/>
      <c r="B124" s="1977"/>
      <c r="C124" s="1977"/>
      <c r="D124" s="692"/>
      <c r="K124" s="1501"/>
      <c r="L124" s="1977"/>
      <c r="M124" s="1977"/>
      <c r="N124" s="1501"/>
      <c r="O124" s="1501"/>
      <c r="P124" s="1501"/>
      <c r="Q124" s="1501"/>
      <c r="R124" s="1977"/>
      <c r="S124" s="1501"/>
      <c r="T124" s="1501"/>
      <c r="U124" s="885"/>
      <c r="V124" s="1501"/>
      <c r="W124" s="1501"/>
      <c r="X124" s="1501"/>
      <c r="Y124" s="1501"/>
      <c r="Z124" s="1501"/>
      <c r="AA124" s="1973"/>
      <c r="AB124" s="907"/>
      <c r="AC124" s="907"/>
      <c r="AD124" s="907"/>
      <c r="AE124" s="907"/>
      <c r="AF124" s="1982">
        <v>11</v>
      </c>
    </row>
    <row s="17832" customFormat="1" customHeight="1" ht="11.549999999999999">
      <c r="A125" s="1328"/>
      <c r="B125" s="1977"/>
      <c r="C125" s="1977"/>
      <c r="D125" s="692"/>
      <c r="K125" s="1501"/>
      <c r="L125" s="1977"/>
      <c r="M125" s="1977"/>
      <c r="N125" s="1501"/>
      <c r="O125" s="1501"/>
      <c r="P125" s="1501"/>
      <c r="Q125" s="1501"/>
      <c r="R125" s="1977"/>
      <c r="S125" s="1501"/>
      <c r="T125" s="1501"/>
      <c r="U125" s="885"/>
      <c r="V125" s="1501"/>
      <c r="W125" s="1501"/>
      <c r="X125" s="1501"/>
      <c r="Y125" s="1501"/>
      <c r="Z125" s="1501"/>
      <c r="AA125" s="1973"/>
      <c r="AB125" s="907"/>
      <c r="AC125" s="907"/>
      <c r="AD125" s="907"/>
      <c r="AE125" s="907"/>
      <c r="AF125" s="1982">
        <v>11</v>
      </c>
    </row>
    <row s="17832" customFormat="1" customHeight="1" ht="11.549999999999999">
      <c r="A126" s="1328"/>
      <c r="B126" s="1977"/>
      <c r="C126" s="1977"/>
      <c r="D126" s="692"/>
      <c r="K126" s="1501"/>
      <c r="L126" s="1977"/>
      <c r="M126" s="1977"/>
      <c r="N126" s="1501"/>
      <c r="O126" s="1501"/>
      <c r="P126" s="1501"/>
      <c r="Q126" s="1501"/>
      <c r="R126" s="1977"/>
      <c r="S126" s="1501"/>
      <c r="T126" s="1501"/>
      <c r="U126" s="885"/>
      <c r="V126" s="1501"/>
      <c r="W126" s="1501"/>
      <c r="X126" s="1501"/>
      <c r="Y126" s="1501"/>
      <c r="Z126" s="1501"/>
      <c r="AA126" s="1973"/>
      <c r="AB126" s="907"/>
      <c r="AC126" s="907"/>
      <c r="AD126" s="907"/>
      <c r="AE126" s="907"/>
      <c r="AF126" s="1982">
        <v>11</v>
      </c>
    </row>
    <row s="17832" customFormat="1" customHeight="1" ht="11.549999999999999">
      <c r="A127" s="1328"/>
      <c r="B127" s="1977"/>
      <c r="C127" s="1977"/>
      <c r="D127" s="692"/>
      <c r="K127" s="1501"/>
      <c r="L127" s="1977"/>
      <c r="M127" s="1977"/>
      <c r="N127" s="1501"/>
      <c r="O127" s="1501"/>
      <c r="P127" s="1501"/>
      <c r="Q127" s="1501"/>
      <c r="R127" s="1977"/>
      <c r="S127" s="1501"/>
      <c r="T127" s="1501"/>
      <c r="U127" s="885"/>
      <c r="V127" s="1501"/>
      <c r="W127" s="1501"/>
      <c r="X127" s="1501"/>
      <c r="Y127" s="1501"/>
      <c r="Z127" s="1501"/>
      <c r="AA127" s="1973"/>
      <c r="AB127" s="907"/>
      <c r="AC127" s="907"/>
      <c r="AD127" s="907"/>
      <c r="AE127" s="907"/>
      <c r="AF127" s="1982">
        <v>11</v>
      </c>
    </row>
    <row s="17832" customFormat="1" customHeight="1" ht="11.549999999999999">
      <c r="A128" s="1328"/>
      <c r="B128" s="1977"/>
      <c r="C128" s="1977"/>
      <c r="D128" s="692"/>
      <c r="K128" s="1501"/>
      <c r="L128" s="1977"/>
      <c r="M128" s="1977"/>
      <c r="N128" s="1501"/>
      <c r="O128" s="1501"/>
      <c r="P128" s="1501"/>
      <c r="Q128" s="1501"/>
      <c r="R128" s="1977"/>
      <c r="S128" s="1501"/>
      <c r="T128" s="1501"/>
      <c r="U128" s="885"/>
      <c r="V128" s="1501"/>
      <c r="W128" s="1501"/>
      <c r="X128" s="1501"/>
      <c r="Y128" s="1501"/>
      <c r="Z128" s="1501"/>
      <c r="AA128" s="1973"/>
      <c r="AB128" s="907"/>
      <c r="AC128" s="907"/>
      <c r="AD128" s="907"/>
      <c r="AE128" s="907"/>
      <c r="AF128" s="1982">
        <v>11</v>
      </c>
    </row>
    <row s="17832" customFormat="1" customHeight="1" ht="11.549999999999999">
      <c r="A129" s="1328"/>
      <c r="B129" s="1977"/>
      <c r="C129" s="1977"/>
      <c r="D129" s="692"/>
      <c r="K129" s="1501"/>
      <c r="L129" s="1977"/>
      <c r="M129" s="1977"/>
      <c r="N129" s="1501"/>
      <c r="O129" s="1501"/>
      <c r="P129" s="1501"/>
      <c r="Q129" s="1501"/>
      <c r="R129" s="1977"/>
      <c r="S129" s="1501"/>
      <c r="T129" s="1501"/>
      <c r="U129" s="885"/>
      <c r="V129" s="1501"/>
      <c r="W129" s="1501"/>
      <c r="X129" s="1501"/>
      <c r="Y129" s="1501"/>
      <c r="Z129" s="1501"/>
      <c r="AA129" s="1973"/>
      <c r="AB129" s="907"/>
      <c r="AC129" s="907"/>
      <c r="AD129" s="907"/>
      <c r="AE129" s="907"/>
      <c r="AF129" s="1982">
        <v>11</v>
      </c>
    </row>
    <row s="17832" customFormat="1" customHeight="1" ht="11.549999999999999">
      <c r="A130" s="1328"/>
      <c r="B130" s="1977"/>
      <c r="C130" s="1977"/>
      <c r="D130" s="692"/>
      <c r="K130" s="1501"/>
      <c r="L130" s="1977"/>
      <c r="M130" s="1977"/>
      <c r="N130" s="1501"/>
      <c r="O130" s="1501"/>
      <c r="P130" s="1501"/>
      <c r="Q130" s="1501"/>
      <c r="R130" s="1977"/>
      <c r="S130" s="1501"/>
      <c r="T130" s="1501"/>
      <c r="U130" s="885"/>
      <c r="V130" s="1501"/>
      <c r="W130" s="1501"/>
      <c r="X130" s="1501"/>
      <c r="Y130" s="1501"/>
      <c r="Z130" s="1501"/>
      <c r="AA130" s="1973"/>
      <c r="AB130" s="907"/>
      <c r="AC130" s="907"/>
      <c r="AD130" s="907"/>
      <c r="AE130" s="907"/>
      <c r="AF130" s="1982">
        <v>11</v>
      </c>
    </row>
    <row s="17832" customFormat="1" customHeight="1" ht="11.549999999999999">
      <c r="A131" s="1328"/>
      <c r="B131" s="1977"/>
      <c r="C131" s="1977"/>
      <c r="D131" s="692"/>
      <c r="K131" s="1501"/>
      <c r="L131" s="1977"/>
      <c r="M131" s="1977"/>
      <c r="N131" s="1501"/>
      <c r="O131" s="1501"/>
      <c r="P131" s="1501"/>
      <c r="Q131" s="1501"/>
      <c r="R131" s="1977"/>
      <c r="S131" s="1501"/>
      <c r="T131" s="1501"/>
      <c r="U131" s="885"/>
      <c r="V131" s="1501"/>
      <c r="W131" s="1501"/>
      <c r="X131" s="1501"/>
      <c r="Y131" s="1501"/>
      <c r="Z131" s="1501"/>
      <c r="AA131" s="1973"/>
      <c r="AB131" s="907"/>
      <c r="AC131" s="907"/>
      <c r="AD131" s="907"/>
      <c r="AE131" s="907"/>
      <c r="AF131" s="1982">
        <v>11</v>
      </c>
    </row>
    <row s="17832" customFormat="1" customHeight="1" ht="11.549999999999999">
      <c r="A132" s="1328"/>
      <c r="B132" s="1977"/>
      <c r="C132" s="1977"/>
      <c r="D132" s="692"/>
      <c r="K132" s="1501"/>
      <c r="L132" s="1977"/>
      <c r="M132" s="1977"/>
      <c r="N132" s="1501"/>
      <c r="O132" s="1501"/>
      <c r="P132" s="1501"/>
      <c r="Q132" s="1501"/>
      <c r="R132" s="1977"/>
      <c r="S132" s="1501"/>
      <c r="T132" s="1501"/>
      <c r="U132" s="885"/>
      <c r="V132" s="1501"/>
      <c r="W132" s="1501"/>
      <c r="X132" s="1501"/>
      <c r="Y132" s="1501"/>
      <c r="Z132" s="1501"/>
      <c r="AA132" s="1973"/>
      <c r="AB132" s="907"/>
      <c r="AC132" s="907"/>
      <c r="AD132" s="907"/>
      <c r="AE132" s="907"/>
      <c r="AF132" s="1982">
        <v>11</v>
      </c>
    </row>
    <row s="17832" customFormat="1" customHeight="1" ht="11.549999999999999">
      <c r="A133" s="1328"/>
      <c r="B133" s="1977"/>
      <c r="C133" s="1977"/>
      <c r="D133" s="692"/>
      <c r="K133" s="1501"/>
      <c r="L133" s="1977"/>
      <c r="M133" s="1977"/>
      <c r="N133" s="1501"/>
      <c r="O133" s="1501"/>
      <c r="P133" s="1501"/>
      <c r="Q133" s="1501"/>
      <c r="R133" s="1977"/>
      <c r="S133" s="1501"/>
      <c r="T133" s="1501"/>
      <c r="U133" s="885"/>
      <c r="V133" s="1501"/>
      <c r="W133" s="1501"/>
      <c r="X133" s="1501"/>
      <c r="Y133" s="1501"/>
      <c r="Z133" s="1501"/>
      <c r="AA133" s="1973"/>
      <c r="AB133" s="907"/>
      <c r="AC133" s="907"/>
      <c r="AD133" s="907"/>
      <c r="AE133" s="907"/>
      <c r="AF133" s="1982">
        <v>11</v>
      </c>
    </row>
    <row s="17832" customFormat="1" customHeight="1" ht="11.549999999999999">
      <c r="A134" s="1328"/>
      <c r="B134" s="1977"/>
      <c r="C134" s="1977"/>
      <c r="D134" s="692"/>
      <c r="K134" s="1501"/>
      <c r="L134" s="1977"/>
      <c r="M134" s="1977"/>
      <c r="N134" s="1501"/>
      <c r="O134" s="1501"/>
      <c r="P134" s="1501"/>
      <c r="Q134" s="1501"/>
      <c r="R134" s="1977"/>
      <c r="S134" s="1501"/>
      <c r="T134" s="1501"/>
      <c r="U134" s="885"/>
      <c r="V134" s="1501"/>
      <c r="W134" s="1501"/>
      <c r="X134" s="1501"/>
      <c r="Y134" s="1501"/>
      <c r="Z134" s="1501"/>
      <c r="AA134" s="1973"/>
      <c r="AB134" s="907"/>
      <c r="AC134" s="907"/>
      <c r="AD134" s="907"/>
      <c r="AE134" s="907"/>
      <c r="AF134" s="1982">
        <v>11</v>
      </c>
    </row>
    <row s="17832" customFormat="1" customHeight="1" ht="11.549999999999999">
      <c r="A135" s="1328"/>
      <c r="B135" s="1977"/>
      <c r="C135" s="1977"/>
      <c r="D135" s="692"/>
      <c r="K135" s="1501"/>
      <c r="L135" s="1977"/>
      <c r="M135" s="1977"/>
      <c r="N135" s="1501"/>
      <c r="O135" s="1501"/>
      <c r="P135" s="1501"/>
      <c r="Q135" s="1501"/>
      <c r="R135" s="1977"/>
      <c r="S135" s="1501"/>
      <c r="T135" s="1501"/>
      <c r="U135" s="885"/>
      <c r="V135" s="1501"/>
      <c r="W135" s="1501"/>
      <c r="X135" s="1501"/>
      <c r="Y135" s="1501"/>
      <c r="Z135" s="1501"/>
      <c r="AA135" s="1973"/>
      <c r="AB135" s="907"/>
      <c r="AC135" s="907"/>
      <c r="AD135" s="907"/>
      <c r="AE135" s="907"/>
      <c r="AF135" s="1982">
        <v>11</v>
      </c>
    </row>
    <row s="17832" customFormat="1" customHeight="1" ht="11.549999999999999">
      <c r="A136" s="1328"/>
      <c r="B136" s="1977"/>
      <c r="C136" s="1977"/>
      <c r="D136" s="692"/>
      <c r="K136" s="1501"/>
      <c r="L136" s="1977"/>
      <c r="M136" s="1977"/>
      <c r="N136" s="1501"/>
      <c r="O136" s="1501"/>
      <c r="P136" s="1501"/>
      <c r="Q136" s="1501"/>
      <c r="R136" s="1977"/>
      <c r="S136" s="1501"/>
      <c r="T136" s="1501"/>
      <c r="U136" s="885"/>
      <c r="V136" s="1501"/>
      <c r="W136" s="1501"/>
      <c r="X136" s="1501"/>
      <c r="Y136" s="1501"/>
      <c r="Z136" s="1501"/>
      <c r="AA136" s="1973"/>
      <c r="AB136" s="907"/>
      <c r="AC136" s="907"/>
      <c r="AD136" s="907"/>
      <c r="AE136" s="907"/>
      <c r="AF136" s="1982">
        <v>11</v>
      </c>
    </row>
    <row s="17832" customFormat="1" customHeight="1" ht="11.549999999999999">
      <c r="A137" s="1328"/>
      <c r="B137" s="1977"/>
      <c r="C137" s="1977"/>
      <c r="D137" s="692"/>
      <c r="K137" s="1501"/>
      <c r="L137" s="1977"/>
      <c r="M137" s="1977"/>
      <c r="N137" s="1501"/>
      <c r="O137" s="1501"/>
      <c r="P137" s="1501"/>
      <c r="Q137" s="1501"/>
      <c r="R137" s="1977"/>
      <c r="S137" s="1501"/>
      <c r="T137" s="1501"/>
      <c r="U137" s="885"/>
      <c r="V137" s="1501"/>
      <c r="W137" s="1501"/>
      <c r="X137" s="1501"/>
      <c r="Y137" s="1501"/>
      <c r="Z137" s="1501"/>
      <c r="AA137" s="1973"/>
      <c r="AB137" s="907"/>
      <c r="AC137" s="907"/>
      <c r="AD137" s="907"/>
      <c r="AE137" s="907"/>
      <c r="AF137" s="1982">
        <v>11</v>
      </c>
    </row>
    <row s="17832" customFormat="1" customHeight="1" ht="11.549999999999999">
      <c r="A138" s="1328"/>
      <c r="B138" s="1977"/>
      <c r="C138" s="1977"/>
      <c r="D138" s="692"/>
      <c r="K138" s="1501"/>
      <c r="L138" s="1977"/>
      <c r="M138" s="1977"/>
      <c r="N138" s="1501"/>
      <c r="O138" s="1501"/>
      <c r="P138" s="1501"/>
      <c r="Q138" s="1501"/>
      <c r="R138" s="1977"/>
      <c r="S138" s="1501"/>
      <c r="T138" s="1501"/>
      <c r="U138" s="885"/>
      <c r="V138" s="1501"/>
      <c r="W138" s="1501"/>
      <c r="X138" s="1501"/>
      <c r="Y138" s="1501"/>
      <c r="Z138" s="1501"/>
      <c r="AA138" s="1973"/>
      <c r="AB138" s="907"/>
      <c r="AC138" s="907"/>
      <c r="AD138" s="907"/>
      <c r="AE138" s="907"/>
      <c r="AF138" s="1982">
        <v>11</v>
      </c>
    </row>
    <row s="17832" customFormat="1" customHeight="1" ht="11.549999999999999">
      <c r="A139" s="1328"/>
      <c r="B139" s="1977"/>
      <c r="C139" s="1977"/>
      <c r="D139" s="692"/>
      <c r="K139" s="1501"/>
      <c r="L139" s="1977"/>
      <c r="M139" s="1977"/>
      <c r="N139" s="1501"/>
      <c r="O139" s="1501"/>
      <c r="P139" s="1501"/>
      <c r="Q139" s="1501"/>
      <c r="R139" s="1977"/>
      <c r="S139" s="1501"/>
      <c r="T139" s="1501"/>
      <c r="U139" s="885"/>
      <c r="V139" s="1501"/>
      <c r="W139" s="1501"/>
      <c r="X139" s="1501"/>
      <c r="Y139" s="1501"/>
      <c r="Z139" s="1501"/>
      <c r="AA139" s="1973"/>
      <c r="AB139" s="907"/>
      <c r="AC139" s="907"/>
      <c r="AD139" s="907"/>
      <c r="AE139" s="907"/>
      <c r="AF139" s="1982">
        <v>11</v>
      </c>
    </row>
    <row s="17832" customFormat="1" customHeight="1" ht="11.549999999999999">
      <c r="A140" s="1328"/>
      <c r="B140" s="1977"/>
      <c r="C140" s="1977"/>
      <c r="D140" s="692"/>
      <c r="K140" s="1501"/>
      <c r="L140" s="1977"/>
      <c r="M140" s="1977"/>
      <c r="N140" s="1501"/>
      <c r="O140" s="1501"/>
      <c r="P140" s="1501"/>
      <c r="Q140" s="1501"/>
      <c r="R140" s="1977"/>
      <c r="S140" s="1501"/>
      <c r="T140" s="1501"/>
      <c r="U140" s="885"/>
      <c r="V140" s="1501"/>
      <c r="W140" s="1501"/>
      <c r="X140" s="1501"/>
      <c r="Y140" s="1501"/>
      <c r="Z140" s="1501"/>
      <c r="AA140" s="1973"/>
      <c r="AB140" s="907"/>
      <c r="AC140" s="907"/>
      <c r="AD140" s="907"/>
      <c r="AE140" s="907"/>
      <c r="AF140" s="1982">
        <v>11</v>
      </c>
    </row>
    <row s="17832" customFormat="1" customHeight="1" ht="11.549999999999999">
      <c r="A141" s="1328"/>
      <c r="B141" s="1977"/>
      <c r="C141" s="1977"/>
      <c r="D141" s="692"/>
      <c r="K141" s="1501"/>
      <c r="L141" s="1977"/>
      <c r="M141" s="1977"/>
      <c r="N141" s="1501"/>
      <c r="O141" s="1501"/>
      <c r="P141" s="1501"/>
      <c r="Q141" s="1501"/>
      <c r="R141" s="1977"/>
      <c r="S141" s="1501"/>
      <c r="T141" s="1501"/>
      <c r="U141" s="885"/>
      <c r="V141" s="1501"/>
      <c r="W141" s="1501"/>
      <c r="X141" s="1501"/>
      <c r="Y141" s="1501"/>
      <c r="Z141" s="1501"/>
      <c r="AA141" s="1973"/>
      <c r="AB141" s="907"/>
      <c r="AC141" s="907"/>
      <c r="AD141" s="907"/>
      <c r="AE141" s="907"/>
      <c r="AF141" s="1982">
        <v>11</v>
      </c>
    </row>
    <row s="17832" customFormat="1" customHeight="1" ht="11.549999999999999">
      <c r="A142" s="1328"/>
      <c r="B142" s="1977"/>
      <c r="C142" s="1977"/>
      <c r="D142" s="692"/>
      <c r="K142" s="1501"/>
      <c r="L142" s="1977"/>
      <c r="M142" s="1977"/>
      <c r="N142" s="1501"/>
      <c r="O142" s="1501"/>
      <c r="P142" s="1501"/>
      <c r="Q142" s="1501"/>
      <c r="R142" s="1977"/>
      <c r="S142" s="1501"/>
      <c r="T142" s="1501"/>
      <c r="U142" s="885"/>
      <c r="V142" s="1501"/>
      <c r="W142" s="1501"/>
      <c r="X142" s="1501"/>
      <c r="Y142" s="1501"/>
      <c r="Z142" s="1501"/>
      <c r="AA142" s="1973"/>
      <c r="AB142" s="907"/>
      <c r="AC142" s="907"/>
      <c r="AD142" s="907"/>
      <c r="AE142" s="907"/>
      <c r="AF142" s="1982">
        <v>11</v>
      </c>
    </row>
    <row s="17832" customFormat="1" customHeight="1" ht="11.549999999999999">
      <c r="A143" s="1328"/>
      <c r="B143" s="1977"/>
      <c r="C143" s="1977"/>
      <c r="D143" s="692"/>
      <c r="K143" s="1501"/>
      <c r="L143" s="1977"/>
      <c r="M143" s="1977"/>
      <c r="N143" s="1501"/>
      <c r="O143" s="1501"/>
      <c r="P143" s="1501"/>
      <c r="Q143" s="1501"/>
      <c r="R143" s="1977"/>
      <c r="S143" s="1501"/>
      <c r="T143" s="1501"/>
      <c r="U143" s="885"/>
      <c r="V143" s="1501"/>
      <c r="W143" s="1501"/>
      <c r="X143" s="1501"/>
      <c r="Y143" s="1501"/>
      <c r="Z143" s="1501"/>
      <c r="AA143" s="1973"/>
      <c r="AB143" s="907"/>
      <c r="AC143" s="907"/>
      <c r="AD143" s="907"/>
      <c r="AE143" s="907"/>
      <c r="AF143" s="1982">
        <v>11</v>
      </c>
    </row>
    <row s="17832" customFormat="1" customHeight="1" ht="11.549999999999999">
      <c r="A144" s="1328"/>
      <c r="B144" s="1977"/>
      <c r="C144" s="1977"/>
      <c r="D144" s="692"/>
      <c r="K144" s="1501"/>
      <c r="L144" s="1977"/>
      <c r="M144" s="1977"/>
      <c r="N144" s="1501"/>
      <c r="O144" s="1501"/>
      <c r="P144" s="1501"/>
      <c r="Q144" s="1501"/>
      <c r="R144" s="1977"/>
      <c r="S144" s="1501"/>
      <c r="T144" s="1501"/>
      <c r="U144" s="885"/>
      <c r="V144" s="1501"/>
      <c r="W144" s="1501"/>
      <c r="X144" s="1501"/>
      <c r="Y144" s="1501"/>
      <c r="Z144" s="1501"/>
      <c r="AA144" s="1973"/>
      <c r="AB144" s="907"/>
      <c r="AC144" s="907"/>
      <c r="AD144" s="907"/>
      <c r="AE144" s="907"/>
      <c r="AF144" s="1982">
        <v>11</v>
      </c>
    </row>
    <row s="17832" customFormat="1" customHeight="1" ht="11.549999999999999">
      <c r="A145" s="1328"/>
      <c r="B145" s="1977"/>
      <c r="C145" s="1977"/>
      <c r="D145" s="692"/>
      <c r="K145" s="1501"/>
      <c r="L145" s="1977"/>
      <c r="M145" s="1977"/>
      <c r="N145" s="1501"/>
      <c r="O145" s="1501"/>
      <c r="P145" s="1501"/>
      <c r="Q145" s="1501"/>
      <c r="R145" s="1977"/>
      <c r="S145" s="1501"/>
      <c r="T145" s="1501"/>
      <c r="U145" s="885"/>
      <c r="V145" s="1501"/>
      <c r="W145" s="1501"/>
      <c r="X145" s="1501"/>
      <c r="Y145" s="1501"/>
      <c r="Z145" s="1501"/>
      <c r="AA145" s="1973"/>
      <c r="AB145" s="907"/>
      <c r="AC145" s="907"/>
      <c r="AD145" s="907"/>
      <c r="AE145" s="907"/>
      <c r="AF145" s="1982">
        <v>11</v>
      </c>
    </row>
    <row s="17832" customFormat="1" customHeight="1" ht="11.549999999999999">
      <c r="A146" s="1328"/>
      <c r="B146" s="1977"/>
      <c r="C146" s="1977"/>
      <c r="D146" s="692"/>
      <c r="K146" s="1501"/>
      <c r="L146" s="1977"/>
      <c r="M146" s="1977"/>
      <c r="N146" s="1501"/>
      <c r="O146" s="1501"/>
      <c r="P146" s="1501"/>
      <c r="Q146" s="1501"/>
      <c r="R146" s="1977"/>
      <c r="S146" s="1501"/>
      <c r="T146" s="1501"/>
      <c r="U146" s="885"/>
      <c r="V146" s="1501"/>
      <c r="W146" s="1501"/>
      <c r="X146" s="1501"/>
      <c r="Y146" s="1501"/>
      <c r="Z146" s="1501"/>
      <c r="AA146" s="1973"/>
      <c r="AB146" s="907"/>
      <c r="AC146" s="907"/>
      <c r="AD146" s="907"/>
      <c r="AE146" s="907"/>
      <c r="AF146" s="1982">
        <v>11</v>
      </c>
    </row>
    <row s="17832" customFormat="1" customHeight="1" ht="11.549999999999999">
      <c r="A147" s="1328"/>
      <c r="B147" s="1977"/>
      <c r="C147" s="1977"/>
      <c r="D147" s="692"/>
      <c r="K147" s="1501"/>
      <c r="L147" s="1977"/>
      <c r="M147" s="1977"/>
      <c r="N147" s="1501"/>
      <c r="O147" s="1501"/>
      <c r="P147" s="1501"/>
      <c r="Q147" s="1501"/>
      <c r="R147" s="1977"/>
      <c r="S147" s="1501"/>
      <c r="T147" s="1501"/>
      <c r="U147" s="885"/>
      <c r="V147" s="1501"/>
      <c r="W147" s="1501"/>
      <c r="X147" s="1501"/>
      <c r="Y147" s="1501"/>
      <c r="Z147" s="1501"/>
      <c r="AA147" s="1973"/>
      <c r="AB147" s="907"/>
      <c r="AC147" s="907"/>
      <c r="AD147" s="907"/>
      <c r="AE147" s="907"/>
      <c r="AF147" s="1982">
        <v>11</v>
      </c>
    </row>
    <row s="17832" customFormat="1" customHeight="1" ht="11.549999999999999">
      <c r="A148" s="1328"/>
      <c r="B148" s="1977"/>
      <c r="C148" s="1977"/>
      <c r="D148" s="692"/>
      <c r="K148" s="1501"/>
      <c r="L148" s="1977"/>
      <c r="M148" s="1977"/>
      <c r="N148" s="1501"/>
      <c r="O148" s="1501"/>
      <c r="P148" s="1501"/>
      <c r="Q148" s="1501"/>
      <c r="R148" s="1977"/>
      <c r="S148" s="1501"/>
      <c r="T148" s="1501"/>
      <c r="U148" s="885"/>
      <c r="V148" s="1501"/>
      <c r="W148" s="1501"/>
      <c r="X148" s="1501"/>
      <c r="Y148" s="1501"/>
      <c r="Z148" s="1501"/>
      <c r="AA148" s="1973"/>
      <c r="AB148" s="907"/>
      <c r="AC148" s="907"/>
      <c r="AD148" s="907"/>
      <c r="AE148" s="907"/>
      <c r="AF148" s="1982">
        <v>11</v>
      </c>
    </row>
    <row s="17832" customFormat="1" customHeight="1" ht="11.549999999999999">
      <c r="A149" s="1328"/>
      <c r="B149" s="1977"/>
      <c r="C149" s="1977"/>
      <c r="D149" s="692"/>
      <c r="K149" s="1501"/>
      <c r="L149" s="1977"/>
      <c r="M149" s="1977"/>
      <c r="N149" s="1501"/>
      <c r="O149" s="1501"/>
      <c r="P149" s="1501"/>
      <c r="Q149" s="1501"/>
      <c r="R149" s="1977"/>
      <c r="S149" s="1501"/>
      <c r="T149" s="1501"/>
      <c r="U149" s="885"/>
      <c r="V149" s="1501"/>
      <c r="W149" s="1501"/>
      <c r="X149" s="1501"/>
      <c r="Y149" s="1501"/>
      <c r="Z149" s="1501"/>
      <c r="AA149" s="1973"/>
      <c r="AB149" s="907"/>
      <c r="AC149" s="907"/>
      <c r="AD149" s="907"/>
      <c r="AE149" s="907"/>
      <c r="AF149" s="1982">
        <v>11</v>
      </c>
    </row>
    <row s="17832" customFormat="1" customHeight="1" ht="11.549999999999999">
      <c r="A150" s="1328"/>
      <c r="B150" s="1977"/>
      <c r="C150" s="1977"/>
      <c r="D150" s="692"/>
      <c r="K150" s="1501"/>
      <c r="L150" s="1977"/>
      <c r="M150" s="1977"/>
      <c r="N150" s="1501"/>
      <c r="O150" s="1501"/>
      <c r="P150" s="1501"/>
      <c r="Q150" s="1501"/>
      <c r="R150" s="1977"/>
      <c r="S150" s="1501"/>
      <c r="T150" s="1501"/>
      <c r="U150" s="885"/>
      <c r="V150" s="1501"/>
      <c r="W150" s="1501"/>
      <c r="X150" s="1501"/>
      <c r="Y150" s="1501"/>
      <c r="Z150" s="1501"/>
      <c r="AA150" s="1973"/>
      <c r="AB150" s="907"/>
      <c r="AC150" s="907"/>
      <c r="AD150" s="907"/>
      <c r="AE150" s="907"/>
      <c r="AF150" s="1982">
        <v>11</v>
      </c>
    </row>
    <row s="17832" customFormat="1" customHeight="1" ht="11.549999999999999">
      <c r="A151" s="1328"/>
      <c r="B151" s="1977"/>
      <c r="C151" s="1977"/>
      <c r="D151" s="692"/>
      <c r="K151" s="1501"/>
      <c r="L151" s="1977"/>
      <c r="M151" s="1977"/>
      <c r="N151" s="1501"/>
      <c r="O151" s="1501"/>
      <c r="P151" s="1501"/>
      <c r="Q151" s="1501"/>
      <c r="R151" s="1977"/>
      <c r="S151" s="1501"/>
      <c r="T151" s="1501"/>
      <c r="U151" s="885"/>
      <c r="V151" s="1501"/>
      <c r="W151" s="1501"/>
      <c r="X151" s="1501"/>
      <c r="Y151" s="1501"/>
      <c r="Z151" s="1501"/>
      <c r="AA151" s="1973"/>
      <c r="AB151" s="907"/>
      <c r="AC151" s="907"/>
      <c r="AD151" s="907"/>
      <c r="AE151" s="907"/>
      <c r="AF151" s="1982">
        <v>11</v>
      </c>
    </row>
    <row s="17832" customFormat="1" customHeight="1" ht="11.549999999999999">
      <c r="A152" s="1328"/>
      <c r="B152" s="1977"/>
      <c r="C152" s="1977"/>
      <c r="D152" s="692"/>
      <c r="K152" s="1501"/>
      <c r="L152" s="1977"/>
      <c r="M152" s="1977"/>
      <c r="N152" s="1501"/>
      <c r="O152" s="1501"/>
      <c r="P152" s="1501"/>
      <c r="Q152" s="1501"/>
      <c r="R152" s="1977"/>
      <c r="S152" s="1501"/>
      <c r="T152" s="1501"/>
      <c r="U152" s="885"/>
      <c r="V152" s="1501"/>
      <c r="W152" s="1501"/>
      <c r="X152" s="1501"/>
      <c r="Y152" s="1501"/>
      <c r="Z152" s="1501"/>
      <c r="AA152" s="1973"/>
      <c r="AB152" s="907"/>
      <c r="AC152" s="907"/>
      <c r="AD152" s="907"/>
      <c r="AE152" s="907"/>
      <c r="AF152" s="1982">
        <v>11</v>
      </c>
    </row>
    <row s="17832" customFormat="1" customHeight="1" ht="11.549999999999999">
      <c r="A153" s="1328"/>
      <c r="B153" s="1977"/>
      <c r="C153" s="1977"/>
      <c r="D153" s="692"/>
      <c r="K153" s="1501"/>
      <c r="L153" s="1977"/>
      <c r="M153" s="1977"/>
      <c r="N153" s="1501"/>
      <c r="O153" s="1501"/>
      <c r="P153" s="1501"/>
      <c r="Q153" s="1501"/>
      <c r="R153" s="1977"/>
      <c r="S153" s="1501"/>
      <c r="T153" s="1501"/>
      <c r="U153" s="885"/>
      <c r="V153" s="1501"/>
      <c r="W153" s="1501"/>
      <c r="X153" s="1501"/>
      <c r="Y153" s="1501"/>
      <c r="Z153" s="1501"/>
      <c r="AA153" s="1973"/>
      <c r="AB153" s="907"/>
      <c r="AC153" s="907"/>
      <c r="AD153" s="907"/>
      <c r="AE153" s="907"/>
      <c r="AF153" s="1982">
        <v>11</v>
      </c>
    </row>
    <row s="17832" customFormat="1" customHeight="1" ht="11.549999999999999">
      <c r="A154" s="1328"/>
      <c r="B154" s="1977"/>
      <c r="C154" s="1977"/>
      <c r="D154" s="692"/>
      <c r="K154" s="1501"/>
      <c r="L154" s="1977"/>
      <c r="M154" s="1977"/>
      <c r="N154" s="1501"/>
      <c r="O154" s="1501"/>
      <c r="P154" s="1501"/>
      <c r="Q154" s="1501"/>
      <c r="R154" s="1977"/>
      <c r="S154" s="1501"/>
      <c r="T154" s="1501"/>
      <c r="U154" s="885"/>
      <c r="V154" s="1501"/>
      <c r="W154" s="1501"/>
      <c r="X154" s="1501"/>
      <c r="Y154" s="1501"/>
      <c r="Z154" s="1501"/>
      <c r="AA154" s="1973"/>
      <c r="AB154" s="907"/>
      <c r="AC154" s="907"/>
      <c r="AD154" s="907"/>
      <c r="AE154" s="907"/>
      <c r="AF154" s="1982">
        <v>11</v>
      </c>
    </row>
    <row s="17832" customFormat="1" customHeight="1" ht="11.549999999999999">
      <c r="A155" s="1328"/>
      <c r="B155" s="1977"/>
      <c r="C155" s="1977"/>
      <c r="D155" s="692"/>
      <c r="K155" s="1501"/>
      <c r="L155" s="1977"/>
      <c r="M155" s="1977"/>
      <c r="N155" s="1501"/>
      <c r="O155" s="1501"/>
      <c r="P155" s="1501"/>
      <c r="Q155" s="1501"/>
      <c r="R155" s="1977"/>
      <c r="S155" s="1501"/>
      <c r="T155" s="1501"/>
      <c r="U155" s="885"/>
      <c r="V155" s="1501"/>
      <c r="W155" s="1501"/>
      <c r="X155" s="1501"/>
      <c r="Y155" s="1501"/>
      <c r="Z155" s="1501"/>
      <c r="AA155" s="1973"/>
      <c r="AB155" s="907"/>
      <c r="AC155" s="907"/>
      <c r="AD155" s="907"/>
      <c r="AE155" s="907"/>
      <c r="AF155" s="1982">
        <v>11</v>
      </c>
    </row>
    <row s="17832" customFormat="1" customHeight="1" ht="11.549999999999999">
      <c r="A156" s="1328"/>
      <c r="B156" s="1977"/>
      <c r="C156" s="1977"/>
      <c r="D156" s="692"/>
      <c r="K156" s="1501"/>
      <c r="L156" s="1977"/>
      <c r="M156" s="1977"/>
      <c r="N156" s="1501"/>
      <c r="O156" s="1501"/>
      <c r="P156" s="1501"/>
      <c r="Q156" s="1501"/>
      <c r="R156" s="1977"/>
      <c r="S156" s="1501"/>
      <c r="T156" s="1501"/>
      <c r="U156" s="885"/>
      <c r="V156" s="1501"/>
      <c r="W156" s="1501"/>
      <c r="X156" s="1501"/>
      <c r="Y156" s="1501"/>
      <c r="Z156" s="1501"/>
      <c r="AA156" s="1973"/>
      <c r="AB156" s="907"/>
      <c r="AC156" s="907"/>
      <c r="AD156" s="907"/>
      <c r="AE156" s="907"/>
      <c r="AF156" s="1982">
        <v>11</v>
      </c>
    </row>
    <row s="17832" customFormat="1" customHeight="1" ht="11.549999999999999">
      <c r="A157" s="1328"/>
      <c r="B157" s="1977"/>
      <c r="C157" s="1977"/>
      <c r="D157" s="692"/>
      <c r="K157" s="1501"/>
      <c r="L157" s="1977"/>
      <c r="M157" s="1977"/>
      <c r="N157" s="1501"/>
      <c r="O157" s="1501"/>
      <c r="P157" s="1501"/>
      <c r="Q157" s="1501"/>
      <c r="R157" s="1977"/>
      <c r="S157" s="1501"/>
      <c r="T157" s="1501"/>
      <c r="U157" s="885"/>
      <c r="V157" s="1501"/>
      <c r="W157" s="1501"/>
      <c r="X157" s="1501"/>
      <c r="Y157" s="1501"/>
      <c r="Z157" s="1501"/>
      <c r="AA157" s="1973"/>
      <c r="AB157" s="907"/>
      <c r="AC157" s="907"/>
      <c r="AD157" s="907"/>
      <c r="AE157" s="907"/>
      <c r="AF157" s="1982">
        <v>11</v>
      </c>
    </row>
    <row s="17832" customFormat="1" customHeight="1" ht="11.549999999999999">
      <c r="A158" s="1328"/>
      <c r="B158" s="1977"/>
      <c r="C158" s="1977"/>
      <c r="D158" s="692"/>
      <c r="K158" s="1501"/>
      <c r="L158" s="1977"/>
      <c r="M158" s="1977"/>
      <c r="N158" s="1501"/>
      <c r="O158" s="1501"/>
      <c r="P158" s="1501"/>
      <c r="Q158" s="1501"/>
      <c r="R158" s="1977"/>
      <c r="S158" s="1501"/>
      <c r="T158" s="1501"/>
      <c r="U158" s="885"/>
      <c r="V158" s="1501"/>
      <c r="W158" s="1501"/>
      <c r="X158" s="1501"/>
      <c r="Y158" s="1501"/>
      <c r="Z158" s="1501"/>
      <c r="AA158" s="1973"/>
      <c r="AB158" s="907"/>
      <c r="AC158" s="907"/>
      <c r="AD158" s="907"/>
      <c r="AE158" s="907"/>
      <c r="AF158" s="1982">
        <v>11</v>
      </c>
    </row>
    <row s="17832" customFormat="1" customHeight="1" ht="11.549999999999999">
      <c r="A159" s="1328"/>
      <c r="B159" s="1977"/>
      <c r="C159" s="1977"/>
      <c r="D159" s="692"/>
      <c r="K159" s="1501"/>
      <c r="L159" s="1977"/>
      <c r="M159" s="1977"/>
      <c r="N159" s="1501"/>
      <c r="O159" s="1501"/>
      <c r="P159" s="1501"/>
      <c r="Q159" s="1501"/>
      <c r="R159" s="1977"/>
      <c r="S159" s="1501"/>
      <c r="T159" s="1501"/>
      <c r="U159" s="885"/>
      <c r="V159" s="1501"/>
      <c r="W159" s="1501"/>
      <c r="X159" s="1501"/>
      <c r="Y159" s="1501"/>
      <c r="Z159" s="1501"/>
      <c r="AA159" s="1973"/>
      <c r="AB159" s="907"/>
      <c r="AC159" s="907"/>
      <c r="AD159" s="907"/>
      <c r="AE159" s="907"/>
      <c r="AF159" s="1982">
        <v>11</v>
      </c>
    </row>
    <row s="17832" customFormat="1" customHeight="1" ht="11.549999999999999">
      <c r="A160" s="1328"/>
      <c r="B160" s="1977"/>
      <c r="C160" s="1977"/>
      <c r="D160" s="692"/>
      <c r="K160" s="1501"/>
      <c r="L160" s="1977"/>
      <c r="M160" s="1977"/>
      <c r="N160" s="1501"/>
      <c r="O160" s="1501"/>
      <c r="P160" s="1501"/>
      <c r="Q160" s="1501"/>
      <c r="R160" s="1977"/>
      <c r="S160" s="1501"/>
      <c r="T160" s="1501"/>
      <c r="U160" s="885"/>
      <c r="V160" s="1501"/>
      <c r="W160" s="1501"/>
      <c r="X160" s="1501"/>
      <c r="Y160" s="1501"/>
      <c r="Z160" s="1501"/>
      <c r="AA160" s="1973"/>
      <c r="AB160" s="907"/>
      <c r="AC160" s="907"/>
      <c r="AD160" s="907"/>
      <c r="AE160" s="907"/>
      <c r="AF160" s="1982">
        <v>11</v>
      </c>
    </row>
    <row s="17832" customFormat="1" customHeight="1" ht="11.549999999999999">
      <c r="A161" s="1328"/>
      <c r="B161" s="1977"/>
      <c r="C161" s="1977"/>
      <c r="D161" s="692"/>
      <c r="K161" s="1501"/>
      <c r="L161" s="1977"/>
      <c r="M161" s="1977"/>
      <c r="N161" s="1501"/>
      <c r="O161" s="1501"/>
      <c r="P161" s="1501"/>
      <c r="Q161" s="1501"/>
      <c r="R161" s="1977"/>
      <c r="S161" s="1501"/>
      <c r="T161" s="1501"/>
      <c r="U161" s="885"/>
      <c r="V161" s="1501"/>
      <c r="W161" s="1501"/>
      <c r="X161" s="1501"/>
      <c r="Y161" s="1501"/>
      <c r="Z161" s="1501"/>
      <c r="AA161" s="1973"/>
      <c r="AB161" s="907"/>
      <c r="AC161" s="907"/>
      <c r="AD161" s="907"/>
      <c r="AE161" s="907"/>
      <c r="AF161" s="1982">
        <v>11</v>
      </c>
    </row>
    <row s="17832" customFormat="1" customHeight="1" ht="11.549999999999999">
      <c r="A162" s="1328"/>
      <c r="B162" s="1977"/>
      <c r="C162" s="1977"/>
      <c r="D162" s="692"/>
      <c r="K162" s="1501"/>
      <c r="L162" s="1977"/>
      <c r="M162" s="1977"/>
      <c r="N162" s="1501"/>
      <c r="O162" s="1501"/>
      <c r="P162" s="1501"/>
      <c r="Q162" s="1501"/>
      <c r="R162" s="1977"/>
      <c r="S162" s="1501"/>
      <c r="T162" s="1501"/>
      <c r="U162" s="885"/>
      <c r="V162" s="1501"/>
      <c r="W162" s="1501"/>
      <c r="X162" s="1501"/>
      <c r="Y162" s="1501"/>
      <c r="Z162" s="1501"/>
      <c r="AA162" s="1973"/>
      <c r="AB162" s="907"/>
      <c r="AC162" s="907"/>
      <c r="AD162" s="907"/>
      <c r="AE162" s="907"/>
      <c r="AF162" s="1982">
        <v>11</v>
      </c>
    </row>
    <row s="17832" customFormat="1" customHeight="1" ht="11.549999999999999">
      <c r="A163" s="1328"/>
      <c r="B163" s="1977"/>
      <c r="C163" s="1977"/>
      <c r="D163" s="692"/>
      <c r="K163" s="1501"/>
      <c r="L163" s="1977"/>
      <c r="M163" s="1977"/>
      <c r="N163" s="1501"/>
      <c r="O163" s="1501"/>
      <c r="P163" s="1501"/>
      <c r="Q163" s="1501"/>
      <c r="R163" s="1977"/>
      <c r="S163" s="1501"/>
      <c r="T163" s="1501"/>
      <c r="U163" s="885"/>
      <c r="V163" s="1501"/>
      <c r="W163" s="1501"/>
      <c r="X163" s="1501"/>
      <c r="Y163" s="1501"/>
      <c r="Z163" s="1501"/>
      <c r="AA163" s="1973"/>
      <c r="AB163" s="907"/>
      <c r="AC163" s="907"/>
      <c r="AD163" s="907"/>
      <c r="AE163" s="907"/>
      <c r="AF163" s="1982">
        <v>11</v>
      </c>
    </row>
    <row s="17832" customFormat="1" customHeight="1" ht="11.549999999999999">
      <c r="A164" s="1328"/>
      <c r="B164" s="1977"/>
      <c r="C164" s="1977"/>
      <c r="D164" s="692"/>
      <c r="K164" s="1501"/>
      <c r="L164" s="1977"/>
      <c r="M164" s="1977"/>
      <c r="N164" s="1501"/>
      <c r="O164" s="1501"/>
      <c r="P164" s="1501"/>
      <c r="Q164" s="1501"/>
      <c r="R164" s="1977"/>
      <c r="S164" s="1501"/>
      <c r="T164" s="1501"/>
      <c r="U164" s="885"/>
      <c r="V164" s="1501"/>
      <c r="W164" s="1501"/>
      <c r="X164" s="1501"/>
      <c r="Y164" s="1501"/>
      <c r="Z164" s="1501"/>
      <c r="AA164" s="1973"/>
      <c r="AB164" s="907"/>
      <c r="AC164" s="907"/>
      <c r="AD164" s="907"/>
      <c r="AE164" s="907"/>
      <c r="AF164" s="1982">
        <v>11</v>
      </c>
    </row>
    <row s="17832" customFormat="1" customHeight="1" ht="11.549999999999999">
      <c r="A165" s="1328"/>
      <c r="B165" s="1977"/>
      <c r="C165" s="1977"/>
      <c r="D165" s="692"/>
      <c r="K165" s="1501"/>
      <c r="L165" s="1977"/>
      <c r="M165" s="1977"/>
      <c r="N165" s="1501"/>
      <c r="O165" s="1501"/>
      <c r="P165" s="1501"/>
      <c r="Q165" s="1501"/>
      <c r="R165" s="1977"/>
      <c r="S165" s="1501"/>
      <c r="T165" s="1501"/>
      <c r="U165" s="885"/>
      <c r="V165" s="1501"/>
      <c r="W165" s="1501"/>
      <c r="X165" s="1501"/>
      <c r="Y165" s="1501"/>
      <c r="Z165" s="1501"/>
      <c r="AA165" s="1973"/>
      <c r="AB165" s="907"/>
      <c r="AC165" s="907"/>
      <c r="AD165" s="907"/>
      <c r="AE165" s="907"/>
      <c r="AF165" s="1982">
        <v>11</v>
      </c>
    </row>
    <row s="17832" customFormat="1" customHeight="1" ht="11.549999999999999">
      <c r="A166" s="1328"/>
      <c r="B166" s="1977"/>
      <c r="C166" s="1977"/>
      <c r="D166" s="692"/>
      <c r="K166" s="1501"/>
      <c r="L166" s="1977"/>
      <c r="M166" s="1977"/>
      <c r="N166" s="1501"/>
      <c r="O166" s="1501"/>
      <c r="P166" s="1501"/>
      <c r="Q166" s="1501"/>
      <c r="R166" s="1977"/>
      <c r="S166" s="1501"/>
      <c r="T166" s="1501"/>
      <c r="U166" s="885"/>
      <c r="V166" s="1501"/>
      <c r="W166" s="1501"/>
      <c r="X166" s="1501"/>
      <c r="Y166" s="1501"/>
      <c r="Z166" s="1501"/>
      <c r="AA166" s="1973"/>
      <c r="AB166" s="907"/>
      <c r="AC166" s="907"/>
      <c r="AD166" s="907"/>
      <c r="AE166" s="907"/>
      <c r="AF166" s="1982">
        <v>11</v>
      </c>
    </row>
    <row s="17832" customFormat="1" customHeight="1" ht="11.549999999999999">
      <c r="A167" s="1328"/>
      <c r="B167" s="1977"/>
      <c r="C167" s="1977"/>
      <c r="D167" s="692"/>
      <c r="K167" s="1501"/>
      <c r="L167" s="1977"/>
      <c r="M167" s="1977"/>
      <c r="N167" s="1501"/>
      <c r="O167" s="1501"/>
      <c r="P167" s="1501"/>
      <c r="Q167" s="1501"/>
      <c r="R167" s="1977"/>
      <c r="S167" s="1501"/>
      <c r="T167" s="1501"/>
      <c r="U167" s="885"/>
      <c r="V167" s="1501"/>
      <c r="W167" s="1501"/>
      <c r="X167" s="1501"/>
      <c r="Y167" s="1501"/>
      <c r="Z167" s="1501"/>
      <c r="AA167" s="1973"/>
      <c r="AB167" s="907"/>
      <c r="AC167" s="907"/>
      <c r="AD167" s="907"/>
      <c r="AE167" s="907"/>
      <c r="AF167" s="1982">
        <v>11</v>
      </c>
    </row>
    <row s="17832" customFormat="1" customHeight="1" ht="11.549999999999999">
      <c r="A168" s="1328"/>
      <c r="B168" s="1977"/>
      <c r="C168" s="1977"/>
      <c r="D168" s="692"/>
      <c r="K168" s="1501"/>
      <c r="L168" s="1977"/>
      <c r="M168" s="1977"/>
      <c r="N168" s="1501"/>
      <c r="O168" s="1501"/>
      <c r="P168" s="1501"/>
      <c r="Q168" s="1501"/>
      <c r="R168" s="1977"/>
      <c r="S168" s="1501"/>
      <c r="T168" s="1501"/>
      <c r="U168" s="885"/>
      <c r="V168" s="1501"/>
      <c r="W168" s="1501"/>
      <c r="X168" s="1501"/>
      <c r="Y168" s="1501"/>
      <c r="Z168" s="1501"/>
      <c r="AA168" s="1973"/>
      <c r="AB168" s="907"/>
      <c r="AC168" s="907"/>
      <c r="AD168" s="907"/>
      <c r="AE168" s="907"/>
      <c r="AF168" s="1982">
        <v>11</v>
      </c>
    </row>
    <row s="17832" customFormat="1" customHeight="1" ht="11.549999999999999">
      <c r="A169" s="1328"/>
      <c r="B169" s="1977"/>
      <c r="C169" s="1977"/>
      <c r="D169" s="692"/>
      <c r="K169" s="1501"/>
      <c r="L169" s="1977"/>
      <c r="M169" s="1977"/>
      <c r="N169" s="1501"/>
      <c r="O169" s="1501"/>
      <c r="P169" s="1501"/>
      <c r="Q169" s="1501"/>
      <c r="R169" s="1977"/>
      <c r="S169" s="1501"/>
      <c r="T169" s="1501"/>
      <c r="U169" s="885"/>
      <c r="V169" s="1501"/>
      <c r="W169" s="1501"/>
      <c r="X169" s="1501"/>
      <c r="Y169" s="1501"/>
      <c r="Z169" s="1501"/>
      <c r="AA169" s="1973"/>
      <c r="AB169" s="907"/>
      <c r="AC169" s="907"/>
      <c r="AD169" s="907"/>
      <c r="AE169" s="907"/>
      <c r="AF169" s="1982">
        <v>11</v>
      </c>
    </row>
    <row s="17832" customFormat="1" customHeight="1" ht="11.549999999999999">
      <c r="A170" s="1328"/>
      <c r="B170" s="1977"/>
      <c r="C170" s="1977"/>
      <c r="D170" s="692"/>
      <c r="K170" s="1501"/>
      <c r="L170" s="1977"/>
      <c r="M170" s="1977"/>
      <c r="N170" s="1501"/>
      <c r="O170" s="1501"/>
      <c r="P170" s="1501"/>
      <c r="Q170" s="1501"/>
      <c r="R170" s="1977"/>
      <c r="S170" s="1501"/>
      <c r="T170" s="1501"/>
      <c r="U170" s="885"/>
      <c r="V170" s="1501"/>
      <c r="W170" s="1501"/>
      <c r="X170" s="1501"/>
      <c r="Y170" s="1501"/>
      <c r="Z170" s="1501"/>
      <c r="AA170" s="1973"/>
      <c r="AB170" s="907"/>
      <c r="AC170" s="907"/>
      <c r="AD170" s="907"/>
      <c r="AE170" s="907"/>
      <c r="AF170" s="1982">
        <v>11</v>
      </c>
    </row>
    <row s="17832" customFormat="1" customHeight="1" ht="11.549999999999999">
      <c r="A171" s="1328"/>
      <c r="B171" s="1977"/>
      <c r="C171" s="1977"/>
      <c r="D171" s="692"/>
      <c r="K171" s="1501"/>
      <c r="L171" s="1977"/>
      <c r="M171" s="1977"/>
      <c r="N171" s="1501"/>
      <c r="O171" s="1501"/>
      <c r="P171" s="1501"/>
      <c r="Q171" s="1501"/>
      <c r="R171" s="1977"/>
      <c r="S171" s="1501"/>
      <c r="T171" s="1501"/>
      <c r="U171" s="885"/>
      <c r="V171" s="1501"/>
      <c r="W171" s="1501"/>
      <c r="X171" s="1501"/>
      <c r="Y171" s="1501"/>
      <c r="Z171" s="1501"/>
      <c r="AA171" s="1973"/>
      <c r="AB171" s="907"/>
      <c r="AC171" s="907"/>
      <c r="AD171" s="907"/>
      <c r="AE171" s="907"/>
      <c r="AF171" s="1982">
        <v>11</v>
      </c>
    </row>
    <row s="17832" customFormat="1" customHeight="1" ht="11.549999999999999">
      <c r="A172" s="1328"/>
      <c r="B172" s="1977"/>
      <c r="C172" s="1977"/>
      <c r="D172" s="692"/>
      <c r="K172" s="1501"/>
      <c r="L172" s="1977"/>
      <c r="M172" s="1977"/>
      <c r="N172" s="1501"/>
      <c r="O172" s="1501"/>
      <c r="P172" s="1501"/>
      <c r="Q172" s="1501"/>
      <c r="R172" s="1977"/>
      <c r="S172" s="1501"/>
      <c r="T172" s="1501"/>
      <c r="U172" s="885"/>
      <c r="V172" s="1501"/>
      <c r="W172" s="1501"/>
      <c r="X172" s="1501"/>
      <c r="Y172" s="1501"/>
      <c r="Z172" s="1501"/>
      <c r="AA172" s="1973"/>
      <c r="AB172" s="907"/>
      <c r="AC172" s="907"/>
      <c r="AD172" s="907"/>
      <c r="AE172" s="907"/>
      <c r="AF172" s="1982">
        <v>11</v>
      </c>
    </row>
    <row s="17832" customFormat="1" customHeight="1" ht="11.549999999999999">
      <c r="A173" s="1328"/>
      <c r="B173" s="1977"/>
      <c r="C173" s="1977"/>
      <c r="D173" s="692"/>
      <c r="K173" s="1501"/>
      <c r="L173" s="1977"/>
      <c r="M173" s="1977"/>
      <c r="N173" s="1501"/>
      <c r="O173" s="1501"/>
      <c r="P173" s="1501"/>
      <c r="Q173" s="1501"/>
      <c r="R173" s="1977"/>
      <c r="S173" s="1501"/>
      <c r="T173" s="1501"/>
      <c r="U173" s="885"/>
      <c r="V173" s="1501"/>
      <c r="W173" s="1501"/>
      <c r="X173" s="1501"/>
      <c r="Y173" s="1501"/>
      <c r="Z173" s="1501"/>
      <c r="AA173" s="1973"/>
      <c r="AB173" s="907"/>
      <c r="AC173" s="907"/>
      <c r="AD173" s="907"/>
      <c r="AE173" s="907"/>
      <c r="AF173" s="1982">
        <v>11</v>
      </c>
    </row>
    <row s="17832" customFormat="1" customHeight="1" ht="11.549999999999999">
      <c r="A174" s="1328"/>
      <c r="B174" s="1977"/>
      <c r="C174" s="1977"/>
      <c r="D174" s="692"/>
      <c r="K174" s="1501"/>
      <c r="L174" s="1977"/>
      <c r="M174" s="1977"/>
      <c r="N174" s="1501"/>
      <c r="O174" s="1501"/>
      <c r="P174" s="1501"/>
      <c r="Q174" s="1501"/>
      <c r="R174" s="1977"/>
      <c r="S174" s="1501"/>
      <c r="T174" s="1501"/>
      <c r="U174" s="885"/>
      <c r="V174" s="1501"/>
      <c r="W174" s="1501"/>
      <c r="X174" s="1501"/>
      <c r="Y174" s="1501"/>
      <c r="Z174" s="1501"/>
      <c r="AA174" s="1973"/>
      <c r="AB174" s="907"/>
      <c r="AC174" s="907"/>
      <c r="AD174" s="907"/>
      <c r="AE174" s="907"/>
      <c r="AF174" s="1982">
        <v>11</v>
      </c>
    </row>
    <row s="17832" customFormat="1" customHeight="1" ht="11.549999999999999">
      <c r="A175" s="1328"/>
      <c r="B175" s="1977"/>
      <c r="C175" s="1977"/>
      <c r="D175" s="692"/>
      <c r="K175" s="1501"/>
      <c r="L175" s="1977"/>
      <c r="M175" s="1977"/>
      <c r="N175" s="1501"/>
      <c r="O175" s="1501"/>
      <c r="P175" s="1501"/>
      <c r="Q175" s="1501"/>
      <c r="R175" s="1977"/>
      <c r="S175" s="1501"/>
      <c r="T175" s="1501"/>
      <c r="U175" s="885"/>
      <c r="V175" s="1501"/>
      <c r="W175" s="1501"/>
      <c r="X175" s="1501"/>
      <c r="Y175" s="1501"/>
      <c r="Z175" s="1501"/>
      <c r="AA175" s="1973"/>
      <c r="AB175" s="907"/>
      <c r="AC175" s="907"/>
      <c r="AD175" s="907"/>
      <c r="AE175" s="907"/>
      <c r="AF175" s="1982">
        <v>11</v>
      </c>
    </row>
    <row s="17832" customFormat="1" customHeight="1" ht="11.549999999999999">
      <c r="A176" s="1328"/>
      <c r="B176" s="1977"/>
      <c r="C176" s="1977"/>
      <c r="D176" s="692"/>
      <c r="K176" s="1501"/>
      <c r="L176" s="1977"/>
      <c r="M176" s="1977"/>
      <c r="N176" s="1501"/>
      <c r="O176" s="1501"/>
      <c r="P176" s="1501"/>
      <c r="Q176" s="1501"/>
      <c r="R176" s="1977"/>
      <c r="S176" s="1501"/>
      <c r="T176" s="1501"/>
      <c r="U176" s="885"/>
      <c r="V176" s="1501"/>
      <c r="W176" s="1501"/>
      <c r="X176" s="1501"/>
      <c r="Y176" s="1501"/>
      <c r="Z176" s="1501"/>
      <c r="AA176" s="1973"/>
      <c r="AB176" s="907"/>
      <c r="AC176" s="907"/>
      <c r="AD176" s="907"/>
      <c r="AE176" s="907"/>
      <c r="AF176" s="1982">
        <v>11</v>
      </c>
    </row>
    <row s="17832" customFormat="1" customHeight="1" ht="11.549999999999999">
      <c r="A177" s="1328"/>
      <c r="B177" s="1977"/>
      <c r="C177" s="1977"/>
      <c r="D177" s="692"/>
      <c r="K177" s="1501"/>
      <c r="L177" s="1977"/>
      <c r="M177" s="1977"/>
      <c r="N177" s="1501"/>
      <c r="O177" s="1501"/>
      <c r="P177" s="1501"/>
      <c r="Q177" s="1501"/>
      <c r="R177" s="1977"/>
      <c r="S177" s="1501"/>
      <c r="T177" s="1501"/>
      <c r="U177" s="885"/>
      <c r="V177" s="1501"/>
      <c r="W177" s="1501"/>
      <c r="X177" s="1501"/>
      <c r="Y177" s="1501"/>
      <c r="Z177" s="1501"/>
      <c r="AA177" s="1973"/>
      <c r="AB177" s="907"/>
      <c r="AC177" s="907"/>
      <c r="AD177" s="907"/>
      <c r="AE177" s="907"/>
      <c r="AF177" s="1982">
        <v>11</v>
      </c>
    </row>
    <row s="17832" customFormat="1" customHeight="1" ht="11.549999999999999">
      <c r="A178" s="1328"/>
      <c r="B178" s="1977"/>
      <c r="C178" s="1977"/>
      <c r="D178" s="692"/>
      <c r="K178" s="1501"/>
      <c r="L178" s="1977"/>
      <c r="M178" s="1977"/>
      <c r="N178" s="1501"/>
      <c r="O178" s="1501"/>
      <c r="P178" s="1501"/>
      <c r="Q178" s="1501"/>
      <c r="R178" s="1977"/>
      <c r="S178" s="1501"/>
      <c r="T178" s="1501"/>
      <c r="U178" s="885"/>
      <c r="V178" s="1501"/>
      <c r="W178" s="1501"/>
      <c r="X178" s="1501"/>
      <c r="Y178" s="1501"/>
      <c r="Z178" s="1501"/>
      <c r="AA178" s="1973"/>
      <c r="AB178" s="907"/>
      <c r="AC178" s="907"/>
      <c r="AD178" s="907"/>
      <c r="AE178" s="907"/>
      <c r="AF178" s="1982">
        <v>11</v>
      </c>
    </row>
    <row s="17832" customFormat="1" customHeight="1" ht="11.549999999999999">
      <c r="A179" s="1328"/>
      <c r="B179" s="1977"/>
      <c r="C179" s="1977"/>
      <c r="D179" s="692"/>
      <c r="K179" s="1501"/>
      <c r="L179" s="1977"/>
      <c r="M179" s="1977"/>
      <c r="N179" s="1501"/>
      <c r="O179" s="1501"/>
      <c r="P179" s="1501"/>
      <c r="Q179" s="1501"/>
      <c r="R179" s="1977"/>
      <c r="S179" s="1501"/>
      <c r="T179" s="1501"/>
      <c r="U179" s="885"/>
      <c r="V179" s="1501"/>
      <c r="W179" s="1501"/>
      <c r="X179" s="1501"/>
      <c r="Y179" s="1501"/>
      <c r="Z179" s="1501"/>
      <c r="AA179" s="1973"/>
      <c r="AB179" s="907"/>
      <c r="AC179" s="907"/>
      <c r="AD179" s="907"/>
      <c r="AE179" s="907"/>
      <c r="AF179" s="1982">
        <v>11</v>
      </c>
    </row>
    <row s="17832" customFormat="1" customHeight="1" ht="11.549999999999999">
      <c r="A180" s="1328"/>
      <c r="B180" s="1977"/>
      <c r="C180" s="1977"/>
      <c r="D180" s="692"/>
      <c r="K180" s="1501"/>
      <c r="L180" s="1977"/>
      <c r="M180" s="1977"/>
      <c r="N180" s="1501"/>
      <c r="O180" s="1501"/>
      <c r="P180" s="1501"/>
      <c r="Q180" s="1501"/>
      <c r="R180" s="1977"/>
      <c r="S180" s="1501"/>
      <c r="T180" s="1501"/>
      <c r="U180" s="885"/>
      <c r="V180" s="1501"/>
      <c r="W180" s="1501"/>
      <c r="X180" s="1501"/>
      <c r="Y180" s="1501"/>
      <c r="Z180" s="1501"/>
      <c r="AA180" s="1973"/>
      <c r="AB180" s="907"/>
      <c r="AC180" s="907"/>
      <c r="AD180" s="907"/>
      <c r="AE180" s="907"/>
      <c r="AF180" s="1982">
        <v>11</v>
      </c>
    </row>
    <row s="17832" customFormat="1" customHeight="1" ht="11.549999999999999">
      <c r="A181" s="1328"/>
      <c r="B181" s="1977"/>
      <c r="C181" s="1977"/>
      <c r="D181" s="692"/>
      <c r="K181" s="1501"/>
      <c r="L181" s="1977"/>
      <c r="M181" s="1977"/>
      <c r="N181" s="1501"/>
      <c r="O181" s="1501"/>
      <c r="P181" s="1501"/>
      <c r="Q181" s="1501"/>
      <c r="R181" s="1977"/>
      <c r="S181" s="1501"/>
      <c r="T181" s="1501"/>
      <c r="U181" s="885"/>
      <c r="V181" s="1501"/>
      <c r="W181" s="1501"/>
      <c r="X181" s="1501"/>
      <c r="Y181" s="1501"/>
      <c r="Z181" s="1501"/>
      <c r="AA181" s="1973"/>
      <c r="AB181" s="907"/>
      <c r="AC181" s="907"/>
      <c r="AD181" s="907"/>
      <c r="AE181" s="907"/>
      <c r="AF181" s="1982">
        <v>11</v>
      </c>
    </row>
    <row s="17832" customFormat="1" customHeight="1" ht="11.549999999999999">
      <c r="A182" s="1328"/>
      <c r="B182" s="1977"/>
      <c r="C182" s="1977"/>
      <c r="D182" s="692"/>
      <c r="K182" s="1501"/>
      <c r="L182" s="1977"/>
      <c r="M182" s="1977"/>
      <c r="N182" s="1501"/>
      <c r="O182" s="1501"/>
      <c r="P182" s="1501"/>
      <c r="Q182" s="1501"/>
      <c r="R182" s="1977"/>
      <c r="S182" s="1501"/>
      <c r="T182" s="1501"/>
      <c r="U182" s="885"/>
      <c r="V182" s="1501"/>
      <c r="W182" s="1501"/>
      <c r="X182" s="1501"/>
      <c r="Y182" s="1501"/>
      <c r="Z182" s="1501"/>
      <c r="AA182" s="1973"/>
      <c r="AB182" s="907"/>
      <c r="AC182" s="907"/>
      <c r="AD182" s="907"/>
      <c r="AE182" s="907"/>
      <c r="AF182" s="1982">
        <v>11</v>
      </c>
    </row>
    <row s="17832" customFormat="1" customHeight="1" ht="11.549999999999999">
      <c r="A183" s="1328"/>
      <c r="B183" s="1977"/>
      <c r="C183" s="1977"/>
      <c r="D183" s="692"/>
      <c r="K183" s="1501"/>
      <c r="L183" s="1977"/>
      <c r="M183" s="1977"/>
      <c r="N183" s="1501"/>
      <c r="O183" s="1501"/>
      <c r="P183" s="1501"/>
      <c r="Q183" s="1501"/>
      <c r="R183" s="1977"/>
      <c r="S183" s="1501"/>
      <c r="T183" s="1501"/>
      <c r="U183" s="885"/>
      <c r="V183" s="1501"/>
      <c r="W183" s="1501"/>
      <c r="X183" s="1501"/>
      <c r="Y183" s="1501"/>
      <c r="Z183" s="1501"/>
      <c r="AA183" s="1973"/>
      <c r="AB183" s="907"/>
      <c r="AC183" s="907"/>
      <c r="AD183" s="907"/>
      <c r="AE183" s="907"/>
      <c r="AF183" s="1982">
        <v>11</v>
      </c>
    </row>
    <row s="17832" customFormat="1" customHeight="1" ht="11.549999999999999">
      <c r="A184" s="1328"/>
      <c r="B184" s="1977"/>
      <c r="C184" s="1977"/>
      <c r="D184" s="692"/>
      <c r="K184" s="1501"/>
      <c r="L184" s="1977"/>
      <c r="M184" s="1977"/>
      <c r="N184" s="1501"/>
      <c r="O184" s="1501"/>
      <c r="P184" s="1501"/>
      <c r="Q184" s="1501"/>
      <c r="R184" s="1977"/>
      <c r="S184" s="1501"/>
      <c r="T184" s="1501"/>
      <c r="U184" s="885"/>
      <c r="V184" s="1501"/>
      <c r="W184" s="1501"/>
      <c r="X184" s="1501"/>
      <c r="Y184" s="1501"/>
      <c r="Z184" s="1501"/>
      <c r="AA184" s="1973"/>
      <c r="AB184" s="907"/>
      <c r="AC184" s="907"/>
      <c r="AD184" s="907"/>
      <c r="AE184" s="907"/>
      <c r="AF184" s="1982">
        <v>11</v>
      </c>
    </row>
    <row s="17832" customFormat="1" customHeight="1" ht="11.549999999999999">
      <c r="A185" s="1328"/>
      <c r="B185" s="1977"/>
      <c r="C185" s="1977"/>
      <c r="D185" s="692"/>
      <c r="K185" s="1501"/>
      <c r="L185" s="1977"/>
      <c r="M185" s="1977"/>
      <c r="N185" s="1501"/>
      <c r="O185" s="1501"/>
      <c r="P185" s="1501"/>
      <c r="Q185" s="1501"/>
      <c r="R185" s="1977"/>
      <c r="S185" s="1501"/>
      <c r="T185" s="1501"/>
      <c r="U185" s="885"/>
      <c r="V185" s="1501"/>
      <c r="W185" s="1501"/>
      <c r="X185" s="1501"/>
      <c r="Y185" s="1501"/>
      <c r="Z185" s="1501"/>
      <c r="AA185" s="1973"/>
      <c r="AB185" s="907"/>
      <c r="AC185" s="907"/>
      <c r="AD185" s="907"/>
      <c r="AE185" s="907"/>
      <c r="AF185" s="1982">
        <v>11</v>
      </c>
    </row>
    <row s="17832" customFormat="1" customHeight="1" ht="11.549999999999999">
      <c r="A186" s="1328"/>
      <c r="B186" s="1977"/>
      <c r="C186" s="1977"/>
      <c r="D186" s="692"/>
      <c r="K186" s="1501"/>
      <c r="L186" s="1977"/>
      <c r="M186" s="1977"/>
      <c r="N186" s="1501"/>
      <c r="O186" s="1501"/>
      <c r="P186" s="1501"/>
      <c r="Q186" s="1501"/>
      <c r="R186" s="1977"/>
      <c r="S186" s="1501"/>
      <c r="T186" s="1501"/>
      <c r="U186" s="885"/>
      <c r="V186" s="1501"/>
      <c r="W186" s="1501"/>
      <c r="X186" s="1501"/>
      <c r="Y186" s="1501"/>
      <c r="Z186" s="1501"/>
      <c r="AA186" s="1973"/>
      <c r="AB186" s="907"/>
      <c r="AC186" s="907"/>
      <c r="AD186" s="907"/>
      <c r="AE186" s="907"/>
      <c r="AF186" s="1982">
        <v>11</v>
      </c>
    </row>
    <row s="17832" customFormat="1" customHeight="1" ht="11.549999999999999">
      <c r="A187" s="1328"/>
      <c r="B187" s="1977"/>
      <c r="C187" s="1977"/>
      <c r="D187" s="692"/>
      <c r="K187" s="1501"/>
      <c r="L187" s="1977"/>
      <c r="M187" s="1977"/>
      <c r="N187" s="1501"/>
      <c r="O187" s="1501"/>
      <c r="P187" s="1501"/>
      <c r="Q187" s="1501"/>
      <c r="R187" s="1977"/>
      <c r="S187" s="1501"/>
      <c r="T187" s="1501"/>
      <c r="U187" s="885"/>
      <c r="V187" s="1501"/>
      <c r="W187" s="1501"/>
      <c r="X187" s="1501"/>
      <c r="Y187" s="1501"/>
      <c r="Z187" s="1501"/>
      <c r="AA187" s="1973"/>
      <c r="AB187" s="907"/>
      <c r="AC187" s="907"/>
      <c r="AD187" s="907"/>
      <c r="AE187" s="907"/>
      <c r="AF187" s="1982">
        <v>11</v>
      </c>
    </row>
    <row s="17832" customFormat="1" customHeight="1" ht="11.549999999999999">
      <c r="A188" s="1328"/>
      <c r="B188" s="1977"/>
      <c r="C188" s="1977"/>
      <c r="D188" s="692"/>
      <c r="K188" s="1501"/>
      <c r="L188" s="1977"/>
      <c r="M188" s="1977"/>
      <c r="N188" s="1501"/>
      <c r="O188" s="1501"/>
      <c r="P188" s="1501"/>
      <c r="Q188" s="1501"/>
      <c r="R188" s="1977"/>
      <c r="S188" s="1501"/>
      <c r="T188" s="1501"/>
      <c r="U188" s="885"/>
      <c r="V188" s="1501"/>
      <c r="W188" s="1501"/>
      <c r="X188" s="1501"/>
      <c r="Y188" s="1501"/>
      <c r="Z188" s="1501"/>
      <c r="AA188" s="1973"/>
      <c r="AB188" s="907"/>
      <c r="AC188" s="907"/>
      <c r="AD188" s="907"/>
      <c r="AE188" s="907"/>
      <c r="AF188" s="1982">
        <v>11</v>
      </c>
    </row>
    <row s="17832" customFormat="1" customHeight="1" ht="11.549999999999999">
      <c r="A189" s="1328"/>
      <c r="B189" s="1977"/>
      <c r="C189" s="1977"/>
      <c r="D189" s="692"/>
      <c r="K189" s="1501"/>
      <c r="L189" s="1977"/>
      <c r="M189" s="1977"/>
      <c r="N189" s="1501"/>
      <c r="O189" s="1501"/>
      <c r="P189" s="1501"/>
      <c r="Q189" s="1501"/>
      <c r="R189" s="1977"/>
      <c r="S189" s="1501"/>
      <c r="T189" s="1501"/>
      <c r="U189" s="885"/>
      <c r="V189" s="1501"/>
      <c r="W189" s="1501"/>
      <c r="X189" s="1501"/>
      <c r="Y189" s="1501"/>
      <c r="Z189" s="1501"/>
      <c r="AA189" s="1973"/>
      <c r="AB189" s="907"/>
      <c r="AC189" s="907"/>
      <c r="AD189" s="907"/>
      <c r="AE189" s="907"/>
      <c r="AF189" s="1982">
        <v>11</v>
      </c>
    </row>
    <row s="17832" customFormat="1" customHeight="1" ht="11.549999999999999">
      <c r="A190" s="1328"/>
      <c r="B190" s="1977"/>
      <c r="C190" s="1977"/>
      <c r="D190" s="692"/>
      <c r="K190" s="1501"/>
      <c r="L190" s="1977"/>
      <c r="M190" s="1977"/>
      <c r="N190" s="1501"/>
      <c r="O190" s="1501"/>
      <c r="P190" s="1501"/>
      <c r="Q190" s="1501"/>
      <c r="R190" s="1977"/>
      <c r="S190" s="1501"/>
      <c r="T190" s="1501"/>
      <c r="U190" s="885"/>
      <c r="V190" s="1501"/>
      <c r="W190" s="1501"/>
      <c r="X190" s="1501"/>
      <c r="Y190" s="1501"/>
      <c r="Z190" s="1501"/>
      <c r="AA190" s="1973"/>
      <c r="AB190" s="907"/>
      <c r="AC190" s="907"/>
      <c r="AD190" s="907"/>
      <c r="AE190" s="907"/>
      <c r="AF190" s="1982">
        <v>11</v>
      </c>
    </row>
    <row s="17832" customFormat="1" customHeight="1" ht="11.549999999999999">
      <c r="A191" s="1328"/>
      <c r="B191" s="1977"/>
      <c r="C191" s="1977"/>
      <c r="D191" s="692"/>
      <c r="K191" s="1501"/>
      <c r="L191" s="1977"/>
      <c r="M191" s="1977"/>
      <c r="N191" s="1501"/>
      <c r="O191" s="1501"/>
      <c r="P191" s="1501"/>
      <c r="Q191" s="1501"/>
      <c r="R191" s="1977"/>
      <c r="S191" s="1501"/>
      <c r="T191" s="1501"/>
      <c r="U191" s="885"/>
      <c r="V191" s="1501"/>
      <c r="W191" s="1501"/>
      <c r="X191" s="1501"/>
      <c r="Y191" s="1501"/>
      <c r="Z191" s="1501"/>
      <c r="AA191" s="1973"/>
      <c r="AB191" s="907"/>
      <c r="AC191" s="907"/>
      <c r="AD191" s="907"/>
      <c r="AE191" s="907"/>
      <c r="AF191" s="1982">
        <v>11</v>
      </c>
    </row>
    <row s="17832" customFormat="1" customHeight="1" ht="11.549999999999999">
      <c r="A192" s="1328"/>
      <c r="B192" s="1977"/>
      <c r="C192" s="1977"/>
      <c r="D192" s="692"/>
      <c r="K192" s="1501"/>
      <c r="L192" s="1977"/>
      <c r="M192" s="1977"/>
      <c r="N192" s="1501"/>
      <c r="O192" s="1501"/>
      <c r="P192" s="1501"/>
      <c r="Q192" s="1501"/>
      <c r="R192" s="1977"/>
      <c r="S192" s="1501"/>
      <c r="T192" s="1501"/>
      <c r="U192" s="885"/>
      <c r="V192" s="1501"/>
      <c r="W192" s="1501"/>
      <c r="X192" s="1501"/>
      <c r="Y192" s="1501"/>
      <c r="Z192" s="1501"/>
      <c r="AA192" s="1973"/>
      <c r="AB192" s="907"/>
      <c r="AC192" s="907"/>
      <c r="AD192" s="907"/>
      <c r="AE192" s="907"/>
      <c r="AF192" s="1982">
        <v>11</v>
      </c>
    </row>
    <row s="17832" customFormat="1" customHeight="1" ht="11.549999999999999">
      <c r="A193" s="1328"/>
      <c r="B193" s="1977"/>
      <c r="C193" s="1977"/>
      <c r="D193" s="692"/>
      <c r="K193" s="1501"/>
      <c r="L193" s="1977"/>
      <c r="M193" s="1977"/>
      <c r="N193" s="1501"/>
      <c r="O193" s="1501"/>
      <c r="P193" s="1501"/>
      <c r="Q193" s="1501"/>
      <c r="R193" s="1977"/>
      <c r="S193" s="1501"/>
      <c r="T193" s="1501"/>
      <c r="U193" s="885"/>
      <c r="V193" s="1501"/>
      <c r="W193" s="1501"/>
      <c r="X193" s="1501"/>
      <c r="Y193" s="1501"/>
      <c r="Z193" s="1501"/>
      <c r="AA193" s="1973"/>
      <c r="AB193" s="907"/>
      <c r="AC193" s="907"/>
      <c r="AD193" s="907"/>
      <c r="AE193" s="907"/>
      <c r="AF193" s="1982">
        <v>11</v>
      </c>
    </row>
    <row s="17832" customFormat="1" customHeight="1" ht="11.549999999999999">
      <c r="A194" s="1328"/>
      <c r="B194" s="1977"/>
      <c r="C194" s="1977"/>
      <c r="D194" s="692"/>
      <c r="K194" s="1501"/>
      <c r="L194" s="1977"/>
      <c r="M194" s="1977"/>
      <c r="N194" s="1501"/>
      <c r="O194" s="1501"/>
      <c r="P194" s="1501"/>
      <c r="Q194" s="1501"/>
      <c r="R194" s="1977"/>
      <c r="S194" s="1501"/>
      <c r="T194" s="1501"/>
      <c r="U194" s="885"/>
      <c r="V194" s="1501"/>
      <c r="W194" s="1501"/>
      <c r="X194" s="1501"/>
      <c r="Y194" s="1501"/>
      <c r="Z194" s="1501"/>
      <c r="AA194" s="1973"/>
      <c r="AB194" s="907"/>
      <c r="AC194" s="907"/>
      <c r="AD194" s="907"/>
      <c r="AE194" s="907"/>
      <c r="AF194" s="1982">
        <v>11</v>
      </c>
    </row>
    <row s="17832" customFormat="1" customHeight="1" ht="11.549999999999999">
      <c r="A195" s="1328"/>
      <c r="B195" s="1977"/>
      <c r="C195" s="1977"/>
      <c r="D195" s="692"/>
      <c r="K195" s="1501"/>
      <c r="L195" s="1977"/>
      <c r="M195" s="1977"/>
      <c r="N195" s="1501"/>
      <c r="O195" s="1501"/>
      <c r="P195" s="1501"/>
      <c r="Q195" s="1501"/>
      <c r="R195" s="1977"/>
      <c r="S195" s="1501"/>
      <c r="T195" s="1501"/>
      <c r="U195" s="885"/>
      <c r="V195" s="1501"/>
      <c r="W195" s="1501"/>
      <c r="X195" s="1501"/>
      <c r="Y195" s="1501"/>
      <c r="Z195" s="1501"/>
      <c r="AA195" s="1973"/>
      <c r="AB195" s="907"/>
      <c r="AC195" s="907"/>
      <c r="AD195" s="907"/>
      <c r="AE195" s="907"/>
      <c r="AF195" s="1982">
        <v>11</v>
      </c>
    </row>
    <row customHeight="1" ht="11.549999999999999">
      <c r="AF196" s="1972">
        <v>11</v>
      </c>
    </row>
    <row customHeight="1" ht="11.549999999999999">
      <c r="AF197" s="1972">
        <v>11</v>
      </c>
    </row>
    <row customHeight="1" ht="11.549999999999999">
      <c r="AF198" s="1972">
        <v>11</v>
      </c>
    </row>
    <row customHeight="1" ht="11.549999999999999">
      <c r="A199" s="1331"/>
      <c r="B199" s="1972"/>
      <c r="D199" s="1972"/>
      <c r="K199" s="1972"/>
      <c r="N199" s="1972"/>
      <c r="O199" s="1972"/>
      <c r="P199" s="1972"/>
      <c r="Q199" s="1972"/>
      <c r="S199" s="1972"/>
      <c r="T199" s="1972"/>
      <c r="U199" s="1972"/>
      <c r="V199" s="1972"/>
      <c r="W199" s="1972"/>
      <c r="X199" s="1972"/>
      <c r="Y199" s="1972"/>
      <c r="Z199" s="1972"/>
      <c r="AA199" s="1972"/>
      <c r="AB199" s="1972"/>
      <c r="AC199" s="1972"/>
      <c r="AD199" s="1972"/>
      <c r="AE199" s="1972"/>
      <c r="AF199" s="1972">
        <v>11</v>
      </c>
    </row>
    <row customHeight="1" ht="11.549999999999999">
      <c r="A200" s="1331"/>
      <c r="B200" s="1972"/>
      <c r="D200" s="1972"/>
      <c r="K200" s="1972"/>
      <c r="N200" s="1972"/>
      <c r="O200" s="1972"/>
      <c r="P200" s="1972"/>
      <c r="Q200" s="1972"/>
      <c r="S200" s="1972"/>
      <c r="T200" s="1972"/>
      <c r="U200" s="1972"/>
      <c r="V200" s="1972"/>
      <c r="W200" s="1972"/>
      <c r="X200" s="1972"/>
      <c r="Y200" s="1972"/>
      <c r="Z200" s="1972"/>
      <c r="AA200" s="1972"/>
      <c r="AB200" s="1972"/>
      <c r="AC200" s="1972"/>
      <c r="AD200" s="1972"/>
      <c r="AE200" s="1972"/>
      <c r="AF200" s="1972">
        <v>11</v>
      </c>
    </row>
    <row customHeight="1" ht="11.549999999999999">
      <c r="A201" s="1331"/>
      <c r="B201" s="1972"/>
      <c r="D201" s="1972"/>
      <c r="K201" s="1972"/>
      <c r="N201" s="1972"/>
      <c r="O201" s="1972"/>
      <c r="P201" s="1972"/>
      <c r="Q201" s="1972"/>
      <c r="S201" s="1972"/>
      <c r="T201" s="1972"/>
      <c r="U201" s="1972"/>
      <c r="V201" s="1972"/>
      <c r="W201" s="1972"/>
      <c r="X201" s="1972"/>
      <c r="Y201" s="1972"/>
      <c r="Z201" s="1972"/>
      <c r="AA201" s="1972"/>
      <c r="AB201" s="1972"/>
      <c r="AC201" s="1972"/>
      <c r="AD201" s="1972"/>
      <c r="AE201" s="1972"/>
      <c r="AF201" s="1972">
        <v>11</v>
      </c>
    </row>
    <row customHeight="1" ht="11.549999999999999">
      <c r="A202" s="1331"/>
      <c r="B202" s="1972"/>
      <c r="D202" s="1972"/>
      <c r="K202" s="1972"/>
      <c r="N202" s="1972"/>
      <c r="O202" s="1972"/>
      <c r="P202" s="1972"/>
      <c r="Q202" s="1972"/>
      <c r="S202" s="1972"/>
      <c r="T202" s="1972"/>
      <c r="U202" s="1972"/>
      <c r="V202" s="1972"/>
      <c r="W202" s="1972"/>
      <c r="X202" s="1972"/>
      <c r="Y202" s="1972"/>
      <c r="Z202" s="1972"/>
      <c r="AA202" s="1972"/>
      <c r="AB202" s="1972"/>
      <c r="AC202" s="1972"/>
      <c r="AD202" s="1972"/>
      <c r="AE202" s="1972"/>
      <c r="AF202" s="1972">
        <v>11</v>
      </c>
    </row>
    <row customHeight="1" ht="11.549999999999999">
      <c r="A203" s="1331"/>
      <c r="B203" s="1972"/>
      <c r="D203" s="1972"/>
      <c r="K203" s="1972"/>
      <c r="N203" s="1972"/>
      <c r="O203" s="1972"/>
      <c r="P203" s="1972"/>
      <c r="Q203" s="1972"/>
      <c r="S203" s="1972"/>
      <c r="T203" s="1972"/>
      <c r="U203" s="1972"/>
      <c r="V203" s="1972"/>
      <c r="W203" s="1972"/>
      <c r="X203" s="1972"/>
      <c r="Y203" s="1972"/>
      <c r="Z203" s="1972"/>
      <c r="AA203" s="1972"/>
      <c r="AB203" s="1972"/>
      <c r="AC203" s="1972"/>
      <c r="AD203" s="1972"/>
      <c r="AE203" s="1972"/>
      <c r="AF203" s="1972">
        <v>11</v>
      </c>
    </row>
    <row customHeight="1" ht="11.549999999999999">
      <c r="A204" s="1331"/>
      <c r="B204" s="1972"/>
      <c r="D204" s="1972"/>
      <c r="K204" s="1972"/>
      <c r="N204" s="1972"/>
      <c r="O204" s="1972"/>
      <c r="P204" s="1972"/>
      <c r="Q204" s="1972"/>
      <c r="S204" s="1972"/>
      <c r="T204" s="1972"/>
      <c r="U204" s="1972"/>
      <c r="V204" s="1972"/>
      <c r="W204" s="1972"/>
      <c r="X204" s="1972"/>
      <c r="Y204" s="1972"/>
      <c r="Z204" s="1972"/>
      <c r="AA204" s="1972"/>
      <c r="AB204" s="1972"/>
      <c r="AC204" s="1972"/>
      <c r="AD204" s="1972"/>
      <c r="AE204" s="1972"/>
      <c r="AF204" s="1972">
        <v>11</v>
      </c>
    </row>
    <row customHeight="1" ht="11.549999999999999">
      <c r="A205" s="1331"/>
      <c r="B205" s="1972"/>
      <c r="D205" s="1972"/>
      <c r="K205" s="1972"/>
      <c r="N205" s="1972"/>
      <c r="O205" s="1972"/>
      <c r="P205" s="1972"/>
      <c r="Q205" s="1972"/>
      <c r="S205" s="1972"/>
      <c r="T205" s="1972"/>
      <c r="U205" s="1972"/>
      <c r="V205" s="1972"/>
      <c r="W205" s="1972"/>
      <c r="X205" s="1972"/>
      <c r="Y205" s="1972"/>
      <c r="Z205" s="1972"/>
      <c r="AA205" s="1972"/>
      <c r="AB205" s="1972"/>
      <c r="AC205" s="1972"/>
      <c r="AD205" s="1972"/>
      <c r="AE205" s="1972"/>
      <c r="AF205" s="1972">
        <v>11</v>
      </c>
    </row>
    <row customHeight="1" ht="11.549999999999999">
      <c r="A206" s="1331"/>
      <c r="B206" s="1972"/>
      <c r="D206" s="1972"/>
      <c r="K206" s="1972"/>
      <c r="N206" s="1972"/>
      <c r="O206" s="1972"/>
      <c r="P206" s="1972"/>
      <c r="Q206" s="1972"/>
      <c r="S206" s="1972"/>
      <c r="T206" s="1972"/>
      <c r="U206" s="1972"/>
      <c r="V206" s="1972"/>
      <c r="W206" s="1972"/>
      <c r="X206" s="1972"/>
      <c r="Y206" s="1972"/>
      <c r="Z206" s="1972"/>
      <c r="AA206" s="1972"/>
      <c r="AB206" s="1972"/>
      <c r="AC206" s="1972"/>
      <c r="AD206" s="1972"/>
      <c r="AE206" s="1972"/>
      <c r="AF206" s="1972">
        <v>11</v>
      </c>
    </row>
    <row customHeight="1" ht="11.549999999999999">
      <c r="A207" s="1331"/>
      <c r="B207" s="1972"/>
      <c r="D207" s="1972"/>
      <c r="K207" s="1972"/>
      <c r="N207" s="1972"/>
      <c r="O207" s="1972"/>
      <c r="P207" s="1972"/>
      <c r="Q207" s="1972"/>
      <c r="S207" s="1972"/>
      <c r="T207" s="1972"/>
      <c r="U207" s="1972"/>
      <c r="V207" s="1972"/>
      <c r="W207" s="1972"/>
      <c r="X207" s="1972"/>
      <c r="Y207" s="1972"/>
      <c r="Z207" s="1972"/>
      <c r="AA207" s="1972"/>
      <c r="AB207" s="1972"/>
      <c r="AC207" s="1972"/>
      <c r="AD207" s="1972"/>
      <c r="AE207" s="1972"/>
      <c r="AF207" s="1972">
        <v>11</v>
      </c>
    </row>
    <row customHeight="1" ht="11.549999999999999">
      <c r="A208" s="1331"/>
      <c r="B208" s="1972"/>
      <c r="D208" s="1972"/>
      <c r="K208" s="1972"/>
      <c r="N208" s="1972"/>
      <c r="O208" s="1972"/>
      <c r="P208" s="1972"/>
      <c r="Q208" s="1972"/>
      <c r="S208" s="1972"/>
      <c r="T208" s="1972"/>
      <c r="U208" s="1972"/>
      <c r="V208" s="1972"/>
      <c r="W208" s="1972"/>
      <c r="X208" s="1972"/>
      <c r="Y208" s="1972"/>
      <c r="Z208" s="1972"/>
      <c r="AA208" s="1972"/>
      <c r="AB208" s="1972"/>
      <c r="AC208" s="1972"/>
      <c r="AD208" s="1972"/>
      <c r="AE208" s="1972"/>
      <c r="AF208" s="1972">
        <v>11</v>
      </c>
    </row>
    <row customHeight="1" ht="11.549999999999999">
      <c r="A209" s="1331"/>
      <c r="B209" s="1972"/>
      <c r="D209" s="1972"/>
      <c r="K209" s="1972"/>
      <c r="N209" s="1972"/>
      <c r="O209" s="1972"/>
      <c r="P209" s="1972"/>
      <c r="Q209" s="1972"/>
      <c r="S209" s="1972"/>
      <c r="T209" s="1972"/>
      <c r="U209" s="1972"/>
      <c r="V209" s="1972"/>
      <c r="W209" s="1972"/>
      <c r="X209" s="1972"/>
      <c r="Y209" s="1972"/>
      <c r="Z209" s="1972"/>
      <c r="AA209" s="1972"/>
      <c r="AB209" s="1972"/>
      <c r="AC209" s="1972"/>
      <c r="AD209" s="1972"/>
      <c r="AE209" s="1972"/>
      <c r="AF209" s="1972">
        <v>11</v>
      </c>
    </row>
    <row customHeight="1" ht="11.25" hidden="1">
      <c r="A210" s="1328" t="s">
        <v>82</v>
      </c>
      <c r="B210" s="1501">
        <v>0</v>
      </c>
      <c r="C210" s="1977">
        <v>0</v>
      </c>
      <c r="D210" s="1976">
        <v>3</v>
      </c>
      <c r="E210" s="1972">
        <v>7</v>
      </c>
      <c r="F210" s="1972">
        <v>54</v>
      </c>
      <c r="G210" s="1972">
        <v>10</v>
      </c>
      <c r="H210" s="1972">
        <v>0</v>
      </c>
      <c r="I210" s="1972">
        <v>40</v>
      </c>
      <c r="J210" s="1972">
        <v>102</v>
      </c>
      <c r="K210" s="1501">
        <v>9</v>
      </c>
      <c r="L210" s="1977">
        <v>5</v>
      </c>
      <c r="M210" s="1977">
        <v>3</v>
      </c>
      <c r="N210" s="1501">
        <v>3</v>
      </c>
      <c r="O210" s="1501">
        <v>3</v>
      </c>
      <c r="P210" s="1501">
        <v>3</v>
      </c>
      <c r="Q210" s="1501">
        <v>3</v>
      </c>
      <c r="R210" s="1977">
        <v>10</v>
      </c>
      <c r="S210" s="1501">
        <v>34</v>
      </c>
      <c r="T210" s="1501">
        <v>9</v>
      </c>
      <c r="U210" s="885">
        <v>8</v>
      </c>
      <c r="V210" s="1501">
        <v>8</v>
      </c>
      <c r="W210" s="1501">
        <v>8</v>
      </c>
      <c r="X210" s="1501">
        <v>8</v>
      </c>
      <c r="Y210" s="1501">
        <v>8</v>
      </c>
      <c r="Z210" s="1501">
        <v>8</v>
      </c>
      <c r="AA210" s="1973">
        <v>8</v>
      </c>
      <c r="AB210" s="1973">
        <v>8</v>
      </c>
      <c r="AC210" s="1973">
        <v>8</v>
      </c>
      <c r="AD210" s="1973">
        <v>8</v>
      </c>
      <c r="AE210" s="1973">
        <v>8</v>
      </c>
      <c r="AF210" s="1972">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04EAC1-519A-59F1-BF89-F6F6D6579D1C}"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8725" width="9.140625" hidden="1" customWidth="1"/>
    <col min="2" max="2" style="17316" width="3.57421875" hidden="1" customWidth="1"/>
    <col min="3" max="3" style="17239" width="3.00390625" customWidth="1"/>
    <col min="4" max="4" style="17239" width="7.00390625" customWidth="1"/>
    <col min="5" max="5" style="17239" width="69.00390625" customWidth="1"/>
    <col min="6" max="6" style="17239" width="10.00390625" customWidth="1"/>
    <col min="7" max="8" style="17239" width="44.00390625" hidden="1" customWidth="1"/>
    <col min="9" max="9" style="17239" width="44.00390625" customWidth="1"/>
    <col min="10" max="10" style="17239" width="43.00390625" customWidth="1"/>
    <col min="11" max="11" style="17239" width="73.00390625" customWidth="1"/>
    <col min="12" max="12" style="17239" width="3.00390625" customWidth="1"/>
    <col min="13" max="23" style="17239" width="10.00390625" customWidth="1"/>
    <col min="24" max="24" style="17239" width="10.57421875" hidden="1"/>
  </cols>
  <sheetData>
    <row s="17315" customFormat="1" customHeight="1" ht="22.5" hidden="1">
      <c r="A1" s="877"/>
      <c r="B1" s="852"/>
      <c r="G1" s="758">
        <v>4</v>
      </c>
      <c r="I1" s="758">
        <v>4</v>
      </c>
      <c r="K1" s="758">
        <v>5</v>
      </c>
      <c r="X1" s="758" t="s">
        <v>14</v>
      </c>
    </row>
    <row customHeight="1" ht="3">
      <c r="X2" s="846">
        <v>3</v>
      </c>
    </row>
    <row customHeight="1" ht="78.75">
      <c r="D3" s="257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80"/>
      <c r="F3" s="2581"/>
      <c r="X3" s="846">
        <v>75</v>
      </c>
    </row>
    <row s="17239" customFormat="1" customHeight="1" ht="21">
      <c r="A4" s="1292"/>
      <c r="B4" s="852"/>
      <c r="D4" s="2555" t="str">
        <f>IF(org=0,"Не определено",org)</f>
        <v>АО "ДГК"</v>
      </c>
      <c r="E4" s="2556"/>
      <c r="F4" s="2557"/>
      <c r="X4" s="1099">
        <v>20</v>
      </c>
    </row>
    <row customHeight="1" ht="11.549999999999999">
      <c r="C5" s="850"/>
      <c r="D5" s="929"/>
      <c r="E5" s="929"/>
      <c r="F5" s="929"/>
      <c r="G5" s="929"/>
      <c r="H5" s="1093"/>
      <c r="I5" s="929"/>
      <c r="J5" s="1093"/>
      <c r="K5" s="929"/>
      <c r="X5" s="846">
        <v>11</v>
      </c>
    </row>
    <row customHeight="1" ht="1.05">
      <c r="C6" s="850"/>
      <c r="D6" s="850"/>
      <c r="E6" s="863"/>
      <c r="F6" s="955"/>
      <c r="G6" s="1363"/>
      <c r="H6" s="1363"/>
      <c r="I6" s="1363" t="s">
        <v>114</v>
      </c>
      <c r="J6" s="1363"/>
      <c r="X6" s="846">
        <v>1</v>
      </c>
    </row>
    <row customHeight="1" ht="11.549999999999999">
      <c r="D7" s="1052"/>
      <c r="E7" s="2708" t="s">
        <v>102</v>
      </c>
      <c r="F7" s="2709"/>
      <c r="G7" s="2734" t="str">
        <f>IF(G6="","",INDEX(DIFFERENTIATION_UNMERGE_VD,MATCH(G6,DIFFERENTIATION_ID_DIFF,0)))</f>
        <v/>
      </c>
      <c r="H7" s="2735"/>
      <c r="I7" s="2734">
        <f>IF(I6="","",INDEX(DIFFERENTIATION_UNMERGE_VD,MATCH(I6,DIFFERENTIATION_ID_DIFF,0)))</f>
        <v>0</v>
      </c>
      <c r="J7" s="2735"/>
      <c r="K7" s="2516"/>
      <c r="L7" s="850"/>
      <c r="X7" s="846">
        <v>11</v>
      </c>
    </row>
    <row customHeight="1" ht="11.549999999999999">
      <c r="A8" s="1045"/>
      <c r="D8" s="1052"/>
      <c r="E8" s="2708" t="s">
        <v>559</v>
      </c>
      <c r="F8" s="2709"/>
      <c r="G8" s="2734" t="str">
        <f>IF(G6="","",INDEX(DIFFERENTIATION_UNMERGE_AREA,MATCH(G6,DIFFERENTIATION_ID_DIFF,0)))</f>
        <v/>
      </c>
      <c r="H8" s="2735"/>
      <c r="I8" s="2734" t="str">
        <f>IF(I6="","",INDEX(DIFFERENTIATION_UNMERGE_AREA,MATCH(I6,DIFFERENTIATION_ID_DIFF,0)))</f>
        <v/>
      </c>
      <c r="J8" s="2735"/>
      <c r="K8" s="2540"/>
      <c r="L8" s="850"/>
      <c r="X8" s="846">
        <v>11</v>
      </c>
    </row>
    <row customHeight="1" ht="11.549999999999999">
      <c r="A9" s="1045"/>
      <c r="D9" s="1052"/>
      <c r="E9" s="2708" t="s">
        <v>560</v>
      </c>
      <c r="F9" s="2709"/>
      <c r="G9" s="2734" t="str">
        <f>IF(G6="","",INDEX(DIFFERENTIATION_UNMERGE_SYSTEM,MATCH(G6,DIFFERENTIATION_ID_DIFF,0)))</f>
        <v/>
      </c>
      <c r="H9" s="2735"/>
      <c r="I9" s="2734" t="str">
        <f>IF(I6="","",INDEX(DIFFERENTIATION_UNMERGE_SYSTEM,MATCH(I6,DIFFERENTIATION_ID_DIFF,0)))</f>
        <v>без дифференциации</v>
      </c>
      <c r="J9" s="2735"/>
      <c r="K9" s="2540"/>
      <c r="L9" s="850"/>
      <c r="X9" s="846">
        <v>11</v>
      </c>
    </row>
    <row s="17239" customFormat="1" customHeight="1" ht="11.549999999999999">
      <c r="A10" s="1362"/>
      <c r="B10" s="852"/>
      <c r="D10" s="2442" t="s">
        <v>295</v>
      </c>
      <c r="E10" s="2443"/>
      <c r="F10" s="2443"/>
      <c r="G10" s="2443"/>
      <c r="H10" s="2443"/>
      <c r="I10" s="2443"/>
      <c r="J10" s="2444"/>
      <c r="K10" s="2540"/>
      <c r="L10" s="850"/>
      <c r="X10" s="1099">
        <v>11</v>
      </c>
    </row>
    <row s="17239" customFormat="1" customHeight="1" ht="24">
      <c r="A11" s="2726"/>
      <c r="B11" s="2726"/>
      <c r="C11" s="998"/>
      <c r="D11" s="1044" t="s">
        <v>88</v>
      </c>
      <c r="E11" s="1046" t="s">
        <v>802</v>
      </c>
      <c r="F11" s="1046" t="s">
        <v>561</v>
      </c>
      <c r="G11" s="806" t="s">
        <v>298</v>
      </c>
      <c r="H11" s="806" t="s">
        <v>385</v>
      </c>
      <c r="I11" s="1148" t="s">
        <v>298</v>
      </c>
      <c r="J11" s="1149" t="s">
        <v>385</v>
      </c>
      <c r="K11" s="2573"/>
      <c r="L11" s="999"/>
      <c r="X11" s="850">
        <v>23</v>
      </c>
    </row>
    <row s="17316" customFormat="1" customHeight="1" ht="10.5">
      <c r="A12" s="1293"/>
      <c r="D12" s="1366" t="s">
        <v>106</v>
      </c>
      <c r="E12" s="1366" t="s">
        <v>107</v>
      </c>
      <c r="F12" s="1366" t="s">
        <v>90</v>
      </c>
      <c r="G12" s="1367" t="str">
        <f>G1&amp;".1"</f>
        <v>4.1</v>
      </c>
      <c r="H12" s="1367" t="str">
        <f>G1&amp;".2"</f>
        <v>4.2</v>
      </c>
      <c r="I12" s="1367" t="str">
        <f>I1&amp;".1"</f>
        <v>4.1</v>
      </c>
      <c r="J12" s="1367" t="str">
        <f>I1&amp;".2"</f>
        <v>4.2</v>
      </c>
      <c r="K12" s="1367"/>
      <c r="X12" s="852">
        <v>10</v>
      </c>
    </row>
    <row customHeight="1" ht="22.5">
      <c r="A13" s="2733" t="s">
        <v>803</v>
      </c>
      <c r="D13" s="1294" t="s">
        <v>106</v>
      </c>
      <c r="E13" s="620" t="s">
        <v>804</v>
      </c>
      <c r="F13" s="1001" t="s">
        <v>805</v>
      </c>
      <c r="G13" s="898"/>
      <c r="H13" s="1002"/>
      <c r="I13" s="898"/>
      <c r="J13" s="1002"/>
      <c r="K13" s="630" t="s">
        <v>806</v>
      </c>
      <c r="L13" s="1061"/>
      <c r="X13" s="846">
        <v>0</v>
      </c>
    </row>
    <row customHeight="1" ht="22.5">
      <c r="A14" s="2733"/>
      <c r="D14" s="880" t="s">
        <v>107</v>
      </c>
      <c r="E14" s="620" t="s">
        <v>807</v>
      </c>
      <c r="F14" s="1001" t="s">
        <v>808</v>
      </c>
      <c r="G14" s="898"/>
      <c r="H14" s="1003"/>
      <c r="I14" s="898"/>
      <c r="J14" s="1003"/>
      <c r="K14" s="630" t="s">
        <v>809</v>
      </c>
      <c r="L14" s="1061"/>
      <c r="X14" s="846">
        <v>0</v>
      </c>
    </row>
    <row s="17239" customFormat="1" customHeight="1" ht="78.75">
      <c r="A15" s="2733"/>
      <c r="B15" s="852"/>
      <c r="D15" s="1294" t="s">
        <v>90</v>
      </c>
      <c r="E15" s="1048" t="s">
        <v>810</v>
      </c>
      <c r="F15" s="1291" t="s">
        <v>301</v>
      </c>
      <c r="G15" s="1291" t="s">
        <v>301</v>
      </c>
      <c r="H15" s="447"/>
      <c r="I15" s="1291" t="s">
        <v>301</v>
      </c>
      <c r="J15" s="447"/>
      <c r="K15" s="630" t="s">
        <v>811</v>
      </c>
      <c r="L15" s="1061"/>
      <c r="X15" s="1099">
        <v>0</v>
      </c>
    </row>
    <row s="17239" customFormat="1" customHeight="1" ht="22.5">
      <c r="A16" s="2733"/>
      <c r="B16" s="852"/>
      <c r="D16" s="1294" t="s">
        <v>319</v>
      </c>
      <c r="E16" s="1295" t="s">
        <v>812</v>
      </c>
      <c r="F16" s="1291" t="s">
        <v>813</v>
      </c>
      <c r="G16" s="1158"/>
      <c r="H16" s="447"/>
      <c r="I16" s="1158"/>
      <c r="J16" s="447"/>
      <c r="K16" s="630"/>
      <c r="L16" s="1061"/>
      <c r="X16" s="1099">
        <v>0</v>
      </c>
    </row>
    <row s="17239" customFormat="1" customHeight="1" ht="22.5">
      <c r="A17" s="2733"/>
      <c r="B17" s="852"/>
      <c r="D17" s="1294" t="s">
        <v>327</v>
      </c>
      <c r="E17" s="1295" t="s">
        <v>814</v>
      </c>
      <c r="F17" s="1291" t="s">
        <v>815</v>
      </c>
      <c r="G17" s="1158"/>
      <c r="H17" s="447"/>
      <c r="I17" s="1158"/>
      <c r="J17" s="447"/>
      <c r="K17" s="630"/>
      <c r="L17" s="1061"/>
      <c r="X17" s="1099">
        <v>0</v>
      </c>
    </row>
    <row s="17239" customFormat="1" customHeight="1" ht="33.75">
      <c r="A18" s="2733"/>
      <c r="B18" s="852"/>
      <c r="D18" s="1294" t="s">
        <v>329</v>
      </c>
      <c r="E18" s="1295" t="s">
        <v>816</v>
      </c>
      <c r="F18" s="1291" t="s">
        <v>566</v>
      </c>
      <c r="G18" s="1021"/>
      <c r="H18" s="447"/>
      <c r="I18" s="1021"/>
      <c r="J18" s="447"/>
      <c r="K18" s="630"/>
      <c r="L18" s="1061"/>
      <c r="X18" s="1099">
        <v>0</v>
      </c>
    </row>
    <row customHeight="1" ht="101.25">
      <c r="A19" s="2733"/>
      <c r="D19" s="1294" t="s">
        <v>91</v>
      </c>
      <c r="E19" s="620" t="s">
        <v>817</v>
      </c>
      <c r="F19" s="1001" t="s">
        <v>541</v>
      </c>
      <c r="G19" s="1004"/>
      <c r="H19" s="1003"/>
      <c r="I19" s="1296"/>
      <c r="J19" s="1003"/>
      <c r="K19" s="630" t="s">
        <v>818</v>
      </c>
      <c r="L19" s="1061"/>
      <c r="X19" s="846">
        <v>0</v>
      </c>
    </row>
    <row s="17239" customFormat="1" customHeight="1" ht="18.75">
      <c r="A20" s="2733"/>
      <c r="C20" s="1297"/>
      <c r="D20" s="1294" t="s">
        <v>749</v>
      </c>
      <c r="E20" s="1295" t="s">
        <v>819</v>
      </c>
      <c r="F20" s="1291" t="s">
        <v>301</v>
      </c>
      <c r="G20" s="1291" t="s">
        <v>301</v>
      </c>
      <c r="H20" s="1290" t="s">
        <v>301</v>
      </c>
      <c r="I20" s="1291" t="s">
        <v>301</v>
      </c>
      <c r="J20" s="1290" t="s">
        <v>301</v>
      </c>
      <c r="K20" s="1289"/>
      <c r="L20" s="1061"/>
      <c r="W20" s="1016"/>
      <c r="X20" s="1099">
        <v>0</v>
      </c>
    </row>
    <row s="17239" customFormat="1" customHeight="1" ht="33.75">
      <c r="A21" s="2733"/>
      <c r="C21" s="1297"/>
      <c r="D21" s="1294" t="s">
        <v>752</v>
      </c>
      <c r="E21" s="917" t="s">
        <v>820</v>
      </c>
      <c r="F21" s="1291" t="s">
        <v>821</v>
      </c>
      <c r="G21" s="1021"/>
      <c r="H21" s="447"/>
      <c r="I21" s="1021"/>
      <c r="J21" s="447"/>
      <c r="K21" s="1289"/>
      <c r="L21" s="1061"/>
      <c r="W21" s="1016"/>
      <c r="X21" s="1099">
        <v>0</v>
      </c>
    </row>
    <row s="17239" customFormat="1" customHeight="1" ht="33.75">
      <c r="A22" s="2733"/>
      <c r="C22" s="1297"/>
      <c r="D22" s="1294" t="s">
        <v>755</v>
      </c>
      <c r="E22" s="917" t="s">
        <v>822</v>
      </c>
      <c r="F22" s="1291" t="s">
        <v>823</v>
      </c>
      <c r="G22" s="1021"/>
      <c r="H22" s="447"/>
      <c r="I22" s="1021"/>
      <c r="J22" s="447"/>
      <c r="K22" s="1289"/>
      <c r="L22" s="1061"/>
      <c r="W22" s="1016"/>
      <c r="X22" s="1099">
        <v>0</v>
      </c>
    </row>
    <row s="17239" customFormat="1" customHeight="1" ht="22.5">
      <c r="A23" s="2733"/>
      <c r="C23" s="1297"/>
      <c r="D23" s="1294" t="s">
        <v>791</v>
      </c>
      <c r="E23" s="1295" t="s">
        <v>824</v>
      </c>
      <c r="F23" s="1291" t="s">
        <v>301</v>
      </c>
      <c r="G23" s="1291" t="s">
        <v>301</v>
      </c>
      <c r="H23" s="1290" t="s">
        <v>301</v>
      </c>
      <c r="I23" s="1291" t="s">
        <v>301</v>
      </c>
      <c r="J23" s="1290" t="s">
        <v>301</v>
      </c>
      <c r="K23" s="1289"/>
      <c r="L23" s="1061"/>
      <c r="W23" s="1016"/>
      <c r="X23" s="1099">
        <v>0</v>
      </c>
    </row>
    <row s="17239" customFormat="1" customHeight="1" ht="22.5">
      <c r="A24" s="2733"/>
      <c r="C24" s="1297"/>
      <c r="D24" s="1294" t="s">
        <v>825</v>
      </c>
      <c r="E24" s="917" t="s">
        <v>826</v>
      </c>
      <c r="F24" s="1291" t="s">
        <v>827</v>
      </c>
      <c r="G24" s="1021"/>
      <c r="H24" s="1027"/>
      <c r="I24" s="1021"/>
      <c r="J24" s="1027"/>
      <c r="K24" s="1289"/>
      <c r="L24" s="1061"/>
      <c r="W24" s="1016"/>
      <c r="X24" s="1099">
        <v>0</v>
      </c>
    </row>
    <row s="17239" customFormat="1" customHeight="1" ht="22.5">
      <c r="A25" s="2733"/>
      <c r="C25" s="1297"/>
      <c r="D25" s="1294" t="s">
        <v>828</v>
      </c>
      <c r="E25" s="917" t="s">
        <v>829</v>
      </c>
      <c r="F25" s="1291" t="s">
        <v>301</v>
      </c>
      <c r="G25" s="1291" t="s">
        <v>301</v>
      </c>
      <c r="H25" s="1290" t="s">
        <v>301</v>
      </c>
      <c r="I25" s="1291" t="s">
        <v>301</v>
      </c>
      <c r="J25" s="1290" t="s">
        <v>301</v>
      </c>
      <c r="K25" s="1289"/>
      <c r="L25" s="1061"/>
      <c r="W25" s="1016"/>
      <c r="X25" s="1099">
        <v>0</v>
      </c>
    </row>
    <row s="17239" customFormat="1" customHeight="1" ht="18.75">
      <c r="A26" s="2733"/>
      <c r="C26" s="1297"/>
      <c r="D26" s="1294" t="s">
        <v>830</v>
      </c>
      <c r="E26" s="894" t="s">
        <v>831</v>
      </c>
      <c r="F26" s="1291" t="s">
        <v>832</v>
      </c>
      <c r="G26" s="1021"/>
      <c r="H26" s="1027"/>
      <c r="I26" s="1021"/>
      <c r="J26" s="1027"/>
      <c r="K26" s="1289"/>
      <c r="L26" s="1061"/>
      <c r="W26" s="1016"/>
      <c r="X26" s="1099">
        <v>0</v>
      </c>
    </row>
    <row s="17239" customFormat="1" customHeight="1" ht="18.75">
      <c r="A27" s="2733"/>
      <c r="C27" s="1297"/>
      <c r="D27" s="1294" t="s">
        <v>833</v>
      </c>
      <c r="E27" s="894" t="s">
        <v>834</v>
      </c>
      <c r="F27" s="1291" t="s">
        <v>835</v>
      </c>
      <c r="G27" s="1021"/>
      <c r="H27" s="1027"/>
      <c r="I27" s="1021"/>
      <c r="J27" s="1027"/>
      <c r="K27" s="1289"/>
      <c r="L27" s="1061"/>
      <c r="W27" s="1016"/>
      <c r="X27" s="1099">
        <v>0</v>
      </c>
    </row>
    <row s="17239" customFormat="1" customHeight="1" ht="18.75">
      <c r="A28" s="2733"/>
      <c r="C28" s="1297"/>
      <c r="D28" s="1294" t="s">
        <v>836</v>
      </c>
      <c r="E28" s="917" t="s">
        <v>837</v>
      </c>
      <c r="F28" s="1291" t="s">
        <v>301</v>
      </c>
      <c r="G28" s="1291" t="s">
        <v>301</v>
      </c>
      <c r="H28" s="1290" t="s">
        <v>301</v>
      </c>
      <c r="I28" s="1291" t="s">
        <v>301</v>
      </c>
      <c r="J28" s="1290" t="s">
        <v>301</v>
      </c>
      <c r="K28" s="1289"/>
      <c r="L28" s="1061"/>
      <c r="W28" s="1016"/>
      <c r="X28" s="1099">
        <v>0</v>
      </c>
    </row>
    <row s="17239" customFormat="1" customHeight="1" ht="18.75">
      <c r="A29" s="2733"/>
      <c r="C29" s="1297"/>
      <c r="D29" s="1294" t="s">
        <v>838</v>
      </c>
      <c r="E29" s="894" t="s">
        <v>831</v>
      </c>
      <c r="F29" s="1291" t="s">
        <v>839</v>
      </c>
      <c r="G29" s="1021"/>
      <c r="H29" s="1027"/>
      <c r="I29" s="1021"/>
      <c r="J29" s="1027"/>
      <c r="K29" s="1289"/>
      <c r="L29" s="1061"/>
      <c r="W29" s="1016"/>
      <c r="X29" s="1099">
        <v>0</v>
      </c>
    </row>
    <row s="17239" customFormat="1" customHeight="1" ht="18.75">
      <c r="A30" s="2733"/>
      <c r="C30" s="1297"/>
      <c r="D30" s="1294" t="s">
        <v>840</v>
      </c>
      <c r="E30" s="894" t="s">
        <v>841</v>
      </c>
      <c r="F30" s="1291" t="s">
        <v>842</v>
      </c>
      <c r="G30" s="1021"/>
      <c r="H30" s="1027"/>
      <c r="I30" s="1021"/>
      <c r="J30" s="1027"/>
      <c r="K30" s="1289"/>
      <c r="L30" s="1061"/>
      <c r="W30" s="1016"/>
      <c r="X30" s="1099">
        <v>0</v>
      </c>
    </row>
    <row customHeight="1" ht="126.75">
      <c r="A31" s="2733"/>
      <c r="D31" s="1294" t="s">
        <v>108</v>
      </c>
      <c r="E31" s="620" t="s">
        <v>843</v>
      </c>
      <c r="F31" s="1001" t="s">
        <v>553</v>
      </c>
      <c r="G31" s="898"/>
      <c r="H31" s="1003"/>
      <c r="I31" s="898"/>
      <c r="J31" s="1003"/>
      <c r="K31" s="630" t="s">
        <v>844</v>
      </c>
      <c r="L31" s="1061"/>
      <c r="X31" s="846">
        <v>0</v>
      </c>
    </row>
    <row customHeight="1" ht="56.25">
      <c r="A32" s="2733"/>
      <c r="D32" s="1294" t="s">
        <v>92</v>
      </c>
      <c r="E32" s="620" t="s">
        <v>845</v>
      </c>
      <c r="F32" s="880" t="s">
        <v>815</v>
      </c>
      <c r="G32" s="898"/>
      <c r="H32" s="1003"/>
      <c r="I32" s="898"/>
      <c r="J32" s="1003"/>
      <c r="K32" s="630" t="s">
        <v>846</v>
      </c>
      <c r="L32" s="1061"/>
      <c r="X32" s="846">
        <v>0</v>
      </c>
    </row>
    <row customHeight="1" ht="11.25">
      <c r="A33" s="2733"/>
      <c r="E33" s="1005"/>
      <c r="F33" s="522"/>
      <c r="G33" s="522"/>
      <c r="H33" s="522"/>
      <c r="I33" s="522"/>
      <c r="J33" s="522"/>
      <c r="K33" s="522"/>
      <c r="X33" s="846">
        <v>0</v>
      </c>
    </row>
    <row customHeight="1" ht="12.75">
      <c r="A34" s="2733"/>
      <c r="D34" s="406">
        <v>1</v>
      </c>
      <c r="E34" s="676" t="s">
        <v>847</v>
      </c>
      <c r="X34" s="846">
        <v>0</v>
      </c>
    </row>
    <row customHeight="1" ht="11.25">
      <c r="A35" s="2733"/>
      <c r="D35" s="710"/>
      <c r="E35" s="676" t="s">
        <v>848</v>
      </c>
      <c r="X35" s="846">
        <v>0</v>
      </c>
    </row>
    <row s="17239" customFormat="1" customHeight="1" ht="11.549999999999999">
      <c r="A36" s="1374"/>
      <c r="B36" s="859"/>
      <c r="D36" s="1375"/>
      <c r="E36" s="1376"/>
      <c r="X36" s="850">
        <v>11</v>
      </c>
    </row>
    <row s="17239" customFormat="1" customHeight="1" ht="22.5" hidden="1">
      <c r="A37" s="2733" t="s">
        <v>849</v>
      </c>
      <c r="B37" s="852"/>
      <c r="D37" s="1294">
        <v>1</v>
      </c>
      <c r="E37" s="1048" t="s">
        <v>850</v>
      </c>
      <c r="F37" s="1001" t="s">
        <v>805</v>
      </c>
      <c r="G37" s="898"/>
      <c r="H37" s="860"/>
      <c r="I37" s="898"/>
      <c r="J37" s="860"/>
      <c r="K37" s="630" t="s">
        <v>851</v>
      </c>
      <c r="X37" s="1099">
        <v>0</v>
      </c>
    </row>
    <row s="17239" customFormat="1" customHeight="1" ht="22.5" hidden="1">
      <c r="A38" s="2733"/>
      <c r="B38" s="852"/>
      <c r="D38" s="1010" t="s">
        <v>107</v>
      </c>
      <c r="E38" s="1373" t="s">
        <v>852</v>
      </c>
      <c r="F38" s="1377" t="s">
        <v>541</v>
      </c>
      <c r="G38" s="1377" t="s">
        <v>541</v>
      </c>
      <c r="H38" s="1371"/>
      <c r="I38" s="1377" t="s">
        <v>541</v>
      </c>
      <c r="J38" s="1371"/>
      <c r="K38" s="1372"/>
      <c r="X38" s="1099">
        <v>0</v>
      </c>
    </row>
    <row s="17239" customFormat="1" customHeight="1" ht="33.75" hidden="1">
      <c r="A39" s="2733"/>
      <c r="B39" s="852"/>
      <c r="D39" s="1006" t="s">
        <v>707</v>
      </c>
      <c r="E39" s="1064" t="s">
        <v>853</v>
      </c>
      <c r="F39" s="1001" t="s">
        <v>854</v>
      </c>
      <c r="G39" s="1009"/>
      <c r="H39" s="1364"/>
      <c r="I39" s="1009"/>
      <c r="J39" s="1364"/>
      <c r="K39" s="630" t="s">
        <v>855</v>
      </c>
      <c r="X39" s="1099">
        <v>0</v>
      </c>
    </row>
    <row s="17239" customFormat="1" customHeight="1" ht="33.75" hidden="1">
      <c r="A40" s="2733"/>
      <c r="B40" s="852"/>
      <c r="D40" s="1006" t="s">
        <v>710</v>
      </c>
      <c r="E40" s="1064" t="s">
        <v>856</v>
      </c>
      <c r="F40" s="1368" t="s">
        <v>857</v>
      </c>
      <c r="G40" s="1082"/>
      <c r="H40" s="1364"/>
      <c r="I40" s="1082"/>
      <c r="J40" s="1364"/>
      <c r="K40" s="630" t="s">
        <v>858</v>
      </c>
      <c r="X40" s="1099">
        <v>0</v>
      </c>
    </row>
    <row s="17239" customFormat="1" customHeight="1" ht="22.5" hidden="1">
      <c r="A41" s="2733"/>
      <c r="B41" s="852"/>
      <c r="D41" s="1006" t="s">
        <v>90</v>
      </c>
      <c r="E41" s="1063" t="s">
        <v>859</v>
      </c>
      <c r="F41" s="1001" t="s">
        <v>541</v>
      </c>
      <c r="G41" s="1001" t="s">
        <v>541</v>
      </c>
      <c r="H41" s="1365"/>
      <c r="I41" s="1001" t="s">
        <v>541</v>
      </c>
      <c r="J41" s="1365"/>
      <c r="K41" s="643"/>
      <c r="X41" s="1099">
        <v>0</v>
      </c>
    </row>
    <row s="17239" customFormat="1" customHeight="1" ht="45" hidden="1">
      <c r="A42" s="2733"/>
      <c r="B42" s="852"/>
      <c r="D42" s="1006" t="s">
        <v>319</v>
      </c>
      <c r="E42" s="1064" t="s">
        <v>860</v>
      </c>
      <c r="F42" s="1001" t="s">
        <v>553</v>
      </c>
      <c r="G42" s="898"/>
      <c r="H42" s="1365"/>
      <c r="I42" s="898"/>
      <c r="J42" s="1365"/>
      <c r="K42" s="643" t="s">
        <v>861</v>
      </c>
      <c r="X42" s="1099">
        <v>0</v>
      </c>
    </row>
    <row s="17239" customFormat="1" customHeight="1" ht="45" hidden="1">
      <c r="A43" s="2733"/>
      <c r="B43" s="852"/>
      <c r="D43" s="1006" t="s">
        <v>327</v>
      </c>
      <c r="E43" s="1008" t="s">
        <v>862</v>
      </c>
      <c r="F43" s="1369" t="s">
        <v>553</v>
      </c>
      <c r="G43" s="1083"/>
      <c r="H43" s="1364"/>
      <c r="I43" s="1083"/>
      <c r="J43" s="1364"/>
      <c r="K43" s="643" t="s">
        <v>863</v>
      </c>
      <c r="X43" s="1099">
        <v>0</v>
      </c>
    </row>
    <row s="17239" customFormat="1" customHeight="1" ht="11.25" hidden="1">
      <c r="A44" s="2733"/>
      <c r="B44" s="852"/>
      <c r="D44" s="1006" t="s">
        <v>91</v>
      </c>
      <c r="E44" s="1007" t="s">
        <v>864</v>
      </c>
      <c r="F44" s="1001" t="s">
        <v>854</v>
      </c>
      <c r="G44" s="1009"/>
      <c r="H44" s="1364"/>
      <c r="I44" s="1009"/>
      <c r="J44" s="1364"/>
      <c r="K44" s="630"/>
      <c r="X44" s="1099">
        <v>0</v>
      </c>
    </row>
    <row s="17239" customFormat="1" customHeight="1" ht="11.25" hidden="1">
      <c r="A45" s="2733"/>
      <c r="B45" s="852"/>
      <c r="D45" s="1006" t="s">
        <v>749</v>
      </c>
      <c r="E45" s="1008" t="s">
        <v>865</v>
      </c>
      <c r="F45" s="1001" t="s">
        <v>854</v>
      </c>
      <c r="G45" s="1009"/>
      <c r="H45" s="1364"/>
      <c r="I45" s="1009"/>
      <c r="J45" s="1364"/>
      <c r="K45" s="630"/>
      <c r="X45" s="1099">
        <v>0</v>
      </c>
    </row>
    <row s="17239" customFormat="1" customHeight="1" ht="11.25" hidden="1">
      <c r="A46" s="2733"/>
      <c r="B46" s="852"/>
      <c r="D46" s="1006" t="s">
        <v>791</v>
      </c>
      <c r="E46" s="1008" t="s">
        <v>866</v>
      </c>
      <c r="F46" s="1001" t="s">
        <v>854</v>
      </c>
      <c r="G46" s="1009"/>
      <c r="H46" s="1364"/>
      <c r="I46" s="1009"/>
      <c r="J46" s="1364"/>
      <c r="K46" s="630"/>
      <c r="X46" s="1099">
        <v>0</v>
      </c>
    </row>
    <row s="17239" customFormat="1" customHeight="1" ht="11.25" hidden="1">
      <c r="A47" s="2733"/>
      <c r="B47" s="852"/>
      <c r="D47" s="1006" t="s">
        <v>794</v>
      </c>
      <c r="E47" s="1008" t="s">
        <v>867</v>
      </c>
      <c r="F47" s="1001" t="s">
        <v>854</v>
      </c>
      <c r="G47" s="1009"/>
      <c r="H47" s="1364"/>
      <c r="I47" s="1009"/>
      <c r="J47" s="1364"/>
      <c r="K47" s="630"/>
      <c r="X47" s="1099">
        <v>0</v>
      </c>
    </row>
    <row s="17239" customFormat="1" customHeight="1" ht="11.25" hidden="1">
      <c r="A48" s="2733"/>
      <c r="B48" s="852"/>
      <c r="D48" s="1006" t="s">
        <v>868</v>
      </c>
      <c r="E48" s="1012" t="s">
        <v>869</v>
      </c>
      <c r="F48" s="1001" t="s">
        <v>854</v>
      </c>
      <c r="G48" s="1009"/>
      <c r="H48" s="1364"/>
      <c r="I48" s="1009"/>
      <c r="J48" s="1364"/>
      <c r="K48" s="630"/>
      <c r="X48" s="1099">
        <v>0</v>
      </c>
    </row>
    <row s="17239" customFormat="1" customHeight="1" ht="11.25" hidden="1">
      <c r="A49" s="2733"/>
      <c r="B49" s="852"/>
      <c r="D49" s="1006" t="s">
        <v>870</v>
      </c>
      <c r="E49" s="1012" t="s">
        <v>871</v>
      </c>
      <c r="F49" s="1001" t="s">
        <v>854</v>
      </c>
      <c r="G49" s="1009"/>
      <c r="H49" s="1364"/>
      <c r="I49" s="1009"/>
      <c r="J49" s="1364"/>
      <c r="K49" s="630"/>
      <c r="X49" s="1099">
        <v>0</v>
      </c>
    </row>
    <row s="17239" customFormat="1" customHeight="1" ht="11.25" hidden="1">
      <c r="A50" s="2733"/>
      <c r="B50" s="852"/>
      <c r="D50" s="1006" t="s">
        <v>872</v>
      </c>
      <c r="E50" s="1008" t="s">
        <v>873</v>
      </c>
      <c r="F50" s="1001" t="s">
        <v>854</v>
      </c>
      <c r="G50" s="1009"/>
      <c r="H50" s="1364"/>
      <c r="I50" s="1009"/>
      <c r="J50" s="1364"/>
      <c r="K50" s="630"/>
      <c r="X50" s="1099">
        <v>0</v>
      </c>
    </row>
    <row s="17239" customFormat="1" customHeight="1" ht="11.25" hidden="1">
      <c r="A51" s="2733"/>
      <c r="B51" s="852"/>
      <c r="D51" s="1006" t="s">
        <v>874</v>
      </c>
      <c r="E51" s="1008" t="s">
        <v>875</v>
      </c>
      <c r="F51" s="1001" t="s">
        <v>854</v>
      </c>
      <c r="G51" s="1009"/>
      <c r="H51" s="1364"/>
      <c r="I51" s="1009"/>
      <c r="J51" s="1364"/>
      <c r="K51" s="630"/>
      <c r="X51" s="1099">
        <v>0</v>
      </c>
    </row>
    <row s="17239" customFormat="1" customHeight="1" ht="45" hidden="1">
      <c r="A52" s="2733"/>
      <c r="B52" s="852"/>
      <c r="D52" s="1006" t="s">
        <v>108</v>
      </c>
      <c r="E52" s="1007" t="s">
        <v>876</v>
      </c>
      <c r="F52" s="1001" t="s">
        <v>854</v>
      </c>
      <c r="G52" s="1009"/>
      <c r="H52" s="1364"/>
      <c r="I52" s="1009"/>
      <c r="J52" s="1364"/>
      <c r="K52" s="630"/>
      <c r="X52" s="1099">
        <v>0</v>
      </c>
    </row>
    <row s="17239" customFormat="1" customHeight="1" ht="11.25" hidden="1">
      <c r="A53" s="2733"/>
      <c r="B53" s="852"/>
      <c r="D53" s="1006" t="s">
        <v>308</v>
      </c>
      <c r="E53" s="1008" t="s">
        <v>865</v>
      </c>
      <c r="F53" s="1001" t="s">
        <v>854</v>
      </c>
      <c r="G53" s="1009"/>
      <c r="H53" s="1364"/>
      <c r="I53" s="1009"/>
      <c r="J53" s="1364"/>
      <c r="K53" s="630"/>
      <c r="X53" s="1099">
        <v>0</v>
      </c>
    </row>
    <row s="17239" customFormat="1" customHeight="1" ht="11.25" hidden="1">
      <c r="A54" s="2733"/>
      <c r="B54" s="852"/>
      <c r="D54" s="1006" t="s">
        <v>877</v>
      </c>
      <c r="E54" s="1008" t="s">
        <v>866</v>
      </c>
      <c r="F54" s="1001" t="s">
        <v>854</v>
      </c>
      <c r="G54" s="1009"/>
      <c r="H54" s="1364"/>
      <c r="I54" s="1009"/>
      <c r="J54" s="1364"/>
      <c r="K54" s="630"/>
      <c r="X54" s="1099">
        <v>0</v>
      </c>
    </row>
    <row s="17239" customFormat="1" customHeight="1" ht="11.25" hidden="1">
      <c r="A55" s="2733"/>
      <c r="B55" s="852"/>
      <c r="D55" s="1006" t="s">
        <v>878</v>
      </c>
      <c r="E55" s="1008" t="s">
        <v>867</v>
      </c>
      <c r="F55" s="1001" t="s">
        <v>854</v>
      </c>
      <c r="G55" s="1009"/>
      <c r="H55" s="1364"/>
      <c r="I55" s="1009"/>
      <c r="J55" s="1364"/>
      <c r="K55" s="630"/>
      <c r="X55" s="1099">
        <v>0</v>
      </c>
    </row>
    <row s="17239" customFormat="1" customHeight="1" ht="11.25" hidden="1">
      <c r="A56" s="2733"/>
      <c r="B56" s="852"/>
      <c r="D56" s="1006" t="s">
        <v>879</v>
      </c>
      <c r="E56" s="1012" t="s">
        <v>869</v>
      </c>
      <c r="F56" s="1001" t="s">
        <v>854</v>
      </c>
      <c r="G56" s="1009"/>
      <c r="H56" s="1364"/>
      <c r="I56" s="1009"/>
      <c r="J56" s="1364"/>
      <c r="K56" s="630"/>
      <c r="X56" s="1099">
        <v>0</v>
      </c>
    </row>
    <row s="17239" customFormat="1" customHeight="1" ht="11.25" hidden="1">
      <c r="A57" s="2733"/>
      <c r="B57" s="852"/>
      <c r="D57" s="1006" t="s">
        <v>880</v>
      </c>
      <c r="E57" s="1012" t="s">
        <v>871</v>
      </c>
      <c r="F57" s="1001" t="s">
        <v>854</v>
      </c>
      <c r="G57" s="1009"/>
      <c r="H57" s="1364"/>
      <c r="I57" s="1009"/>
      <c r="J57" s="1364"/>
      <c r="K57" s="630"/>
      <c r="X57" s="1099">
        <v>0</v>
      </c>
    </row>
    <row s="17239" customFormat="1" customHeight="1" ht="11.25" hidden="1">
      <c r="A58" s="2733"/>
      <c r="B58" s="852"/>
      <c r="D58" s="1006" t="s">
        <v>881</v>
      </c>
      <c r="E58" s="1008" t="s">
        <v>873</v>
      </c>
      <c r="F58" s="1001" t="s">
        <v>854</v>
      </c>
      <c r="G58" s="1009"/>
      <c r="H58" s="1364"/>
      <c r="I58" s="1009"/>
      <c r="J58" s="1364"/>
      <c r="K58" s="630"/>
      <c r="X58" s="1099">
        <v>0</v>
      </c>
    </row>
    <row s="17239" customFormat="1" customHeight="1" ht="11.25" hidden="1">
      <c r="A59" s="2733"/>
      <c r="B59" s="852"/>
      <c r="D59" s="1006" t="s">
        <v>882</v>
      </c>
      <c r="E59" s="1008" t="s">
        <v>875</v>
      </c>
      <c r="F59" s="1001" t="s">
        <v>854</v>
      </c>
      <c r="G59" s="1009"/>
      <c r="H59" s="1364"/>
      <c r="I59" s="1009"/>
      <c r="J59" s="1364"/>
      <c r="K59" s="630"/>
      <c r="X59" s="1099">
        <v>0</v>
      </c>
    </row>
    <row s="17239" customFormat="1" customHeight="1" ht="33.75" hidden="1">
      <c r="A60" s="2733"/>
      <c r="B60" s="852"/>
      <c r="D60" s="1006" t="s">
        <v>92</v>
      </c>
      <c r="E60" s="1007" t="s">
        <v>883</v>
      </c>
      <c r="F60" s="1062" t="s">
        <v>553</v>
      </c>
      <c r="G60" s="1083"/>
      <c r="H60" s="1364"/>
      <c r="I60" s="1083"/>
      <c r="J60" s="1364"/>
      <c r="K60" s="643" t="s">
        <v>884</v>
      </c>
      <c r="X60" s="1099">
        <v>0</v>
      </c>
    </row>
    <row s="17239" customFormat="1" customHeight="1" ht="33.75" hidden="1">
      <c r="A61" s="2733"/>
      <c r="B61" s="852"/>
      <c r="D61" s="1006" t="s">
        <v>93</v>
      </c>
      <c r="E61" s="1007" t="s">
        <v>885</v>
      </c>
      <c r="F61" s="1067" t="s">
        <v>815</v>
      </c>
      <c r="G61" s="1009"/>
      <c r="H61" s="1364"/>
      <c r="I61" s="1009"/>
      <c r="J61" s="1364"/>
      <c r="K61" s="630"/>
      <c r="X61" s="1099">
        <v>0</v>
      </c>
    </row>
    <row s="17239" customFormat="1" customHeight="1" ht="22.5" hidden="1">
      <c r="A62" s="2733"/>
      <c r="B62" s="852" t="s">
        <v>583</v>
      </c>
      <c r="D62" s="1006" t="s">
        <v>109</v>
      </c>
      <c r="E62" s="1007" t="s">
        <v>886</v>
      </c>
      <c r="F62" s="1067" t="s">
        <v>301</v>
      </c>
      <c r="G62" s="723"/>
      <c r="H62" s="1364"/>
      <c r="I62" s="723"/>
      <c r="J62" s="1364"/>
      <c r="K62" s="630" t="s">
        <v>626</v>
      </c>
      <c r="X62" s="1099">
        <v>0</v>
      </c>
    </row>
    <row s="17239" customFormat="1" customHeight="1" ht="45" hidden="1">
      <c r="A63" s="2733"/>
      <c r="B63" s="852" t="s">
        <v>583</v>
      </c>
      <c r="D63" s="1006" t="s">
        <v>887</v>
      </c>
      <c r="E63" s="1008" t="s">
        <v>888</v>
      </c>
      <c r="F63" s="1062" t="s">
        <v>301</v>
      </c>
      <c r="G63" s="723"/>
      <c r="H63" s="1364"/>
      <c r="I63" s="723"/>
      <c r="J63" s="1364"/>
      <c r="K63" s="630" t="s">
        <v>626</v>
      </c>
      <c r="X63" s="1099">
        <v>0</v>
      </c>
    </row>
    <row s="17239" customFormat="1" customHeight="1" ht="11.549999999999999">
      <c r="A64" s="1374"/>
      <c r="B64" s="859"/>
      <c r="D64" s="1375"/>
      <c r="E64" s="1376"/>
      <c r="X64" s="850">
        <v>11</v>
      </c>
    </row>
    <row s="17239" customFormat="1" customHeight="1" ht="22.5" hidden="1">
      <c r="A65" s="2733" t="s">
        <v>889</v>
      </c>
      <c r="B65" s="852"/>
      <c r="D65" s="1006">
        <v>1</v>
      </c>
      <c r="E65" s="1085" t="s">
        <v>890</v>
      </c>
      <c r="F65" s="1081" t="s">
        <v>805</v>
      </c>
      <c r="G65" s="1082"/>
      <c r="H65" s="1370"/>
      <c r="I65" s="1082"/>
      <c r="J65" s="1370"/>
      <c r="K65" s="642" t="s">
        <v>891</v>
      </c>
      <c r="X65" s="1099">
        <v>0</v>
      </c>
    </row>
    <row s="17239" customFormat="1" customHeight="1" ht="56.25" hidden="1">
      <c r="A66" s="2733"/>
      <c r="B66" s="852"/>
      <c r="D66" s="1084" t="s">
        <v>107</v>
      </c>
      <c r="E66" s="1048" t="s">
        <v>892</v>
      </c>
      <c r="F66" s="1001" t="s">
        <v>541</v>
      </c>
      <c r="G66" s="1001" t="s">
        <v>541</v>
      </c>
      <c r="H66" s="860"/>
      <c r="I66" s="1001" t="s">
        <v>541</v>
      </c>
      <c r="J66" s="860"/>
      <c r="K66" s="630"/>
      <c r="X66" s="1099">
        <v>0</v>
      </c>
    </row>
    <row s="17239" customFormat="1" customHeight="1" ht="33.75" hidden="1">
      <c r="A67" s="2733"/>
      <c r="B67" s="852"/>
      <c r="D67" s="1084" t="s">
        <v>704</v>
      </c>
      <c r="E67" s="1295" t="s">
        <v>893</v>
      </c>
      <c r="F67" s="1001" t="s">
        <v>857</v>
      </c>
      <c r="G67" s="1068"/>
      <c r="H67" s="860"/>
      <c r="I67" s="1068"/>
      <c r="J67" s="860"/>
      <c r="K67" s="630"/>
      <c r="X67" s="1099">
        <v>0</v>
      </c>
    </row>
    <row s="17239" customFormat="1" customHeight="1" ht="22.5" hidden="1">
      <c r="A68" s="2733"/>
      <c r="B68" s="852"/>
      <c r="D68" s="1084" t="s">
        <v>302</v>
      </c>
      <c r="E68" s="1295" t="s">
        <v>894</v>
      </c>
      <c r="F68" s="1001" t="s">
        <v>857</v>
      </c>
      <c r="G68" s="1068"/>
      <c r="H68" s="860"/>
      <c r="I68" s="1068"/>
      <c r="J68" s="860"/>
      <c r="K68" s="630"/>
      <c r="X68" s="1099">
        <v>0</v>
      </c>
    </row>
    <row s="17239" customFormat="1" customHeight="1" ht="22.5" hidden="1">
      <c r="A69" s="2733"/>
      <c r="B69" s="852"/>
      <c r="D69" s="1084" t="s">
        <v>305</v>
      </c>
      <c r="E69" s="1295" t="s">
        <v>895</v>
      </c>
      <c r="F69" s="1062" t="s">
        <v>553</v>
      </c>
      <c r="G69" s="1083"/>
      <c r="H69" s="860"/>
      <c r="I69" s="1083"/>
      <c r="J69" s="860"/>
      <c r="K69" s="630"/>
      <c r="X69" s="1099">
        <v>0</v>
      </c>
    </row>
    <row s="17239" customFormat="1" customHeight="1" ht="22.5" hidden="1">
      <c r="A70" s="2733"/>
      <c r="B70" s="852"/>
      <c r="D70" s="1084" t="s">
        <v>724</v>
      </c>
      <c r="E70" s="1295" t="s">
        <v>896</v>
      </c>
      <c r="F70" s="1062" t="s">
        <v>553</v>
      </c>
      <c r="G70" s="1083"/>
      <c r="H70" s="860"/>
      <c r="I70" s="1083"/>
      <c r="J70" s="860"/>
      <c r="K70" s="630"/>
      <c r="X70" s="1099">
        <v>0</v>
      </c>
    </row>
    <row s="17239" customFormat="1" customHeight="1" ht="22.5" hidden="1">
      <c r="A71" s="2733"/>
      <c r="B71" s="852"/>
      <c r="D71" s="1006" t="s">
        <v>90</v>
      </c>
      <c r="E71" s="1007" t="s">
        <v>897</v>
      </c>
      <c r="F71" s="1001" t="s">
        <v>857</v>
      </c>
      <c r="G71" s="898"/>
      <c r="H71" s="1371"/>
      <c r="I71" s="898"/>
      <c r="J71" s="1371"/>
      <c r="K71" s="643"/>
      <c r="X71" s="1099">
        <v>0</v>
      </c>
    </row>
    <row s="17239" customFormat="1" customHeight="1" ht="56.25" hidden="1">
      <c r="A72" s="2733"/>
      <c r="B72" s="852"/>
      <c r="D72" s="1006" t="s">
        <v>91</v>
      </c>
      <c r="E72" s="1007" t="s">
        <v>898</v>
      </c>
      <c r="F72" s="1062" t="s">
        <v>553</v>
      </c>
      <c r="G72" s="1083"/>
      <c r="H72" s="1364"/>
      <c r="I72" s="1083"/>
      <c r="J72" s="1364"/>
      <c r="K72" s="643"/>
      <c r="X72" s="1099">
        <v>0</v>
      </c>
    </row>
    <row s="17239" customFormat="1" customHeight="1" ht="33.75" hidden="1">
      <c r="A73" s="2733"/>
      <c r="B73" s="852"/>
      <c r="D73" s="1006" t="s">
        <v>108</v>
      </c>
      <c r="E73" s="1007" t="s">
        <v>899</v>
      </c>
      <c r="F73" s="1067" t="s">
        <v>815</v>
      </c>
      <c r="G73" s="1009"/>
      <c r="H73" s="1364"/>
      <c r="I73" s="1009"/>
      <c r="J73" s="1364"/>
      <c r="K73" s="630"/>
      <c r="X73" s="1099">
        <v>0</v>
      </c>
    </row>
    <row s="17239" customFormat="1" customHeight="1" ht="22.5" hidden="1">
      <c r="A74" s="2733"/>
      <c r="B74" s="852" t="s">
        <v>583</v>
      </c>
      <c r="D74" s="1006" t="s">
        <v>92</v>
      </c>
      <c r="E74" s="1007" t="s">
        <v>900</v>
      </c>
      <c r="F74" s="1067" t="s">
        <v>301</v>
      </c>
      <c r="G74" s="723"/>
      <c r="H74" s="1364"/>
      <c r="I74" s="723"/>
      <c r="J74" s="1364"/>
      <c r="K74" s="630" t="s">
        <v>626</v>
      </c>
      <c r="X74" s="1099">
        <v>0</v>
      </c>
    </row>
    <row s="17239" customFormat="1" customHeight="1" ht="45" hidden="1">
      <c r="A75" s="2733"/>
      <c r="B75" s="852" t="s">
        <v>583</v>
      </c>
      <c r="D75" s="1006" t="s">
        <v>647</v>
      </c>
      <c r="E75" s="1008" t="s">
        <v>901</v>
      </c>
      <c r="F75" s="1062" t="s">
        <v>301</v>
      </c>
      <c r="G75" s="723"/>
      <c r="H75" s="1364"/>
      <c r="I75" s="723"/>
      <c r="J75" s="1364"/>
      <c r="K75" s="630" t="s">
        <v>626</v>
      </c>
      <c r="X75" s="1099">
        <v>0</v>
      </c>
    </row>
    <row s="17239" customFormat="1" customHeight="1" ht="11.549999999999999">
      <c r="A76" s="1374"/>
      <c r="B76" s="859"/>
      <c r="D76" s="1375"/>
      <c r="E76" s="1376"/>
      <c r="X76" s="850">
        <v>11</v>
      </c>
    </row>
    <row s="17239" customFormat="1" customHeight="1" ht="11.25" hidden="1">
      <c r="A77" s="2733" t="s">
        <v>902</v>
      </c>
      <c r="B77" s="852"/>
      <c r="D77" s="1006">
        <v>1</v>
      </c>
      <c r="E77" s="1007" t="s">
        <v>903</v>
      </c>
      <c r="F77" s="1062" t="s">
        <v>805</v>
      </c>
      <c r="G77" s="1065"/>
      <c r="H77" s="1364"/>
      <c r="I77" s="1065"/>
      <c r="J77" s="1364"/>
      <c r="K77" s="630" t="s">
        <v>904</v>
      </c>
      <c r="X77" s="1099">
        <v>0</v>
      </c>
    </row>
    <row s="17239" customFormat="1" customHeight="1" ht="11.25" hidden="1">
      <c r="A78" s="2733"/>
      <c r="B78" s="852"/>
      <c r="D78" s="1006" t="s">
        <v>107</v>
      </c>
      <c r="E78" s="1007" t="s">
        <v>905</v>
      </c>
      <c r="F78" s="1062" t="s">
        <v>805</v>
      </c>
      <c r="G78" s="1065"/>
      <c r="H78" s="1364"/>
      <c r="I78" s="1065"/>
      <c r="J78" s="1364"/>
      <c r="K78" s="630" t="s">
        <v>906</v>
      </c>
      <c r="X78" s="1099">
        <v>0</v>
      </c>
    </row>
    <row s="17239" customFormat="1" customHeight="1" ht="22.5" hidden="1">
      <c r="A79" s="2733"/>
      <c r="B79" s="852"/>
      <c r="D79" s="1006" t="s">
        <v>90</v>
      </c>
      <c r="E79" s="1063" t="s">
        <v>907</v>
      </c>
      <c r="F79" s="1001" t="s">
        <v>854</v>
      </c>
      <c r="G79" s="1065"/>
      <c r="H79" s="1364"/>
      <c r="I79" s="1065"/>
      <c r="J79" s="1364"/>
      <c r="K79" s="630" t="s">
        <v>908</v>
      </c>
      <c r="X79" s="1099">
        <v>0</v>
      </c>
    </row>
    <row s="17239" customFormat="1" customHeight="1" ht="11.25" hidden="1">
      <c r="A80" s="2733"/>
      <c r="B80" s="852"/>
      <c r="D80" s="1006" t="s">
        <v>319</v>
      </c>
      <c r="E80" s="1064" t="s">
        <v>909</v>
      </c>
      <c r="F80" s="1001" t="s">
        <v>854</v>
      </c>
      <c r="G80" s="1065"/>
      <c r="H80" s="1364"/>
      <c r="I80" s="1065"/>
      <c r="J80" s="1364"/>
      <c r="K80" s="630"/>
      <c r="X80" s="1099">
        <v>0</v>
      </c>
    </row>
    <row s="17239" customFormat="1" customHeight="1" ht="11.25" hidden="1">
      <c r="A81" s="2733"/>
      <c r="B81" s="852"/>
      <c r="D81" s="1006" t="s">
        <v>327</v>
      </c>
      <c r="E81" s="1064" t="s">
        <v>910</v>
      </c>
      <c r="F81" s="1001" t="s">
        <v>854</v>
      </c>
      <c r="G81" s="1065"/>
      <c r="H81" s="1364"/>
      <c r="I81" s="1065"/>
      <c r="J81" s="1364"/>
      <c r="K81" s="630"/>
      <c r="X81" s="1099">
        <v>0</v>
      </c>
    </row>
    <row s="17239" customFormat="1" customHeight="1" ht="11.25" hidden="1">
      <c r="A82" s="2733"/>
      <c r="B82" s="852"/>
      <c r="D82" s="1006" t="s">
        <v>329</v>
      </c>
      <c r="E82" s="1064" t="s">
        <v>911</v>
      </c>
      <c r="F82" s="1001" t="s">
        <v>854</v>
      </c>
      <c r="G82" s="1065"/>
      <c r="H82" s="1364"/>
      <c r="I82" s="1065"/>
      <c r="J82" s="1364"/>
      <c r="K82" s="630"/>
      <c r="X82" s="1099">
        <v>0</v>
      </c>
    </row>
    <row s="17239" customFormat="1" customHeight="1" ht="11.25" hidden="1">
      <c r="A83" s="2733"/>
      <c r="B83" s="852"/>
      <c r="D83" s="1006" t="s">
        <v>331</v>
      </c>
      <c r="E83" s="1064" t="s">
        <v>912</v>
      </c>
      <c r="F83" s="1001" t="s">
        <v>854</v>
      </c>
      <c r="G83" s="1065"/>
      <c r="H83" s="1364"/>
      <c r="I83" s="1065"/>
      <c r="J83" s="1364"/>
      <c r="K83" s="630"/>
      <c r="X83" s="1099">
        <v>0</v>
      </c>
    </row>
    <row s="17239" customFormat="1" customHeight="1" ht="11.25" hidden="1">
      <c r="A84" s="2733"/>
      <c r="B84" s="852"/>
      <c r="D84" s="1006" t="s">
        <v>913</v>
      </c>
      <c r="E84" s="1064" t="s">
        <v>914</v>
      </c>
      <c r="F84" s="1001" t="s">
        <v>854</v>
      </c>
      <c r="G84" s="1065"/>
      <c r="H84" s="1364"/>
      <c r="I84" s="1065"/>
      <c r="J84" s="1364"/>
      <c r="K84" s="630"/>
      <c r="X84" s="1099">
        <v>0</v>
      </c>
    </row>
    <row s="17239" customFormat="1" customHeight="1" ht="11.25" hidden="1">
      <c r="A85" s="2733"/>
      <c r="B85" s="852"/>
      <c r="D85" s="1006" t="s">
        <v>915</v>
      </c>
      <c r="E85" s="1064" t="s">
        <v>916</v>
      </c>
      <c r="F85" s="1001" t="s">
        <v>854</v>
      </c>
      <c r="G85" s="1065"/>
      <c r="H85" s="1364"/>
      <c r="I85" s="1065"/>
      <c r="J85" s="1364"/>
      <c r="K85" s="630"/>
      <c r="X85" s="1099">
        <v>0</v>
      </c>
    </row>
    <row s="17239" customFormat="1" customHeight="1" ht="11.25" hidden="1">
      <c r="A86" s="2733"/>
      <c r="B86" s="852"/>
      <c r="D86" s="1006" t="s">
        <v>917</v>
      </c>
      <c r="E86" s="1064" t="s">
        <v>918</v>
      </c>
      <c r="F86" s="1001" t="s">
        <v>854</v>
      </c>
      <c r="G86" s="1065"/>
      <c r="H86" s="1364"/>
      <c r="I86" s="1065"/>
      <c r="J86" s="1364"/>
      <c r="K86" s="630"/>
      <c r="X86" s="1099">
        <v>0</v>
      </c>
    </row>
    <row s="17239" customFormat="1" customHeight="1" ht="45" hidden="1">
      <c r="A87" s="2733"/>
      <c r="B87" s="852"/>
      <c r="D87" s="1006" t="s">
        <v>91</v>
      </c>
      <c r="E87" s="1007" t="s">
        <v>919</v>
      </c>
      <c r="F87" s="1001" t="s">
        <v>854</v>
      </c>
      <c r="G87" s="1065"/>
      <c r="H87" s="1364"/>
      <c r="I87" s="1065"/>
      <c r="J87" s="1364"/>
      <c r="K87" s="630" t="s">
        <v>920</v>
      </c>
      <c r="X87" s="1099">
        <v>0</v>
      </c>
    </row>
    <row s="17239" customFormat="1" customHeight="1" ht="11.25" hidden="1">
      <c r="A88" s="2733"/>
      <c r="B88" s="852"/>
      <c r="D88" s="1006" t="s">
        <v>749</v>
      </c>
      <c r="E88" s="1064" t="s">
        <v>909</v>
      </c>
      <c r="F88" s="1001" t="s">
        <v>854</v>
      </c>
      <c r="G88" s="1065"/>
      <c r="H88" s="1364"/>
      <c r="I88" s="1065"/>
      <c r="J88" s="1364"/>
      <c r="K88" s="630"/>
      <c r="X88" s="1099">
        <v>0</v>
      </c>
    </row>
    <row s="17239" customFormat="1" customHeight="1" ht="11.25" hidden="1">
      <c r="A89" s="2733"/>
      <c r="B89" s="852"/>
      <c r="D89" s="1006" t="s">
        <v>791</v>
      </c>
      <c r="E89" s="1064" t="s">
        <v>910</v>
      </c>
      <c r="F89" s="1001" t="s">
        <v>854</v>
      </c>
      <c r="G89" s="1065"/>
      <c r="H89" s="1364"/>
      <c r="I89" s="1065"/>
      <c r="J89" s="1364"/>
      <c r="K89" s="630"/>
      <c r="X89" s="1099">
        <v>0</v>
      </c>
    </row>
    <row s="17239" customFormat="1" customHeight="1" ht="11.25" hidden="1">
      <c r="A90" s="2733"/>
      <c r="B90" s="852"/>
      <c r="D90" s="1006" t="s">
        <v>794</v>
      </c>
      <c r="E90" s="1064" t="s">
        <v>911</v>
      </c>
      <c r="F90" s="1001" t="s">
        <v>854</v>
      </c>
      <c r="G90" s="1065"/>
      <c r="H90" s="1364"/>
      <c r="I90" s="1065"/>
      <c r="J90" s="1364"/>
      <c r="K90" s="630"/>
      <c r="X90" s="1099">
        <v>0</v>
      </c>
    </row>
    <row s="17239" customFormat="1" customHeight="1" ht="11.25" hidden="1">
      <c r="A91" s="2733"/>
      <c r="B91" s="852"/>
      <c r="D91" s="1006" t="s">
        <v>872</v>
      </c>
      <c r="E91" s="1064" t="s">
        <v>912</v>
      </c>
      <c r="F91" s="1001" t="s">
        <v>854</v>
      </c>
      <c r="G91" s="1065"/>
      <c r="H91" s="1364"/>
      <c r="I91" s="1065"/>
      <c r="J91" s="1364"/>
      <c r="K91" s="630"/>
      <c r="X91" s="1099">
        <v>0</v>
      </c>
    </row>
    <row s="17239" customFormat="1" customHeight="1" ht="11.25" hidden="1">
      <c r="A92" s="2733"/>
      <c r="B92" s="852"/>
      <c r="D92" s="1006" t="s">
        <v>874</v>
      </c>
      <c r="E92" s="1064" t="s">
        <v>914</v>
      </c>
      <c r="F92" s="1001" t="s">
        <v>854</v>
      </c>
      <c r="G92" s="1065"/>
      <c r="H92" s="1364"/>
      <c r="I92" s="1065"/>
      <c r="J92" s="1364"/>
      <c r="K92" s="630"/>
      <c r="X92" s="1099">
        <v>0</v>
      </c>
    </row>
    <row s="17239" customFormat="1" customHeight="1" ht="11.25" hidden="1">
      <c r="A93" s="2733"/>
      <c r="B93" s="852"/>
      <c r="D93" s="1006" t="s">
        <v>921</v>
      </c>
      <c r="E93" s="1064" t="s">
        <v>916</v>
      </c>
      <c r="F93" s="1001" t="s">
        <v>854</v>
      </c>
      <c r="G93" s="1065"/>
      <c r="H93" s="1364"/>
      <c r="I93" s="1065"/>
      <c r="J93" s="1364"/>
      <c r="K93" s="630"/>
      <c r="X93" s="1099">
        <v>0</v>
      </c>
    </row>
    <row s="17239" customFormat="1" customHeight="1" ht="11.25" hidden="1">
      <c r="A94" s="2733"/>
      <c r="B94" s="852"/>
      <c r="D94" s="1006" t="s">
        <v>922</v>
      </c>
      <c r="E94" s="1064" t="s">
        <v>918</v>
      </c>
      <c r="F94" s="1001" t="s">
        <v>854</v>
      </c>
      <c r="G94" s="1065"/>
      <c r="H94" s="1364"/>
      <c r="I94" s="1065"/>
      <c r="J94" s="1364"/>
      <c r="K94" s="630"/>
      <c r="X94" s="1099">
        <v>0</v>
      </c>
    </row>
    <row s="17239" customFormat="1" customHeight="1" ht="24.75" hidden="1">
      <c r="A95" s="2733"/>
      <c r="B95" s="852"/>
      <c r="D95" s="1006" t="s">
        <v>108</v>
      </c>
      <c r="E95" s="1007" t="s">
        <v>923</v>
      </c>
      <c r="F95" s="1066" t="s">
        <v>553</v>
      </c>
      <c r="G95" s="1068"/>
      <c r="H95" s="1364"/>
      <c r="I95" s="1068"/>
      <c r="J95" s="1364"/>
      <c r="K95" s="630" t="s">
        <v>924</v>
      </c>
      <c r="X95" s="1099">
        <v>0</v>
      </c>
    </row>
    <row s="17239" customFormat="1" customHeight="1" ht="33.75" hidden="1">
      <c r="A96" s="2733"/>
      <c r="B96" s="852"/>
      <c r="D96" s="1006" t="s">
        <v>92</v>
      </c>
      <c r="E96" s="1007" t="s">
        <v>925</v>
      </c>
      <c r="F96" s="1067" t="s">
        <v>815</v>
      </c>
      <c r="G96" s="1069"/>
      <c r="H96" s="1364"/>
      <c r="I96" s="1069"/>
      <c r="J96" s="1364"/>
      <c r="K96" s="630"/>
      <c r="X96" s="1099">
        <v>0</v>
      </c>
    </row>
    <row s="17239" customFormat="1" customHeight="1" ht="22.5" hidden="1">
      <c r="A97" s="2733"/>
      <c r="B97" s="852" t="s">
        <v>583</v>
      </c>
      <c r="D97" s="1006" t="s">
        <v>93</v>
      </c>
      <c r="E97" s="1007" t="s">
        <v>926</v>
      </c>
      <c r="F97" s="1067" t="s">
        <v>301</v>
      </c>
      <c r="G97" s="726"/>
      <c r="H97" s="1364"/>
      <c r="I97" s="726"/>
      <c r="J97" s="1364"/>
      <c r="K97" s="630" t="s">
        <v>626</v>
      </c>
      <c r="X97" s="1099">
        <v>0</v>
      </c>
    </row>
    <row s="17239" customFormat="1" customHeight="1" ht="45" hidden="1">
      <c r="A98" s="2733"/>
      <c r="B98" s="852" t="s">
        <v>583</v>
      </c>
      <c r="D98" s="1006" t="s">
        <v>927</v>
      </c>
      <c r="E98" s="1008" t="s">
        <v>928</v>
      </c>
      <c r="F98" s="1062" t="s">
        <v>301</v>
      </c>
      <c r="G98" s="726"/>
      <c r="H98" s="1364"/>
      <c r="I98" s="726"/>
      <c r="J98" s="1364"/>
      <c r="K98" s="630" t="s">
        <v>626</v>
      </c>
      <c r="X98" s="1099">
        <v>0</v>
      </c>
    </row>
    <row s="17239" customFormat="1" customHeight="1" ht="95.25" hidden="1">
      <c r="A99" s="2733"/>
      <c r="B99" s="852" t="s">
        <v>583</v>
      </c>
      <c r="D99" s="1006" t="s">
        <v>109</v>
      </c>
      <c r="E99" s="1007" t="s">
        <v>929</v>
      </c>
      <c r="F99" s="1062" t="s">
        <v>301</v>
      </c>
      <c r="G99" s="726"/>
      <c r="H99" s="1364"/>
      <c r="I99" s="726"/>
      <c r="J99" s="1364"/>
      <c r="K99" s="630" t="s">
        <v>626</v>
      </c>
      <c r="X99" s="1099">
        <v>0</v>
      </c>
    </row>
    <row s="17239" customFormat="1" customHeight="1" ht="22.5" hidden="1">
      <c r="A100" s="2733"/>
      <c r="B100" s="852" t="s">
        <v>583</v>
      </c>
      <c r="D100" s="1006" t="s">
        <v>145</v>
      </c>
      <c r="E100" s="1007" t="s">
        <v>930</v>
      </c>
      <c r="F100" s="1062" t="s">
        <v>301</v>
      </c>
      <c r="G100" s="726"/>
      <c r="H100" s="1364"/>
      <c r="I100" s="726"/>
      <c r="J100" s="1364"/>
      <c r="K100" s="630" t="s">
        <v>626</v>
      </c>
      <c r="X100" s="1099">
        <v>0</v>
      </c>
    </row>
    <row s="17239" customFormat="1" customHeight="1" ht="11.549999999999999">
      <c r="A101" s="1374"/>
      <c r="B101" s="859"/>
      <c r="D101" s="1375"/>
      <c r="E101" s="1376"/>
      <c r="X101" s="850">
        <v>11</v>
      </c>
    </row>
    <row customHeight="1" ht="22.5" hidden="1">
      <c r="A102" s="877" t="s">
        <v>82</v>
      </c>
      <c r="B102" s="852">
        <v>0</v>
      </c>
      <c r="C102" s="846">
        <v>3</v>
      </c>
      <c r="D102" s="846">
        <v>7</v>
      </c>
      <c r="E102" s="846">
        <v>69</v>
      </c>
      <c r="F102" s="846">
        <v>10</v>
      </c>
      <c r="G102" s="846">
        <v>0</v>
      </c>
      <c r="H102" s="846">
        <v>0</v>
      </c>
      <c r="I102" s="1099">
        <v>43</v>
      </c>
      <c r="J102" s="1099">
        <v>43</v>
      </c>
      <c r="K102" s="846">
        <v>73</v>
      </c>
      <c r="L102" s="846">
        <v>3</v>
      </c>
      <c r="M102" s="846">
        <v>10</v>
      </c>
      <c r="N102" s="846">
        <v>10</v>
      </c>
      <c r="O102" s="846">
        <v>10</v>
      </c>
      <c r="P102" s="846">
        <v>10</v>
      </c>
      <c r="Q102" s="846">
        <v>10</v>
      </c>
      <c r="R102" s="846">
        <v>10</v>
      </c>
      <c r="S102" s="846">
        <v>10</v>
      </c>
      <c r="T102" s="846">
        <v>10</v>
      </c>
      <c r="U102" s="846">
        <v>10</v>
      </c>
      <c r="V102" s="846">
        <v>10</v>
      </c>
      <c r="W102" s="846">
        <v>10</v>
      </c>
      <c r="X102" s="846">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3B5EF8-EB4D-AEBD-3A8A-24BF74099ABC}"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7442" width="6.421875" hidden="1" customWidth="1"/>
    <col min="2" max="2" style="17442" width="2.00390625" hidden="1" customWidth="1"/>
    <col min="3" max="3" style="17442" width="3.00390625" customWidth="1"/>
    <col min="4" max="4" style="17442" width="4.00390625" customWidth="1"/>
    <col min="5" max="5" style="17442" width="44.00390625" customWidth="1"/>
    <col min="6" max="6" style="17442" width="6.421875" customWidth="1"/>
    <col min="7" max="7" style="17442" width="4.00390625" customWidth="1"/>
    <col min="8" max="8" style="17442" width="5.00390625" customWidth="1"/>
    <col min="9" max="9" style="17442" width="52.00390625" customWidth="1"/>
    <col min="10" max="10" style="17442" width="7.00390625" customWidth="1"/>
    <col min="11" max="11" style="17442" width="3.00390625" customWidth="1"/>
    <col min="12" max="12" style="17442" width="6.00390625" customWidth="1"/>
    <col min="13" max="13" style="17442" width="56.00390625" customWidth="1"/>
    <col min="14" max="14" style="17493" width="8.00390625" customWidth="1"/>
    <col min="15" max="20" style="17405" width="9.140625" hidden="1"/>
    <col min="21" max="24" style="17494" width="9.140625" hidden="1"/>
    <col min="25" max="37" style="17493" width="9.140625" hidden="1"/>
    <col min="38" max="38" style="17493" width="8.00390625" customWidth="1"/>
    <col min="39" max="39" style="17442" width="9.140625" hidden="1"/>
  </cols>
  <sheetData>
    <row customHeight="1" ht="11.25" hidden="1">
      <c r="AM1" s="924" t="s">
        <v>14</v>
      </c>
    </row>
    <row customHeight="1" ht="11.25" hidden="1">
      <c r="AM2" s="924">
        <v>0</v>
      </c>
    </row>
    <row customHeight="1" ht="11.549999999999999">
      <c r="AM3" s="924">
        <v>11</v>
      </c>
    </row>
    <row customHeight="1" ht="35.699999999999996">
      <c r="A4" s="926"/>
      <c r="B4" s="926"/>
      <c r="D4" s="2460" t="str">
        <f>Титульный!E5</f>
        <v>Информация об инвестиционных программах регулируемой организации в области теплоснабжения</v>
      </c>
      <c r="E4" s="2461"/>
      <c r="F4" s="2461"/>
      <c r="G4" s="2461"/>
      <c r="H4" s="2461"/>
      <c r="I4" s="2462"/>
      <c r="J4" s="925"/>
      <c r="K4" s="925"/>
      <c r="L4" s="925"/>
      <c r="M4" s="925"/>
      <c r="AM4" s="924">
        <v>34</v>
      </c>
    </row>
    <row s="17413" customFormat="1" customHeight="1" ht="14.699999999999998">
      <c r="A5" s="926"/>
      <c r="B5" s="926"/>
      <c r="C5" s="926"/>
      <c r="D5" s="2463" t="str">
        <f>IF(org=0,"Не определено",org)</f>
        <v>АО "ДГК"</v>
      </c>
      <c r="E5" s="2464"/>
      <c r="F5" s="2464"/>
      <c r="G5" s="2464"/>
      <c r="H5" s="2464"/>
      <c r="I5" s="2465"/>
      <c r="J5" s="927"/>
      <c r="K5" s="927"/>
      <c r="L5" s="927"/>
      <c r="M5" s="927"/>
      <c r="N5" s="927"/>
      <c r="O5" s="1211"/>
      <c r="P5" s="1211"/>
      <c r="Q5" s="1211"/>
      <c r="R5" s="1211"/>
      <c r="S5" s="1211"/>
      <c r="T5" s="1211"/>
      <c r="U5" s="1602"/>
      <c r="V5" s="1602"/>
      <c r="W5" s="1602"/>
      <c r="X5" s="1602"/>
      <c r="Y5" s="927"/>
      <c r="Z5" s="927"/>
      <c r="AA5" s="927"/>
      <c r="AB5" s="927"/>
      <c r="AC5" s="927"/>
      <c r="AD5" s="927"/>
      <c r="AE5" s="927"/>
      <c r="AF5" s="927"/>
      <c r="AG5" s="927"/>
      <c r="AH5" s="927"/>
      <c r="AI5" s="927"/>
      <c r="AJ5" s="927"/>
      <c r="AK5" s="927"/>
      <c r="AL5" s="927"/>
      <c r="AM5" s="928">
        <v>14</v>
      </c>
    </row>
    <row s="17413" customFormat="1" customHeight="1" ht="6.3">
      <c r="A6" s="2466"/>
      <c r="B6" s="2466"/>
      <c r="C6" s="2466"/>
      <c r="D6" s="2466"/>
      <c r="E6" s="2466"/>
      <c r="F6" s="2466"/>
      <c r="G6" s="929"/>
      <c r="H6" s="929"/>
      <c r="I6" s="929"/>
      <c r="J6" s="929"/>
      <c r="K6" s="929"/>
      <c r="N6" s="931"/>
      <c r="O6" s="1755"/>
      <c r="P6" s="1755"/>
      <c r="Q6" s="1755"/>
      <c r="R6" s="1755"/>
      <c r="S6" s="1755"/>
      <c r="T6" s="1755"/>
      <c r="U6" s="1605"/>
      <c r="V6" s="1605"/>
      <c r="W6" s="1605"/>
      <c r="X6" s="1605"/>
      <c r="Y6" s="931"/>
      <c r="Z6" s="931"/>
      <c r="AA6" s="931"/>
      <c r="AB6" s="931"/>
      <c r="AC6" s="931"/>
      <c r="AD6" s="931"/>
      <c r="AE6" s="931"/>
      <c r="AF6" s="931"/>
      <c r="AG6" s="931"/>
      <c r="AH6" s="931"/>
      <c r="AI6" s="931"/>
      <c r="AJ6" s="931"/>
      <c r="AK6" s="931"/>
      <c r="AL6" s="931"/>
      <c r="AM6" s="930">
        <v>6</v>
      </c>
    </row>
    <row customHeight="1" ht="45.75" hidden="1">
      <c r="E7" s="24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72"/>
      <c r="G7" s="2472"/>
      <c r="H7" s="2472"/>
      <c r="I7" s="2472"/>
      <c r="J7" s="2472"/>
      <c r="K7" s="2472"/>
      <c r="L7" s="2472"/>
      <c r="M7" s="2472"/>
      <c r="AM7" s="924">
        <v>0</v>
      </c>
    </row>
    <row s="17413" customFormat="1" customHeight="1" ht="6.3">
      <c r="A8" s="932"/>
      <c r="B8" s="932"/>
      <c r="C8" s="932"/>
      <c r="D8" s="932"/>
      <c r="E8" s="932"/>
      <c r="F8" s="932"/>
      <c r="G8" s="932"/>
      <c r="H8" s="932"/>
      <c r="I8" s="932"/>
      <c r="J8" s="932"/>
      <c r="K8" s="932"/>
      <c r="L8" s="932"/>
      <c r="M8" s="930"/>
      <c r="N8" s="927"/>
      <c r="O8" s="1211"/>
      <c r="P8" s="1211"/>
      <c r="Q8" s="1211"/>
      <c r="R8" s="1211"/>
      <c r="S8" s="1211"/>
      <c r="T8" s="1211"/>
      <c r="U8" s="1602"/>
      <c r="V8" s="1602"/>
      <c r="W8" s="1602"/>
      <c r="X8" s="1602"/>
      <c r="Y8" s="927"/>
      <c r="Z8" s="927"/>
      <c r="AA8" s="927"/>
      <c r="AB8" s="927"/>
      <c r="AC8" s="927"/>
      <c r="AD8" s="927"/>
      <c r="AE8" s="927"/>
      <c r="AF8" s="927"/>
      <c r="AG8" s="927"/>
      <c r="AH8" s="927"/>
      <c r="AI8" s="927"/>
      <c r="AJ8" s="927"/>
      <c r="AK8" s="927"/>
      <c r="AL8" s="927"/>
      <c r="AM8" s="928">
        <v>6</v>
      </c>
    </row>
    <row customHeight="1" ht="18.75">
      <c r="A9" s="2467"/>
      <c r="B9" s="664"/>
      <c r="C9" s="664"/>
      <c r="D9" s="2468" t="s">
        <v>102</v>
      </c>
      <c r="E9" s="2468"/>
      <c r="F9" s="2469" t="s">
        <v>103</v>
      </c>
      <c r="G9" s="2470"/>
      <c r="H9" s="2470"/>
      <c r="I9" s="2470"/>
      <c r="J9" s="2473" t="s">
        <v>104</v>
      </c>
      <c r="K9" s="2473"/>
      <c r="L9" s="2473"/>
      <c r="M9" s="2473"/>
      <c r="AM9" s="924">
        <v>18</v>
      </c>
    </row>
    <row customHeight="1" ht="24">
      <c r="A10" s="2467"/>
      <c r="B10" s="933"/>
      <c r="C10" s="866"/>
      <c r="D10" s="864" t="s">
        <v>88</v>
      </c>
      <c r="E10" s="864" t="s">
        <v>89</v>
      </c>
      <c r="F10" s="864" t="s">
        <v>105</v>
      </c>
      <c r="G10" s="2474" t="s">
        <v>88</v>
      </c>
      <c r="H10" s="2475"/>
      <c r="I10" s="864" t="s">
        <v>89</v>
      </c>
      <c r="J10" s="864" t="s">
        <v>105</v>
      </c>
      <c r="K10" s="2474" t="s">
        <v>88</v>
      </c>
      <c r="L10" s="2475"/>
      <c r="M10" s="864" t="s">
        <v>89</v>
      </c>
      <c r="N10" s="1968"/>
      <c r="AM10" s="924">
        <v>23</v>
      </c>
    </row>
    <row s="17442" customFormat="1" customHeight="1" ht="11.25" hidden="1">
      <c r="A11" s="934"/>
      <c r="B11" s="934"/>
      <c r="C11" s="934"/>
      <c r="D11" s="935" t="s">
        <v>106</v>
      </c>
      <c r="E11" s="935" t="s">
        <v>107</v>
      </c>
      <c r="F11" s="935" t="s">
        <v>90</v>
      </c>
      <c r="G11" s="2456" t="s">
        <v>91</v>
      </c>
      <c r="H11" s="2457"/>
      <c r="I11" s="935" t="s">
        <v>108</v>
      </c>
      <c r="J11" s="935" t="s">
        <v>92</v>
      </c>
      <c r="K11" s="2458" t="s">
        <v>93</v>
      </c>
      <c r="L11" s="2459"/>
      <c r="M11" s="935" t="s">
        <v>109</v>
      </c>
      <c r="N11" s="1967"/>
      <c r="O11" s="1754"/>
      <c r="P11" s="1756"/>
      <c r="Q11" s="1756"/>
      <c r="R11" s="1756"/>
      <c r="S11" s="1756"/>
      <c r="T11" s="1756"/>
      <c r="U11" s="1606"/>
      <c r="V11" s="1606"/>
      <c r="W11" s="1606"/>
      <c r="X11" s="1606"/>
      <c r="Y11" s="936"/>
      <c r="Z11" s="936"/>
      <c r="AA11" s="936"/>
      <c r="AB11" s="936"/>
      <c r="AC11" s="936"/>
      <c r="AD11" s="936"/>
      <c r="AE11" s="936"/>
      <c r="AF11" s="936"/>
      <c r="AG11" s="936"/>
      <c r="AH11" s="936"/>
      <c r="AI11" s="936"/>
      <c r="AJ11" s="936"/>
      <c r="AK11" s="936"/>
      <c r="AL11" s="936"/>
      <c r="AM11" s="937">
        <v>0</v>
      </c>
    </row>
    <row customHeight="1" ht="1.05">
      <c r="A12" s="938"/>
      <c r="B12" s="939"/>
      <c r="C12" s="939"/>
      <c r="D12" s="940"/>
      <c r="E12" s="708"/>
      <c r="F12" s="941"/>
      <c r="G12" s="1400"/>
      <c r="H12" s="1400"/>
      <c r="I12" s="941"/>
      <c r="J12" s="941"/>
      <c r="K12" s="515"/>
      <c r="L12" s="708"/>
      <c r="M12" s="942"/>
      <c r="N12" s="1968"/>
      <c r="O12" s="1754" t="s">
        <v>110</v>
      </c>
      <c r="P12" s="1754" t="s">
        <v>111</v>
      </c>
      <c r="Q12" s="1754" t="s">
        <v>112</v>
      </c>
      <c r="R12" s="1754" t="s">
        <v>113</v>
      </c>
      <c r="AM12" s="924">
        <v>1</v>
      </c>
    </row>
    <row s="17442" customFormat="1" customHeight="1" ht="15.75">
      <c r="A13" s="634"/>
      <c r="B13" s="634"/>
      <c r="C13" s="867"/>
      <c r="D13" s="2449" t="s">
        <v>106</v>
      </c>
      <c r="E13" s="2450"/>
      <c r="F13" s="2453" t="s">
        <v>65</v>
      </c>
      <c r="G13" s="2454"/>
      <c r="H13" s="2455">
        <v>1</v>
      </c>
      <c r="I13" s="2446" t="str">
        <f>IF(U13="","",INDEX(TERRITORY_MR_LIST,MATCH(U13,TERRITORY_LIST_ID,0)))</f>
        <v/>
      </c>
      <c r="J13" s="2448" t="s">
        <v>19</v>
      </c>
      <c r="K13" s="943"/>
      <c r="L13" s="868" t="s">
        <v>106</v>
      </c>
      <c r="M13" s="944" t="s">
        <v>22</v>
      </c>
      <c r="N13" s="1153"/>
      <c r="O13" s="1757" t="s">
        <v>114</v>
      </c>
      <c r="P13" s="1754">
        <f>$E$13</f>
        <v>0</v>
      </c>
      <c r="Q13" s="1754" t="str">
        <f>IF($F$13="нет","без дифференциации",$I$13)</f>
        <v/>
      </c>
      <c r="R13" s="1754" t="str">
        <f>IF($J$13="нет","без дифференциации",M13)</f>
        <v>без дифференциации</v>
      </c>
      <c r="S13" s="1757"/>
      <c r="T13" s="1757"/>
      <c r="U13" s="1607"/>
      <c r="V13" s="1607"/>
      <c r="W13" s="1607"/>
      <c r="X13" s="1607"/>
      <c r="Y13" s="945" t="s">
        <v>115</v>
      </c>
      <c r="Z13" s="945">
        <v>1705000</v>
      </c>
      <c r="AA13" s="945"/>
      <c r="AB13" s="945"/>
      <c r="AC13" s="945"/>
      <c r="AD13" s="945"/>
      <c r="AE13" s="945"/>
      <c r="AF13" s="945"/>
      <c r="AG13" s="945"/>
      <c r="AH13" s="945"/>
      <c r="AI13" s="945"/>
      <c r="AJ13" s="945"/>
      <c r="AK13" s="945"/>
      <c r="AL13" s="945"/>
      <c r="AM13" s="947">
        <v>15</v>
      </c>
    </row>
    <row s="17442" customFormat="1" customHeight="1" ht="15.75">
      <c r="A14" s="634"/>
      <c r="B14" s="634"/>
      <c r="C14" s="517"/>
      <c r="D14" s="2449"/>
      <c r="E14" s="2451"/>
      <c r="F14" s="2448"/>
      <c r="G14" s="2454"/>
      <c r="H14" s="2455"/>
      <c r="I14" s="2447"/>
      <c r="J14" s="2448"/>
      <c r="K14" s="762"/>
      <c r="L14" s="518"/>
      <c r="M14" s="948" t="s">
        <v>116</v>
      </c>
      <c r="N14" s="1153"/>
      <c r="O14" s="1757"/>
      <c r="P14" s="1754"/>
      <c r="Q14" s="1754"/>
      <c r="R14" s="1754"/>
      <c r="S14" s="1757"/>
      <c r="T14" s="1757"/>
      <c r="U14" s="1607"/>
      <c r="V14" s="1607"/>
      <c r="W14" s="1607"/>
      <c r="X14" s="1607"/>
      <c r="Y14" s="945"/>
      <c r="Z14" s="945"/>
      <c r="AA14" s="945"/>
      <c r="AB14" s="945"/>
      <c r="AC14" s="945"/>
      <c r="AD14" s="945"/>
      <c r="AE14" s="945"/>
      <c r="AF14" s="945"/>
      <c r="AG14" s="945"/>
      <c r="AH14" s="945"/>
      <c r="AI14" s="945"/>
      <c r="AJ14" s="945"/>
      <c r="AK14" s="945"/>
      <c r="AL14" s="945"/>
      <c r="AM14" s="947">
        <v>15</v>
      </c>
    </row>
    <row s="17442" customFormat="1" customHeight="1" ht="15.75">
      <c r="A15" s="634"/>
      <c r="B15" s="634"/>
      <c r="C15" s="517"/>
      <c r="D15" s="2449"/>
      <c r="E15" s="2452"/>
      <c r="F15" s="2448"/>
      <c r="G15" s="1401"/>
      <c r="H15" s="1402"/>
      <c r="I15" s="921" t="s">
        <v>117</v>
      </c>
      <c r="J15" s="518"/>
      <c r="K15" s="518"/>
      <c r="L15" s="518"/>
      <c r="M15" s="949"/>
      <c r="N15" s="1153"/>
      <c r="O15" s="1757"/>
      <c r="P15" s="1754"/>
      <c r="Q15" s="1754"/>
      <c r="R15" s="1754"/>
      <c r="S15" s="1757"/>
      <c r="T15" s="1757"/>
      <c r="U15" s="1607"/>
      <c r="V15" s="1607"/>
      <c r="W15" s="1607"/>
      <c r="X15" s="1607"/>
      <c r="Y15" s="945"/>
      <c r="Z15" s="945"/>
      <c r="AA15" s="945"/>
      <c r="AB15" s="945"/>
      <c r="AC15" s="945"/>
      <c r="AD15" s="945"/>
      <c r="AE15" s="945"/>
      <c r="AF15" s="945"/>
      <c r="AG15" s="945"/>
      <c r="AH15" s="945"/>
      <c r="AI15" s="945"/>
      <c r="AJ15" s="945"/>
      <c r="AK15" s="945"/>
      <c r="AL15" s="945"/>
      <c r="AM15" s="947">
        <v>15</v>
      </c>
    </row>
    <row customHeight="1" ht="15.75">
      <c r="A16" s="950"/>
      <c r="B16" s="476"/>
      <c r="C16" s="1147"/>
      <c r="D16" s="762"/>
      <c r="E16" s="912" t="s">
        <v>118</v>
      </c>
      <c r="F16" s="518"/>
      <c r="G16" s="518"/>
      <c r="H16" s="518"/>
      <c r="I16" s="518"/>
      <c r="J16" s="518"/>
      <c r="K16" s="518" t="s">
        <v>22</v>
      </c>
      <c r="L16" s="518"/>
      <c r="M16" s="949"/>
      <c r="N16" s="1968"/>
      <c r="AM16" s="924">
        <v>15</v>
      </c>
    </row>
    <row customHeight="1" ht="11.25" hidden="1">
      <c r="A17" s="924" t="s">
        <v>82</v>
      </c>
      <c r="B17" s="924">
        <v>0</v>
      </c>
      <c r="C17" s="924">
        <v>3</v>
      </c>
      <c r="D17" s="924">
        <v>4</v>
      </c>
      <c r="E17" s="924">
        <v>44</v>
      </c>
      <c r="F17" s="924">
        <v>6</v>
      </c>
      <c r="G17" s="924">
        <v>4</v>
      </c>
      <c r="H17" s="924">
        <v>5</v>
      </c>
      <c r="I17" s="924">
        <v>52</v>
      </c>
      <c r="J17" s="924">
        <v>6</v>
      </c>
      <c r="K17" s="924">
        <v>3</v>
      </c>
      <c r="L17" s="924">
        <v>6</v>
      </c>
      <c r="M17" s="924">
        <v>56</v>
      </c>
      <c r="N17" s="925">
        <v>8</v>
      </c>
      <c r="O17" s="1754">
        <v>0</v>
      </c>
      <c r="P17" s="1754">
        <v>0</v>
      </c>
      <c r="Q17" s="1754">
        <v>0</v>
      </c>
      <c r="R17" s="1754">
        <v>0</v>
      </c>
      <c r="S17" s="1754">
        <v>0</v>
      </c>
      <c r="T17" s="1754">
        <v>0</v>
      </c>
      <c r="U17" s="1604">
        <v>0</v>
      </c>
      <c r="V17" s="1604">
        <v>0</v>
      </c>
      <c r="W17" s="1604">
        <v>0</v>
      </c>
      <c r="X17" s="1604">
        <v>0</v>
      </c>
      <c r="Y17" s="925">
        <v>0</v>
      </c>
      <c r="Z17" s="925">
        <v>0</v>
      </c>
      <c r="AA17" s="925">
        <v>0</v>
      </c>
      <c r="AB17" s="925">
        <v>0</v>
      </c>
      <c r="AC17" s="925">
        <v>0</v>
      </c>
      <c r="AD17" s="925">
        <v>0</v>
      </c>
      <c r="AE17" s="925">
        <v>0</v>
      </c>
      <c r="AF17" s="925">
        <v>0</v>
      </c>
      <c r="AG17" s="925">
        <v>0</v>
      </c>
      <c r="AH17" s="925">
        <v>0</v>
      </c>
      <c r="AI17" s="925">
        <v>0</v>
      </c>
      <c r="AJ17" s="925">
        <v>0</v>
      </c>
      <c r="AK17" s="925">
        <v>0</v>
      </c>
      <c r="AL17" s="925">
        <v>8</v>
      </c>
      <c r="AM17" s="924">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3D924F-1B6E-E4F5-D3DC-3DBDAEE9DCCA}"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7203" width="9.140625" hidden="1" customWidth="1"/>
    <col min="2" max="2" style="17239" width="9.140625" hidden="1" customWidth="1"/>
    <col min="3" max="3" style="18754" width="4.00390625" customWidth="1"/>
    <col min="4" max="4" style="17239" width="6.00390625" customWidth="1"/>
    <col min="5" max="5" style="17239" width="36.00390625" customWidth="1"/>
    <col min="6" max="6" style="17239" width="9.00390625" customWidth="1"/>
    <col min="7" max="7" style="17239" width="25.7109375" hidden="1" customWidth="1"/>
    <col min="8" max="8" style="17239" width="33.7109375" hidden="1" customWidth="1"/>
    <col min="9" max="9" style="17239" width="25.7109375" customWidth="1"/>
    <col min="10" max="10" style="17239" width="33.00390625" customWidth="1"/>
    <col min="11" max="11" style="17315" width="93.00390625" customWidth="1"/>
    <col min="12" max="20" style="17239" width="10.00390625" customWidth="1"/>
    <col min="21" max="21" style="18755" width="10.00390625" customWidth="1"/>
    <col min="22" max="22" style="17239" width="10.57421875" hidden="1"/>
  </cols>
  <sheetData>
    <row s="17315" customFormat="1" customHeight="1" ht="22.5" hidden="1">
      <c r="C1" s="1013"/>
      <c r="G1" s="758">
        <v>4</v>
      </c>
      <c r="I1" s="758">
        <v>4</v>
      </c>
      <c r="U1" s="761"/>
      <c r="V1" s="758" t="s">
        <v>14</v>
      </c>
    </row>
    <row s="17315" customFormat="1" customHeight="1" ht="15" hidden="1">
      <c r="C2" s="1013"/>
      <c r="U2" s="761"/>
      <c r="V2" s="758">
        <v>0</v>
      </c>
    </row>
    <row customHeight="1" ht="22.5" hidden="1">
      <c r="A3" s="846"/>
      <c r="B3" s="2738"/>
      <c r="C3" s="2739" t="s">
        <v>684</v>
      </c>
      <c r="D3" s="1030" t="str">
        <f>B3&amp;".1"</f>
        <v>.1</v>
      </c>
      <c r="E3" s="1031" t="s">
        <v>931</v>
      </c>
      <c r="F3" s="1032" t="s">
        <v>301</v>
      </c>
      <c r="G3" s="1027"/>
      <c r="H3" s="742"/>
      <c r="I3" s="1027"/>
      <c r="J3" s="742"/>
      <c r="K3" s="630" t="s">
        <v>932</v>
      </c>
      <c r="V3" s="846">
        <v>0</v>
      </c>
    </row>
    <row customHeight="1" ht="15" hidden="1">
      <c r="A4" s="846"/>
      <c r="B4" s="2738"/>
      <c r="C4" s="2739"/>
      <c r="D4" s="1030" t="str">
        <f>B3&amp;".2"</f>
        <v>.2</v>
      </c>
      <c r="E4" s="1031" t="s">
        <v>933</v>
      </c>
      <c r="F4" s="1032" t="s">
        <v>301</v>
      </c>
      <c r="G4" s="2079" t="s">
        <v>22</v>
      </c>
      <c r="H4" s="742"/>
      <c r="I4" s="2079" t="s">
        <v>22</v>
      </c>
      <c r="J4" s="742"/>
      <c r="K4" s="630" t="s">
        <v>934</v>
      </c>
      <c r="V4" s="846">
        <v>0</v>
      </c>
    </row>
    <row s="17315" customFormat="1" customHeight="1" ht="15" hidden="1">
      <c r="C5" s="1013"/>
      <c r="U5" s="761"/>
      <c r="V5" s="758">
        <v>0</v>
      </c>
    </row>
    <row customHeight="1" ht="22.5" hidden="1">
      <c r="A6" s="846"/>
      <c r="B6" s="2738"/>
      <c r="C6" s="2739" t="s">
        <v>684</v>
      </c>
      <c r="D6" s="1030" t="str">
        <f>B6&amp;".1"</f>
        <v>.1</v>
      </c>
      <c r="E6" s="1031" t="s">
        <v>935</v>
      </c>
      <c r="F6" s="1032" t="s">
        <v>301</v>
      </c>
      <c r="G6" s="1027"/>
      <c r="H6" s="742"/>
      <c r="I6" s="1027"/>
      <c r="J6" s="742"/>
      <c r="K6" s="630" t="s">
        <v>936</v>
      </c>
      <c r="V6" s="846">
        <v>0</v>
      </c>
    </row>
    <row customHeight="1" ht="15" hidden="1">
      <c r="A7" s="846"/>
      <c r="B7" s="2738"/>
      <c r="C7" s="2739"/>
      <c r="D7" s="1030" t="str">
        <f>B6&amp;".2"</f>
        <v>.2</v>
      </c>
      <c r="E7" s="1031" t="s">
        <v>933</v>
      </c>
      <c r="F7" s="1032" t="s">
        <v>301</v>
      </c>
      <c r="G7" s="2079" t="s">
        <v>22</v>
      </c>
      <c r="H7" s="742"/>
      <c r="I7" s="2079" t="s">
        <v>22</v>
      </c>
      <c r="J7" s="742"/>
      <c r="K7" s="630" t="s">
        <v>934</v>
      </c>
      <c r="V7" s="846">
        <v>0</v>
      </c>
    </row>
    <row s="17315" customFormat="1" customHeight="1" ht="15" hidden="1">
      <c r="C8" s="1013"/>
      <c r="U8" s="761"/>
      <c r="V8" s="758">
        <v>0</v>
      </c>
    </row>
    <row customHeight="1" ht="22.5" hidden="1">
      <c r="A9" s="846"/>
      <c r="B9" s="2738"/>
      <c r="C9" s="2739" t="s">
        <v>684</v>
      </c>
      <c r="D9" s="1030" t="str">
        <f>B9&amp;".1"</f>
        <v>.1</v>
      </c>
      <c r="E9" s="1031" t="s">
        <v>937</v>
      </c>
      <c r="F9" s="1032" t="s">
        <v>301</v>
      </c>
      <c r="G9" s="1038" t="s">
        <v>22</v>
      </c>
      <c r="H9" s="742" t="s">
        <v>22</v>
      </c>
      <c r="I9" s="1038" t="s">
        <v>22</v>
      </c>
      <c r="J9" s="742" t="s">
        <v>22</v>
      </c>
      <c r="K9" s="630"/>
      <c r="V9" s="846">
        <v>0</v>
      </c>
    </row>
    <row customHeight="1" ht="15" hidden="1">
      <c r="A10" s="846"/>
      <c r="B10" s="2738"/>
      <c r="C10" s="2739"/>
      <c r="D10" s="1030" t="str">
        <f>B9&amp;".2"</f>
        <v>.2</v>
      </c>
      <c r="E10" s="1031" t="s">
        <v>938</v>
      </c>
      <c r="F10" s="1032" t="s">
        <v>301</v>
      </c>
      <c r="G10" s="2073" t="s">
        <v>22</v>
      </c>
      <c r="H10" s="742" t="s">
        <v>22</v>
      </c>
      <c r="I10" s="2073" t="s">
        <v>22</v>
      </c>
      <c r="J10" s="742" t="s">
        <v>22</v>
      </c>
      <c r="K10" s="630" t="s">
        <v>939</v>
      </c>
      <c r="V10" s="846">
        <v>0</v>
      </c>
    </row>
    <row customHeight="1" ht="15" hidden="1">
      <c r="A11" s="846"/>
      <c r="B11" s="2738"/>
      <c r="C11" s="2739"/>
      <c r="D11" s="1030" t="str">
        <f>B9&amp;".3"</f>
        <v>.3</v>
      </c>
      <c r="E11" s="1031" t="s">
        <v>940</v>
      </c>
      <c r="F11" s="1032" t="s">
        <v>301</v>
      </c>
      <c r="G11" s="2073" t="s">
        <v>22</v>
      </c>
      <c r="H11" s="742" t="s">
        <v>22</v>
      </c>
      <c r="I11" s="2073" t="s">
        <v>22</v>
      </c>
      <c r="J11" s="742" t="s">
        <v>22</v>
      </c>
      <c r="K11" s="630" t="s">
        <v>941</v>
      </c>
      <c r="V11" s="846">
        <v>0</v>
      </c>
    </row>
    <row s="17315" customFormat="1" customHeight="1" ht="15" hidden="1">
      <c r="C12" s="1013"/>
      <c r="U12" s="761"/>
      <c r="V12" s="758">
        <v>0</v>
      </c>
    </row>
    <row customHeight="1" ht="33.75" hidden="1">
      <c r="A13" s="846"/>
      <c r="B13" s="2738"/>
      <c r="C13" s="2739" t="s">
        <v>684</v>
      </c>
      <c r="D13" s="1030" t="str">
        <f>B13&amp;".1"</f>
        <v>.1</v>
      </c>
      <c r="E13" s="1031" t="s">
        <v>942</v>
      </c>
      <c r="F13" s="1032" t="s">
        <v>301</v>
      </c>
      <c r="G13" s="1038" t="s">
        <v>22</v>
      </c>
      <c r="H13" s="742" t="s">
        <v>22</v>
      </c>
      <c r="I13" s="1038" t="s">
        <v>22</v>
      </c>
      <c r="J13" s="742" t="s">
        <v>22</v>
      </c>
      <c r="K13" s="630" t="s">
        <v>943</v>
      </c>
      <c r="V13" s="846">
        <v>0</v>
      </c>
    </row>
    <row customHeight="1" ht="15" hidden="1">
      <c r="B14" s="2738"/>
      <c r="C14" s="2739"/>
      <c r="D14" s="1030" t="str">
        <f>B13&amp;".2"</f>
        <v>.2</v>
      </c>
      <c r="E14" s="1031" t="s">
        <v>944</v>
      </c>
      <c r="F14" s="1032" t="s">
        <v>301</v>
      </c>
      <c r="G14" s="2073" t="s">
        <v>22</v>
      </c>
      <c r="H14" s="742" t="s">
        <v>22</v>
      </c>
      <c r="I14" s="2073" t="s">
        <v>22</v>
      </c>
      <c r="J14" s="742" t="s">
        <v>22</v>
      </c>
      <c r="K14" s="630" t="s">
        <v>945</v>
      </c>
      <c r="V14" s="846">
        <v>0</v>
      </c>
    </row>
    <row s="17315" customFormat="1" customHeight="1" ht="15" hidden="1">
      <c r="C15" s="1013"/>
      <c r="U15" s="761"/>
      <c r="V15" s="758">
        <v>0</v>
      </c>
    </row>
    <row s="17315" customFormat="1" customHeight="1" ht="15" hidden="1">
      <c r="C16" s="1013"/>
      <c r="U16" s="761"/>
      <c r="V16" s="758">
        <v>0</v>
      </c>
    </row>
    <row s="17315" customFormat="1" customHeight="1" ht="15" hidden="1">
      <c r="C17" s="1013"/>
      <c r="U17" s="761"/>
      <c r="V17" s="758">
        <v>0</v>
      </c>
    </row>
    <row s="17315" customFormat="1" customHeight="1" ht="15" hidden="1">
      <c r="C18" s="1013"/>
      <c r="U18" s="761"/>
      <c r="V18" s="758">
        <v>0</v>
      </c>
    </row>
    <row s="17315" customFormat="1" customHeight="1" ht="15" hidden="1">
      <c r="C19" s="1013"/>
      <c r="U19" s="761"/>
      <c r="V19" s="758">
        <v>0</v>
      </c>
    </row>
    <row s="17315" customFormat="1" customHeight="1" ht="15" hidden="1">
      <c r="C20" s="1013"/>
      <c r="U20" s="761"/>
      <c r="V20" s="758">
        <v>0</v>
      </c>
    </row>
    <row customHeight="1" ht="15.75">
      <c r="C21" s="517"/>
      <c r="D21" s="850"/>
      <c r="E21" s="850"/>
      <c r="F21" s="850"/>
      <c r="G21" s="850"/>
      <c r="H21" s="850"/>
      <c r="I21" s="850"/>
      <c r="J21" s="850"/>
      <c r="V21" s="846">
        <v>15</v>
      </c>
    </row>
    <row customHeight="1" ht="23.25">
      <c r="C22" s="517"/>
      <c r="D22" s="25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78"/>
      <c r="F22" s="2578"/>
      <c r="G22" s="2578"/>
      <c r="H22" s="2578"/>
      <c r="I22" s="2578"/>
      <c r="J22" s="1017"/>
      <c r="K22" s="878"/>
      <c r="V22" s="846">
        <v>22</v>
      </c>
    </row>
    <row customHeight="1" ht="15.75">
      <c r="C23" s="517"/>
      <c r="D23" s="2517" t="str">
        <f>IF(org=0,"Не определено",org)</f>
        <v>АО "ДГК"</v>
      </c>
      <c r="E23" s="2517"/>
      <c r="F23" s="2517"/>
      <c r="G23" s="2517"/>
      <c r="H23" s="2517"/>
      <c r="I23" s="2517"/>
      <c r="J23" s="1017"/>
      <c r="K23" s="878"/>
      <c r="V23" s="846">
        <v>15</v>
      </c>
    </row>
    <row customHeight="1" ht="15.75">
      <c r="C24" s="517"/>
      <c r="D24" s="850"/>
      <c r="E24" s="850"/>
      <c r="F24" s="850"/>
      <c r="G24" s="878">
        <v>22</v>
      </c>
      <c r="H24" s="1093"/>
      <c r="I24" s="878">
        <v>22</v>
      </c>
      <c r="J24" s="1093"/>
      <c r="V24" s="846">
        <v>15</v>
      </c>
    </row>
    <row s="17239" customFormat="1" customHeight="1" ht="1.05">
      <c r="A25" s="1100"/>
      <c r="C25" s="517"/>
      <c r="D25" s="850"/>
      <c r="E25" s="850"/>
      <c r="F25" s="850"/>
      <c r="G25" s="878"/>
      <c r="H25" s="1093"/>
      <c r="I25" s="878" t="s">
        <v>114</v>
      </c>
      <c r="J25" s="1093"/>
      <c r="K25" s="758"/>
      <c r="U25" s="1016"/>
      <c r="V25" s="1099">
        <v>1</v>
      </c>
    </row>
    <row customHeight="1" ht="15.75">
      <c r="C26" s="517"/>
      <c r="D26" s="1052"/>
      <c r="E26" s="2708" t="s">
        <v>102</v>
      </c>
      <c r="F26" s="2709"/>
      <c r="G26" s="2736" t="str">
        <f>IF(G25="","",INDEX(DIFFERENTIATION_UNMERGE_VD,MATCH(G25,DIFFERENTIATION_ID_DIFF,0)))</f>
        <v/>
      </c>
      <c r="H26" s="2737"/>
      <c r="I26" s="2736">
        <f>IF(I25="","",INDEX(DIFFERENTIATION_UNMERGE_VD,MATCH(I25,DIFFERENTIATION_ID_DIFF,0)))</f>
        <v>0</v>
      </c>
      <c r="J26" s="2737"/>
      <c r="K26" s="2516" t="s">
        <v>296</v>
      </c>
      <c r="V26" s="846">
        <v>15</v>
      </c>
    </row>
    <row s="17239" customFormat="1" customHeight="1" ht="15.75">
      <c r="A27" s="1100"/>
      <c r="C27" s="517"/>
      <c r="D27" s="1052"/>
      <c r="E27" s="2708" t="s">
        <v>559</v>
      </c>
      <c r="F27" s="2709"/>
      <c r="G27" s="2736" t="str">
        <f>IF(G25="","",INDEX(DIFFERENTIATION_UNMERGE_AREA,MATCH(G25,DIFFERENTIATION_ID_DIFF,0)))</f>
        <v/>
      </c>
      <c r="H27" s="2737"/>
      <c r="I27" s="2736" t="str">
        <f>IF(I25="","",INDEX(DIFFERENTIATION_UNMERGE_AREA,MATCH(I25,DIFFERENTIATION_ID_DIFF,0)))</f>
        <v/>
      </c>
      <c r="J27" s="2737"/>
      <c r="K27" s="2536"/>
      <c r="U27" s="1016"/>
      <c r="V27" s="1099">
        <v>15</v>
      </c>
    </row>
    <row s="17239" customFormat="1" customHeight="1" ht="15.75">
      <c r="A28" s="1100"/>
      <c r="C28" s="517"/>
      <c r="D28" s="1052"/>
      <c r="E28" s="2708" t="s">
        <v>560</v>
      </c>
      <c r="F28" s="2709"/>
      <c r="G28" s="2736" t="str">
        <f>IF(G25="","",INDEX(DIFFERENTIATION_UNMERGE_SYSTEM,MATCH(G25,DIFFERENTIATION_ID_DIFF,0)))</f>
        <v/>
      </c>
      <c r="H28" s="2737"/>
      <c r="I28" s="2736" t="str">
        <f>IF(I25="","",INDEX(DIFFERENTIATION_UNMERGE_SYSTEM,MATCH(I25,DIFFERENTIATION_ID_DIFF,0)))</f>
        <v>без дифференциации</v>
      </c>
      <c r="J28" s="2737"/>
      <c r="K28" s="2536"/>
      <c r="U28" s="1016"/>
      <c r="V28" s="1099">
        <v>15</v>
      </c>
    </row>
    <row s="17239" customFormat="1" customHeight="1" ht="15.75">
      <c r="A29" s="1100"/>
      <c r="C29" s="517"/>
      <c r="D29" s="2710" t="s">
        <v>295</v>
      </c>
      <c r="E29" s="2711"/>
      <c r="F29" s="2711"/>
      <c r="G29" s="1228"/>
      <c r="H29" s="1228"/>
      <c r="I29" s="1228"/>
      <c r="J29" s="1229"/>
      <c r="K29" s="2536"/>
      <c r="U29" s="1016"/>
      <c r="V29" s="1099">
        <v>15</v>
      </c>
    </row>
    <row customHeight="1" ht="35.699999999999996">
      <c r="C30" s="517"/>
      <c r="D30" s="1102" t="s">
        <v>88</v>
      </c>
      <c r="E30" s="1101" t="s">
        <v>297</v>
      </c>
      <c r="F30" s="1101" t="s">
        <v>561</v>
      </c>
      <c r="G30" s="1149" t="s">
        <v>298</v>
      </c>
      <c r="H30" s="1148" t="s">
        <v>385</v>
      </c>
      <c r="I30" s="1025" t="s">
        <v>298</v>
      </c>
      <c r="J30" s="806" t="s">
        <v>385</v>
      </c>
      <c r="K30" s="2542"/>
      <c r="V30" s="846">
        <v>34</v>
      </c>
    </row>
    <row customHeight="1" ht="15" hidden="1">
      <c r="C31" s="517"/>
      <c r="D31" s="934"/>
      <c r="E31" s="934"/>
      <c r="F31" s="934"/>
      <c r="G31" s="1000"/>
      <c r="H31" s="1000"/>
      <c r="I31" s="1000"/>
      <c r="J31" s="1000"/>
      <c r="K31" s="630"/>
      <c r="V31" s="846">
        <v>0</v>
      </c>
    </row>
    <row customHeight="1" ht="24">
      <c r="A32" s="846"/>
      <c r="B32" s="846" t="s">
        <v>946</v>
      </c>
      <c r="C32" s="867"/>
      <c r="D32" s="1033">
        <v>1</v>
      </c>
      <c r="E32" s="1034" t="s">
        <v>947</v>
      </c>
      <c r="F32" s="1032" t="s">
        <v>301</v>
      </c>
      <c r="G32" s="1154" t="s">
        <v>301</v>
      </c>
      <c r="H32" s="1154" t="s">
        <v>301</v>
      </c>
      <c r="I32" s="1032" t="s">
        <v>301</v>
      </c>
      <c r="J32" s="1032" t="s">
        <v>301</v>
      </c>
      <c r="K32" s="630"/>
      <c r="V32" s="846">
        <v>23</v>
      </c>
    </row>
    <row customHeight="1" ht="11.549999999999999">
      <c r="A33" s="846"/>
      <c r="C33" s="846"/>
      <c r="D33" s="688"/>
      <c r="E33" s="921" t="s">
        <v>581</v>
      </c>
      <c r="F33" s="913"/>
      <c r="G33" s="913"/>
      <c r="H33" s="913"/>
      <c r="I33" s="913"/>
      <c r="J33" s="913"/>
      <c r="K33" s="914"/>
      <c r="U33" s="846"/>
      <c r="V33" s="846">
        <v>11</v>
      </c>
    </row>
    <row customHeight="1" ht="24">
      <c r="A34" s="846"/>
      <c r="B34" s="922" t="s">
        <v>631</v>
      </c>
      <c r="C34" s="867"/>
      <c r="D34" s="1033">
        <v>2</v>
      </c>
      <c r="E34" s="1034" t="s">
        <v>948</v>
      </c>
      <c r="F34" s="1161" t="s">
        <v>301</v>
      </c>
      <c r="G34" s="1161" t="s">
        <v>301</v>
      </c>
      <c r="H34" s="1161" t="s">
        <v>301</v>
      </c>
      <c r="I34" s="1032"/>
      <c r="J34" s="1032"/>
      <c r="K34" s="630"/>
      <c r="V34" s="846">
        <v>23</v>
      </c>
    </row>
    <row customHeight="1" ht="11.549999999999999">
      <c r="A35" s="846"/>
      <c r="C35" s="846"/>
      <c r="D35" s="688"/>
      <c r="E35" s="921" t="s">
        <v>949</v>
      </c>
      <c r="F35" s="913"/>
      <c r="G35" s="1035"/>
      <c r="H35" s="913"/>
      <c r="I35" s="1035"/>
      <c r="J35" s="913"/>
      <c r="K35" s="914"/>
      <c r="U35" s="846"/>
      <c r="V35" s="846">
        <v>11</v>
      </c>
    </row>
    <row customHeight="1" ht="71.25">
      <c r="A36" s="846"/>
      <c r="B36" s="846" t="s">
        <v>950</v>
      </c>
      <c r="C36" s="867"/>
      <c r="D36" s="1033">
        <v>3</v>
      </c>
      <c r="E36" s="1034" t="s">
        <v>951</v>
      </c>
      <c r="F36" s="1036" t="s">
        <v>301</v>
      </c>
      <c r="G36" s="1155" t="s">
        <v>952</v>
      </c>
      <c r="H36" s="1154" t="s">
        <v>301</v>
      </c>
      <c r="I36" s="865" t="s">
        <v>952</v>
      </c>
      <c r="J36" s="1032" t="s">
        <v>301</v>
      </c>
      <c r="K36" s="630" t="s">
        <v>953</v>
      </c>
      <c r="V36" s="846">
        <v>68</v>
      </c>
    </row>
    <row customHeight="1" ht="11.549999999999999">
      <c r="A37" s="846"/>
      <c r="C37" s="846"/>
      <c r="D37" s="688"/>
      <c r="E37" s="921" t="s">
        <v>954</v>
      </c>
      <c r="F37" s="913"/>
      <c r="G37" s="1035"/>
      <c r="H37" s="1035"/>
      <c r="I37" s="1035"/>
      <c r="J37" s="1035"/>
      <c r="K37" s="914"/>
      <c r="U37" s="846"/>
      <c r="V37" s="846">
        <v>11</v>
      </c>
    </row>
    <row customHeight="1" ht="71.25">
      <c r="A38" s="846"/>
      <c r="B38" s="846" t="s">
        <v>955</v>
      </c>
      <c r="C38" s="867"/>
      <c r="D38" s="1033">
        <v>4</v>
      </c>
      <c r="E38" s="1034" t="s">
        <v>956</v>
      </c>
      <c r="F38" s="1036" t="s">
        <v>301</v>
      </c>
      <c r="G38" s="1155" t="s">
        <v>952</v>
      </c>
      <c r="H38" s="1156" t="s">
        <v>301</v>
      </c>
      <c r="I38" s="865" t="s">
        <v>952</v>
      </c>
      <c r="J38" s="862" t="s">
        <v>301</v>
      </c>
      <c r="K38" s="1020" t="s">
        <v>957</v>
      </c>
      <c r="V38" s="846">
        <v>68</v>
      </c>
    </row>
    <row customHeight="1" ht="11.549999999999999">
      <c r="A39" s="846"/>
      <c r="C39" s="846"/>
      <c r="D39" s="688"/>
      <c r="E39" s="921" t="s">
        <v>958</v>
      </c>
      <c r="F39" s="913"/>
      <c r="G39" s="913"/>
      <c r="H39" s="1037"/>
      <c r="I39" s="913"/>
      <c r="J39" s="1037"/>
      <c r="K39" s="914"/>
      <c r="U39" s="846"/>
      <c r="V39" s="846">
        <v>11</v>
      </c>
    </row>
    <row customHeight="1" ht="22.5" hidden="1">
      <c r="A40" s="790" t="s">
        <v>82</v>
      </c>
      <c r="B40" s="846">
        <v>0</v>
      </c>
      <c r="C40" s="1024">
        <v>4</v>
      </c>
      <c r="D40" s="846">
        <v>6</v>
      </c>
      <c r="E40" s="846">
        <v>36</v>
      </c>
      <c r="F40" s="846">
        <v>9</v>
      </c>
      <c r="G40" s="1099">
        <v>0</v>
      </c>
      <c r="H40" s="1099">
        <v>0</v>
      </c>
      <c r="I40" s="846">
        <v>25</v>
      </c>
      <c r="J40" s="846">
        <v>33</v>
      </c>
      <c r="K40" s="758">
        <v>93</v>
      </c>
      <c r="L40" s="846">
        <v>10</v>
      </c>
      <c r="M40" s="846">
        <v>10</v>
      </c>
      <c r="N40" s="846">
        <v>10</v>
      </c>
      <c r="O40" s="846">
        <v>10</v>
      </c>
      <c r="P40" s="846">
        <v>10</v>
      </c>
      <c r="Q40" s="846">
        <v>10</v>
      </c>
      <c r="R40" s="846">
        <v>10</v>
      </c>
      <c r="S40" s="846">
        <v>10</v>
      </c>
      <c r="T40" s="846">
        <v>10</v>
      </c>
      <c r="U40" s="1016">
        <v>10</v>
      </c>
      <c r="V40" s="846">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557AE4-65E2-E10B-CDBF-224BE8A4FB42}" mc:Ignorable="x14ac xr xr2 xr3">
  <sheetPr>
    <tabColor theme="9" tint="-0.25"/>
  </sheetPr>
  <dimension ref="A1:AE18"/>
  <sheetViews>
    <sheetView showGridLines="0" zoomScale="85" workbookViewId="0">
      <pane xSplit="7" ySplit="10" topLeftCell="H13" activePane="bottomRight" state="frozen"/>
      <selection pane="bottomLeft" activeCell="A11" sqref="A11"/>
      <selection pane="topRight" activeCell="H1" sqref="H1"/>
      <selection pane="bottomRight" activeCell="M13" sqref="M13:M14"/>
    </sheetView>
  </sheetViews>
  <sheetFormatPr defaultColWidth="9.140625" customHeight="1" defaultRowHeight="10.5"/>
  <cols>
    <col min="1" max="3" style="18725" width="6.7109375" hidden="1" customWidth="1"/>
    <col min="4" max="4" style="17315" width="6.7109375" hidden="1" customWidth="1"/>
    <col min="5" max="5" style="17239" width="3.00390625" customWidth="1"/>
    <col min="6" max="6" style="17239" width="6.00390625" customWidth="1"/>
    <col min="7" max="7" style="17239" width="37.00390625" customWidth="1"/>
    <col min="8" max="8" style="17239" width="16.00390625" customWidth="1"/>
    <col min="9" max="10" style="17239" width="19.00390625" customWidth="1"/>
    <col min="11" max="11" style="17239" width="24.00390625" customWidth="1"/>
    <col min="12" max="13" style="17239" width="25.00390625" customWidth="1"/>
    <col min="14" max="16" style="17239" width="17.00390625" customWidth="1"/>
    <col min="17" max="24" style="17239" width="19.00390625" customWidth="1"/>
    <col min="25" max="25" style="17239" width="7.00390625" customWidth="1"/>
    <col min="26" max="26" style="17239" width="3.00390625" customWidth="1"/>
    <col min="27" max="27" style="17239" width="6.00390625" customWidth="1"/>
    <col min="28" max="28" style="17239" width="34.00390625" customWidth="1"/>
    <col min="29" max="30" style="17239" width="8.00390625" customWidth="1"/>
    <col min="31" max="31" style="17239" width="9.140625" hidden="1"/>
  </cols>
  <sheetData>
    <row s="17315" customFormat="1" customHeight="1" ht="10.5" hidden="1">
      <c r="A1" s="1236"/>
      <c r="B1" s="1236"/>
      <c r="C1" s="1236"/>
      <c r="E1" s="878"/>
      <c r="H1" s="1501"/>
      <c r="AE1" s="758" t="s">
        <v>14</v>
      </c>
    </row>
    <row customHeight="1" ht="10.5" hidden="1">
      <c r="AE2" s="1099">
        <v>0</v>
      </c>
    </row>
    <row s="17203" customFormat="1" customHeight="1" ht="10.5" hidden="1">
      <c r="A3" s="1236"/>
      <c r="B3" s="1236"/>
      <c r="C3" s="1236"/>
      <c r="D3" s="758"/>
      <c r="E3" s="703"/>
      <c r="G3" s="1973" t="s">
        <v>959</v>
      </c>
      <c r="H3" s="1497"/>
      <c r="AE3" s="1100">
        <v>0</v>
      </c>
    </row>
    <row customHeight="1" ht="3">
      <c r="AE4" s="1099">
        <v>3</v>
      </c>
    </row>
    <row customHeight="1" ht="27.299999999999997">
      <c r="F5" s="258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89"/>
      <c r="H5" s="2589"/>
      <c r="I5" s="2589"/>
      <c r="J5" s="2589"/>
      <c r="K5" s="2589"/>
      <c r="M5" s="923"/>
      <c r="AB5" s="1247"/>
      <c r="AE5" s="1099">
        <v>26</v>
      </c>
    </row>
    <row s="17239" customFormat="1" customHeight="1" ht="16.8">
      <c r="A6" s="1507"/>
      <c r="B6" s="1507"/>
      <c r="C6" s="1507"/>
      <c r="D6" s="1501"/>
      <c r="E6" s="1976"/>
      <c r="F6" s="2590" t="str">
        <f>IF(org=0,"Не определено",org)</f>
        <v>АО "ДГК"</v>
      </c>
      <c r="G6" s="2590"/>
      <c r="H6" s="2590"/>
      <c r="I6" s="2590"/>
      <c r="J6" s="2590"/>
      <c r="K6" s="2590"/>
      <c r="M6" s="923"/>
      <c r="AB6" s="1489"/>
      <c r="AE6" s="1972">
        <v>16</v>
      </c>
    </row>
    <row customHeight="1" ht="10.5">
      <c r="AE7" s="1099">
        <v>10</v>
      </c>
    </row>
    <row customHeight="1" ht="10.5">
      <c r="A8" s="1392"/>
      <c r="B8" s="1392"/>
      <c r="C8" s="1392"/>
      <c r="F8" s="2442" t="s">
        <v>295</v>
      </c>
      <c r="G8" s="2443"/>
      <c r="H8" s="2443"/>
      <c r="I8" s="2443"/>
      <c r="J8" s="2443"/>
      <c r="K8" s="2443"/>
      <c r="L8" s="2443"/>
      <c r="M8" s="2443"/>
      <c r="N8" s="2443"/>
      <c r="O8" s="2443"/>
      <c r="P8" s="2443"/>
      <c r="Q8" s="2443"/>
      <c r="R8" s="2443"/>
      <c r="S8" s="2443"/>
      <c r="T8" s="2443"/>
      <c r="U8" s="2443"/>
      <c r="V8" s="2443"/>
      <c r="W8" s="2443"/>
      <c r="X8" s="2443"/>
      <c r="Y8" s="2443"/>
      <c r="Z8" s="2443"/>
      <c r="AA8" s="2443"/>
      <c r="AB8" s="2444"/>
      <c r="AE8" s="1099">
        <v>10</v>
      </c>
    </row>
    <row customHeight="1" ht="43.050000000000004">
      <c r="A9" s="1246"/>
      <c r="B9" s="1246"/>
      <c r="C9" s="1246"/>
      <c r="F9" s="2468" t="s">
        <v>88</v>
      </c>
      <c r="G9" s="2468" t="s">
        <v>959</v>
      </c>
      <c r="H9" s="2516" t="s">
        <v>960</v>
      </c>
      <c r="I9" s="2468" t="s">
        <v>961</v>
      </c>
      <c r="J9" s="2468" t="s">
        <v>962</v>
      </c>
      <c r="K9" s="2468" t="s">
        <v>963</v>
      </c>
      <c r="L9" s="2468" t="s">
        <v>964</v>
      </c>
      <c r="M9" s="2468" t="s">
        <v>965</v>
      </c>
      <c r="N9" s="2550" t="s">
        <v>966</v>
      </c>
      <c r="O9" s="2550"/>
      <c r="P9" s="2550"/>
      <c r="Q9" s="2740" t="s">
        <v>967</v>
      </c>
      <c r="R9" s="2741"/>
      <c r="S9" s="2741"/>
      <c r="T9" s="2742"/>
      <c r="U9" s="2740" t="s">
        <v>968</v>
      </c>
      <c r="V9" s="2741"/>
      <c r="W9" s="2741"/>
      <c r="X9" s="2742"/>
      <c r="Y9" s="2442" t="s">
        <v>969</v>
      </c>
      <c r="Z9" s="2443"/>
      <c r="AA9" s="2443"/>
      <c r="AB9" s="2444"/>
      <c r="AE9" s="1099">
        <v>41</v>
      </c>
    </row>
    <row customHeight="1" ht="43.050000000000004">
      <c r="A10" s="1246"/>
      <c r="B10" s="1246"/>
      <c r="C10" s="1246"/>
      <c r="F10" s="2516"/>
      <c r="G10" s="2516"/>
      <c r="H10" s="2573"/>
      <c r="I10" s="2516"/>
      <c r="J10" s="2516"/>
      <c r="K10" s="2516"/>
      <c r="L10" s="2516"/>
      <c r="M10" s="2516"/>
      <c r="N10" s="1244" t="s">
        <v>970</v>
      </c>
      <c r="O10" s="1244" t="s">
        <v>971</v>
      </c>
      <c r="P10" s="1245" t="s">
        <v>972</v>
      </c>
      <c r="Q10" s="1256" t="s">
        <v>89</v>
      </c>
      <c r="R10" s="1256" t="s">
        <v>973</v>
      </c>
      <c r="S10" s="1256" t="s">
        <v>974</v>
      </c>
      <c r="T10" s="1257" t="s">
        <v>975</v>
      </c>
      <c r="U10" s="1256" t="s">
        <v>89</v>
      </c>
      <c r="V10" s="1256" t="s">
        <v>976</v>
      </c>
      <c r="W10" s="1256" t="s">
        <v>974</v>
      </c>
      <c r="X10" s="1257" t="s">
        <v>975</v>
      </c>
      <c r="Y10" s="642" t="s">
        <v>977</v>
      </c>
      <c r="Z10" s="2442" t="s">
        <v>88</v>
      </c>
      <c r="AA10" s="2444"/>
      <c r="AB10" s="1390" t="s">
        <v>978</v>
      </c>
      <c r="AE10" s="1099">
        <v>41</v>
      </c>
    </row>
    <row s="17316" customFormat="1" customHeight="1" ht="5.25" hidden="1">
      <c r="A11" s="1393"/>
      <c r="B11" s="1393"/>
      <c r="C11" s="1393"/>
      <c r="E11" s="1391"/>
      <c r="F11" s="2747" t="s">
        <v>371</v>
      </c>
      <c r="G11" s="2744"/>
      <c r="H11" s="2743"/>
      <c r="I11" s="2743"/>
      <c r="J11" s="2743"/>
      <c r="K11" s="2745"/>
      <c r="L11" s="2745"/>
      <c r="M11" s="2745"/>
      <c r="N11" s="2743"/>
      <c r="O11" s="2743"/>
      <c r="P11" s="2468"/>
      <c r="Q11" s="2520"/>
      <c r="R11" s="2520"/>
      <c r="S11" s="2520"/>
      <c r="T11" s="2743"/>
      <c r="U11" s="2520"/>
      <c r="V11" s="2520"/>
      <c r="W11" s="2520"/>
      <c r="X11" s="2743"/>
      <c r="Y11" s="2449"/>
      <c r="Z11" s="2449"/>
      <c r="AA11" s="2449"/>
      <c r="AB11" s="2449"/>
      <c r="AD11" s="852" t="s">
        <v>979</v>
      </c>
      <c r="AE11" s="852">
        <v>0</v>
      </c>
    </row>
    <row s="17316" customFormat="1" customHeight="1" ht="5.25" hidden="1">
      <c r="A12" s="1237"/>
      <c r="B12" s="1237"/>
      <c r="C12" s="1237"/>
      <c r="E12" s="859"/>
      <c r="F12" s="2747"/>
      <c r="G12" s="2744"/>
      <c r="H12" s="2743"/>
      <c r="I12" s="2743"/>
      <c r="J12" s="2743"/>
      <c r="K12" s="2745"/>
      <c r="L12" s="2745"/>
      <c r="M12" s="2745"/>
      <c r="N12" s="2743"/>
      <c r="O12" s="2743"/>
      <c r="P12" s="2468"/>
      <c r="Q12" s="2520"/>
      <c r="R12" s="2520"/>
      <c r="S12" s="2520"/>
      <c r="T12" s="2743"/>
      <c r="U12" s="2520"/>
      <c r="V12" s="2520"/>
      <c r="W12" s="2520"/>
      <c r="X12" s="2743"/>
      <c r="Y12" s="2746"/>
      <c r="Z12" s="2746"/>
      <c r="AA12" s="2746"/>
      <c r="AB12" s="2746"/>
      <c r="AE12" s="852">
        <v>0</v>
      </c>
    </row>
    <row customHeight="1" ht="60">
      <c r="A13" s="1507"/>
      <c r="B13" s="1507"/>
      <c r="C13" s="1507"/>
      <c r="D13" s="1501"/>
      <c r="E13" s="4557" t="s">
        <v>684</v>
      </c>
      <c r="F13" s="2922" t="s">
        <v>106</v>
      </c>
      <c r="G13" s="2923" t="s">
        <v>980</v>
      </c>
      <c r="H13" s="2924" t="s">
        <v>65</v>
      </c>
      <c r="I13" s="4561">
        <v>45649.42790509259</v>
      </c>
      <c r="J13" s="4562"/>
      <c r="K13" s="2928" t="s">
        <v>981</v>
      </c>
      <c r="L13" s="2891" t="s">
        <v>982</v>
      </c>
      <c r="M13" s="2891" t="s">
        <v>983</v>
      </c>
      <c r="N13" s="2892" t="s">
        <v>984</v>
      </c>
      <c r="O13" s="2892" t="s">
        <v>985</v>
      </c>
      <c r="P13" s="2893" t="str">
        <f>DATEDIF(DATEVALUE(N13),DATEVALUE(O13),"y")&amp;"г. "&amp;DATEDIF(DATEVALUE(N13),DATEVALUE(O13),"ym")&amp;"мес. "&amp;DATEVALUE(O13)-DATE(YEAR(DATEVALUE(O13)),MONTH(DATEVALUE(O13)),1)&amp;"дн. "</f>
        <v>5г. 0мес. 30дн. </v>
      </c>
      <c r="Q13" s="2888" t="s">
        <v>986</v>
      </c>
      <c r="R13" s="2888" t="s">
        <v>987</v>
      </c>
      <c r="S13" s="2888" t="s">
        <v>988</v>
      </c>
      <c r="T13" s="4562">
        <v>45649.42909722222</v>
      </c>
      <c r="U13" s="2888"/>
      <c r="V13" s="2888"/>
      <c r="W13" s="2888"/>
      <c r="X13" s="2889"/>
      <c r="Y13" s="2886" t="s">
        <v>65</v>
      </c>
      <c r="Z13" s="2149"/>
      <c r="AA13" s="2133">
        <v>1</v>
      </c>
      <c r="AB13" s="1583" t="s">
        <v>989</v>
      </c>
      <c r="AC13" s="4573"/>
      <c r="AD13" s="1977" t="s">
        <v>990</v>
      </c>
      <c r="AE13" s="4573"/>
    </row>
    <row customHeight="1" ht="75">
      <c r="A14" s="1507"/>
      <c r="B14" s="1507"/>
      <c r="C14" s="1507"/>
      <c r="D14" s="1501"/>
      <c r="E14" s="1288"/>
      <c r="F14" s="2922" t="s">
        <v>371</v>
      </c>
      <c r="G14" s="2923"/>
      <c r="H14" s="2925"/>
      <c r="I14" s="2927"/>
      <c r="J14" s="2890"/>
      <c r="K14" s="2928"/>
      <c r="L14" s="2891"/>
      <c r="M14" s="2891"/>
      <c r="N14" s="2892"/>
      <c r="O14" s="2892"/>
      <c r="P14" s="2893"/>
      <c r="Q14" s="2888"/>
      <c r="R14" s="2888"/>
      <c r="S14" s="2888"/>
      <c r="T14" s="2890"/>
      <c r="U14" s="2888"/>
      <c r="V14" s="2888"/>
      <c r="W14" s="2888"/>
      <c r="X14" s="2890"/>
      <c r="Y14" s="2887"/>
      <c r="Z14" s="688"/>
      <c r="AA14" s="913"/>
      <c r="AB14" s="993" t="s">
        <v>991</v>
      </c>
      <c r="AC14" s="4573"/>
      <c r="AD14" s="4573"/>
      <c r="AE14" s="4573"/>
    </row>
    <row customHeight="1" ht="10.5">
      <c r="F15" s="1243"/>
      <c r="G15" s="991" t="s">
        <v>992</v>
      </c>
      <c r="H15" s="1509"/>
      <c r="I15" s="913"/>
      <c r="J15" s="913"/>
      <c r="K15" s="913"/>
      <c r="L15" s="913"/>
      <c r="M15" s="913"/>
      <c r="N15" s="913"/>
      <c r="O15" s="913"/>
      <c r="P15" s="913"/>
      <c r="Q15" s="913"/>
      <c r="R15" s="913"/>
      <c r="S15" s="913"/>
      <c r="T15" s="913"/>
      <c r="U15" s="913"/>
      <c r="V15" s="913"/>
      <c r="W15" s="913"/>
      <c r="X15" s="913"/>
      <c r="Y15" s="913"/>
      <c r="Z15" s="1037"/>
      <c r="AA15" s="1037"/>
      <c r="AB15" s="1258"/>
      <c r="AE15" s="1099">
        <v>10</v>
      </c>
    </row>
    <row customHeight="1" ht="10.5">
      <c r="AE16" s="1099">
        <v>10</v>
      </c>
    </row>
    <row s="17316" customFormat="1" customHeight="1" ht="10.5">
      <c r="A17" s="1508"/>
      <c r="B17" s="1508"/>
      <c r="C17" s="1508"/>
      <c r="E17" s="859"/>
      <c r="H17" s="852">
        <f>_xlfn.IFERROR(MATCH("нет",IP_MAIN_DIFFERENTIATION_EVENTS_FLAG,0),0)</f>
        <v>0</v>
      </c>
      <c r="AE17" s="852">
        <v>10</v>
      </c>
    </row>
    <row customHeight="1" ht="10.5" hidden="1">
      <c r="A18" s="1236" t="s">
        <v>82</v>
      </c>
      <c r="B18" s="1236">
        <v>0</v>
      </c>
      <c r="C18" s="1236">
        <v>0</v>
      </c>
      <c r="D18" s="758">
        <v>0</v>
      </c>
      <c r="E18" s="850">
        <v>3</v>
      </c>
      <c r="F18" s="1099">
        <v>6</v>
      </c>
      <c r="G18" s="1099">
        <v>37</v>
      </c>
      <c r="H18" s="1496">
        <v>16</v>
      </c>
      <c r="I18" s="1099">
        <v>19</v>
      </c>
      <c r="J18" s="1099">
        <v>19</v>
      </c>
      <c r="K18" s="1099">
        <v>24</v>
      </c>
      <c r="L18" s="1099">
        <v>25</v>
      </c>
      <c r="M18" s="1099">
        <v>25</v>
      </c>
      <c r="N18" s="1099">
        <v>17</v>
      </c>
      <c r="O18" s="1099">
        <v>17</v>
      </c>
      <c r="P18" s="1099">
        <v>17</v>
      </c>
      <c r="Q18" s="1099">
        <v>19</v>
      </c>
      <c r="R18" s="1099">
        <v>19</v>
      </c>
      <c r="S18" s="1099">
        <v>19</v>
      </c>
      <c r="T18" s="1099">
        <v>19</v>
      </c>
      <c r="U18" s="1099">
        <v>19</v>
      </c>
      <c r="V18" s="1099">
        <v>19</v>
      </c>
      <c r="W18" s="1099">
        <v>19</v>
      </c>
      <c r="X18" s="1099">
        <v>19</v>
      </c>
      <c r="Y18" s="1099">
        <v>7</v>
      </c>
      <c r="Z18" s="1099">
        <v>3</v>
      </c>
      <c r="AA18" s="1099">
        <v>6</v>
      </c>
      <c r="AB18" s="1099">
        <v>34</v>
      </c>
      <c r="AC18" s="1099">
        <v>8</v>
      </c>
      <c r="AD18" s="1099">
        <v>8</v>
      </c>
      <c r="AE18" s="1099">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49CC0E-44C7-C7A3-45D1-CBC40EA6D091}" mc:Ignorable="x14ac xr xr2 xr3">
  <sheetPr>
    <tabColor theme="9" tint="-0.25"/>
  </sheetPr>
  <dimension ref="A1:BG760"/>
  <sheetViews>
    <sheetView showGridLines="0" zoomScale="90" workbookViewId="0">
      <pane xSplit="8" ySplit="12" topLeftCell="I553" activePane="bottomRight" state="frozen"/>
      <selection pane="bottomLeft" activeCell="A13" sqref="A13"/>
      <selection pane="topRight" activeCell="I1" sqref="I1"/>
      <selection pane="bottomRight" activeCell="AC584" sqref="AC584"/>
    </sheetView>
  </sheetViews>
  <sheetFormatPr defaultColWidth="9.140625" customHeight="1" defaultRowHeight="10.5"/>
  <cols>
    <col min="1" max="3" style="18725" width="4.140625" hidden="1" customWidth="1"/>
    <col min="4" max="4" style="17315" width="4.140625" hidden="1" customWidth="1"/>
    <col min="5" max="5" style="17239" width="3.00390625" customWidth="1"/>
    <col min="6" max="6" style="17239" width="14.00390625" customWidth="1"/>
    <col min="7" max="7" style="17239" width="3.00390625" customWidth="1"/>
    <col min="8" max="8" style="17239" width="7.00390625" customWidth="1"/>
    <col min="9" max="10" style="17239" width="16.00390625" customWidth="1"/>
    <col min="11" max="11" style="17239" width="25.00390625" customWidth="1"/>
    <col min="12" max="12" style="17239" width="7.00390625" customWidth="1"/>
    <col min="13" max="13" style="17239" width="15.00390625" customWidth="1"/>
    <col min="14" max="14" style="17239" width="3.00390625" customWidth="1"/>
    <col min="15" max="15" style="17239" width="4.00390625" customWidth="1"/>
    <col min="16" max="16" style="17239" width="8.00390625" customWidth="1"/>
    <col min="17" max="17" style="17239" width="21.00390625" customWidth="1"/>
    <col min="18" max="18" style="17239" width="14.00390625" customWidth="1"/>
    <col min="19" max="20" style="17239" width="17.00390625" customWidth="1"/>
    <col min="21" max="21" style="17239" width="9.00390625" customWidth="1"/>
    <col min="22" max="22" style="17239" width="12.00390625" customWidth="1"/>
    <col min="23" max="23" style="17239" width="9.00390625" customWidth="1"/>
    <col min="24" max="24" style="17239" width="21.00390625" customWidth="1"/>
    <col min="25" max="25" style="17239" width="12.00390625" customWidth="1"/>
    <col min="26" max="26" style="17239" width="3.00390625" customWidth="1"/>
    <col min="27" max="27" style="17239" width="6.00390625" customWidth="1"/>
    <col min="28" max="28" style="17239" width="38.00390625" customWidth="1"/>
    <col min="29" max="29" style="17239" width="15.00390625" customWidth="1"/>
    <col min="30" max="30" style="17239" width="37.57421875" hidden="1" customWidth="1"/>
    <col min="31" max="31" style="17239" width="15.7109375" hidden="1" customWidth="1"/>
    <col min="32" max="34" style="17239" width="16.00390625" customWidth="1"/>
    <col min="35" max="37" style="17239" width="16.7109375" hidden="1" customWidth="1"/>
    <col min="38" max="58" style="17239" width="8.00390625" customWidth="1"/>
    <col min="59" max="59" style="17239" width="9.140625" hidden="1"/>
  </cols>
  <sheetData>
    <row s="17315" customFormat="1" customHeight="1" ht="10.5" hidden="1">
      <c r="A1" s="1236"/>
      <c r="B1" s="1236"/>
      <c r="C1" s="1236"/>
      <c r="E1" s="878"/>
      <c r="H1" s="1501"/>
      <c r="L1" s="1469"/>
      <c r="M1" s="1469"/>
      <c r="AD1" s="1469"/>
      <c r="AH1" s="1488"/>
      <c r="AI1" s="1481"/>
      <c r="BG1" s="758" t="s">
        <v>14</v>
      </c>
    </row>
    <row customHeight="1" ht="10.5" hidden="1">
      <c r="BG2" s="1099">
        <v>0</v>
      </c>
    </row>
    <row s="17203" customFormat="1" customHeight="1" ht="10.5" hidden="1">
      <c r="A3" s="1236"/>
      <c r="B3" s="1236"/>
      <c r="C3" s="1236"/>
      <c r="D3" s="758"/>
      <c r="E3" s="703"/>
      <c r="H3" s="1497"/>
      <c r="L3" s="1467"/>
      <c r="M3" s="1467"/>
      <c r="AD3" s="1467"/>
      <c r="AH3" s="1486"/>
      <c r="AI3" s="1479"/>
      <c r="BG3" s="1100">
        <v>0</v>
      </c>
    </row>
    <row customHeight="1" ht="3">
      <c r="BG4" s="1099">
        <v>3</v>
      </c>
    </row>
    <row customHeight="1" ht="27.299999999999997">
      <c r="F5" s="258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89"/>
      <c r="H5" s="2589"/>
      <c r="I5" s="2589"/>
      <c r="J5" s="2589"/>
      <c r="K5" s="2589"/>
      <c r="L5" s="1476"/>
      <c r="M5" s="1476"/>
      <c r="AG5" s="1247"/>
      <c r="AH5" s="1489"/>
      <c r="BG5" s="1099">
        <v>26</v>
      </c>
    </row>
    <row customHeight="1" ht="10.5">
      <c r="F6" s="2517" t="str">
        <f>IF(org=0,"Не определено",org)</f>
        <v>АО "ДГК"</v>
      </c>
      <c r="G6" s="2517"/>
      <c r="H6" s="2517"/>
      <c r="I6" s="2517"/>
      <c r="J6" s="2517"/>
      <c r="K6" s="2517"/>
      <c r="L6" s="1477"/>
      <c r="M6" s="1477"/>
      <c r="BG6" s="1099">
        <v>10</v>
      </c>
    </row>
    <row customHeight="1" ht="11.549999999999999">
      <c r="E7" s="1249"/>
      <c r="F7" s="1260"/>
      <c r="G7" s="1260"/>
      <c r="H7" s="1525"/>
      <c r="I7" s="1260"/>
      <c r="J7" s="1260"/>
      <c r="K7" s="1262"/>
      <c r="L7" s="1474"/>
      <c r="M7" s="1474"/>
      <c r="N7" s="1260"/>
      <c r="O7" s="1260"/>
      <c r="P7" s="1260"/>
      <c r="Q7" s="1262"/>
      <c r="R7" s="1260"/>
      <c r="S7" s="1260"/>
      <c r="T7" s="1260"/>
      <c r="U7" s="1260"/>
      <c r="V7" s="1260"/>
      <c r="W7" s="1260"/>
      <c r="X7" s="1260"/>
      <c r="Y7" s="1260"/>
      <c r="Z7" s="1260"/>
      <c r="AA7" s="1260"/>
      <c r="AB7" s="1260"/>
      <c r="AC7" s="1261"/>
      <c r="AD7" s="1473"/>
      <c r="AE7" s="1261"/>
      <c r="AF7" s="1260"/>
      <c r="AG7" s="1260"/>
      <c r="AH7" s="1491"/>
      <c r="AI7" s="1484"/>
      <c r="AJ7" s="1260"/>
      <c r="AK7" s="1260"/>
      <c r="AL7" s="1251"/>
      <c r="AM7" s="1251"/>
      <c r="AN7" s="1251"/>
      <c r="AO7" s="1248"/>
      <c r="AP7" s="1248"/>
      <c r="AQ7" s="1248"/>
      <c r="AR7" s="1248"/>
      <c r="AS7" s="1248"/>
      <c r="AT7" s="1248"/>
      <c r="AU7" s="1248"/>
      <c r="AV7" s="1248"/>
      <c r="AW7" s="1248"/>
      <c r="AX7" s="1248"/>
      <c r="AY7" s="1248"/>
      <c r="AZ7" s="1248"/>
      <c r="BA7" s="1248"/>
      <c r="BB7" s="1248"/>
      <c r="BC7" s="1248"/>
      <c r="BD7" s="1248"/>
      <c r="BE7" s="1248"/>
      <c r="BF7" s="1248"/>
      <c r="BG7" s="1099">
        <v>11</v>
      </c>
    </row>
    <row customHeight="1" ht="10.5">
      <c r="E8" s="1249"/>
      <c r="F8" s="2756" t="s">
        <v>295</v>
      </c>
      <c r="G8" s="2757"/>
      <c r="H8" s="2757"/>
      <c r="I8" s="2757"/>
      <c r="J8" s="2757"/>
      <c r="K8" s="2757"/>
      <c r="L8" s="2757"/>
      <c r="M8" s="2757"/>
      <c r="N8" s="2757"/>
      <c r="O8" s="2757"/>
      <c r="P8" s="2757"/>
      <c r="Q8" s="2757"/>
      <c r="R8" s="2757"/>
      <c r="S8" s="2757"/>
      <c r="T8" s="2757"/>
      <c r="U8" s="2757"/>
      <c r="V8" s="2757"/>
      <c r="W8" s="2757"/>
      <c r="X8" s="2757"/>
      <c r="Y8" s="2757"/>
      <c r="Z8" s="2757"/>
      <c r="AA8" s="2757"/>
      <c r="AB8" s="2757"/>
      <c r="AC8" s="2757"/>
      <c r="AD8" s="2757"/>
      <c r="AE8" s="2757"/>
      <c r="AF8" s="2757"/>
      <c r="AG8" s="2757"/>
      <c r="AH8" s="2757"/>
      <c r="AI8" s="2757"/>
      <c r="AJ8" s="2757"/>
      <c r="AK8" s="2758"/>
      <c r="AL8" s="1250"/>
      <c r="AM8" s="1248"/>
      <c r="AN8" s="1248"/>
      <c r="AO8" s="1248"/>
      <c r="AP8" s="1248"/>
      <c r="AQ8" s="1248"/>
      <c r="AR8" s="1248"/>
      <c r="AS8" s="1248"/>
      <c r="AT8" s="1248"/>
      <c r="AU8" s="1248"/>
      <c r="AV8" s="1248"/>
      <c r="AW8" s="1248"/>
      <c r="AX8" s="1248"/>
      <c r="AY8" s="1248"/>
      <c r="AZ8" s="1248"/>
      <c r="BA8" s="1248"/>
      <c r="BB8" s="1248"/>
      <c r="BC8" s="1248"/>
      <c r="BD8" s="1248"/>
      <c r="BE8" s="1248"/>
      <c r="BF8" s="1248"/>
      <c r="BG8" s="1099">
        <v>10</v>
      </c>
    </row>
    <row customHeight="1" ht="24">
      <c r="A9" s="1246"/>
      <c r="B9" s="1246"/>
      <c r="C9" s="1246"/>
      <c r="E9" s="1249"/>
      <c r="F9" s="2749" t="s">
        <v>993</v>
      </c>
      <c r="G9" s="2750" t="s">
        <v>994</v>
      </c>
      <c r="H9" s="2751"/>
      <c r="I9" s="2468" t="s">
        <v>995</v>
      </c>
      <c r="J9" s="2468"/>
      <c r="K9" s="2468" t="s">
        <v>996</v>
      </c>
      <c r="L9" s="2468"/>
      <c r="M9" s="2468"/>
      <c r="N9" s="2468"/>
      <c r="O9" s="2468"/>
      <c r="P9" s="2468"/>
      <c r="Q9" s="2468"/>
      <c r="R9" s="2468"/>
      <c r="S9" s="2468"/>
      <c r="T9" s="2468"/>
      <c r="U9" s="2468"/>
      <c r="V9" s="2468"/>
      <c r="W9" s="2468"/>
      <c r="X9" s="2468"/>
      <c r="Y9" s="2468"/>
      <c r="Z9" s="2533" t="s">
        <v>997</v>
      </c>
      <c r="AA9" s="2534"/>
      <c r="AB9" s="2468" t="s">
        <v>998</v>
      </c>
      <c r="AC9" s="2468"/>
      <c r="AD9" s="2468"/>
      <c r="AE9" s="2468"/>
      <c r="AF9" s="2516" t="s">
        <v>999</v>
      </c>
      <c r="AG9" s="2468" t="s">
        <v>1000</v>
      </c>
      <c r="AH9" s="2468"/>
      <c r="AI9" s="2516" t="s">
        <v>1001</v>
      </c>
      <c r="AJ9" s="2468" t="s">
        <v>1002</v>
      </c>
      <c r="AK9" s="2468"/>
      <c r="AL9" s="1483"/>
      <c r="AM9" s="1248"/>
      <c r="AN9" s="1248"/>
      <c r="AO9" s="1248"/>
      <c r="AP9" s="1248"/>
      <c r="AQ9" s="1248"/>
      <c r="AR9" s="1248"/>
      <c r="AS9" s="1248"/>
      <c r="AT9" s="1248"/>
      <c r="AU9" s="1248"/>
      <c r="AV9" s="1248"/>
      <c r="AW9" s="1248"/>
      <c r="AX9" s="1248"/>
      <c r="AY9" s="1248"/>
      <c r="AZ9" s="1248"/>
      <c r="BA9" s="1248"/>
      <c r="BB9" s="1248"/>
      <c r="BC9" s="1248"/>
      <c r="BD9" s="1248"/>
      <c r="BE9" s="1248"/>
      <c r="BF9" s="1248"/>
      <c r="BG9" s="1099">
        <v>23</v>
      </c>
    </row>
    <row customHeight="1" ht="25.2">
      <c r="A10" s="1246"/>
      <c r="B10" s="1246"/>
      <c r="C10" s="1246"/>
      <c r="E10" s="1253"/>
      <c r="F10" s="2749"/>
      <c r="G10" s="2752"/>
      <c r="H10" s="2753"/>
      <c r="I10" s="2468"/>
      <c r="J10" s="2468"/>
      <c r="K10" s="2468" t="s">
        <v>1003</v>
      </c>
      <c r="L10" s="2442" t="s">
        <v>1004</v>
      </c>
      <c r="M10" s="2444"/>
      <c r="N10" s="2468" t="s">
        <v>1005</v>
      </c>
      <c r="O10" s="2468"/>
      <c r="P10" s="2468"/>
      <c r="Q10" s="2468"/>
      <c r="R10" s="2468"/>
      <c r="S10" s="2468"/>
      <c r="T10" s="2468"/>
      <c r="U10" s="2468"/>
      <c r="V10" s="2468"/>
      <c r="W10" s="2468"/>
      <c r="X10" s="2468"/>
      <c r="Y10" s="2468"/>
      <c r="Z10" s="2535"/>
      <c r="AA10" s="2536"/>
      <c r="AB10" s="2468"/>
      <c r="AC10" s="2468"/>
      <c r="AD10" s="2468"/>
      <c r="AE10" s="2468"/>
      <c r="AF10" s="2540"/>
      <c r="AG10" s="2468"/>
      <c r="AH10" s="2468"/>
      <c r="AI10" s="2540"/>
      <c r="AJ10" s="2468"/>
      <c r="AK10" s="2468"/>
      <c r="AL10" s="1483"/>
      <c r="AM10" s="1254"/>
      <c r="AN10" s="1254"/>
      <c r="AO10" s="1254"/>
      <c r="AP10" s="1254"/>
      <c r="AQ10" s="1254"/>
      <c r="AR10" s="1254"/>
      <c r="AS10" s="1254"/>
      <c r="AT10" s="1254"/>
      <c r="AU10" s="1254"/>
      <c r="AV10" s="1254"/>
      <c r="AW10" s="1254"/>
      <c r="AX10" s="1254"/>
      <c r="AY10" s="1254"/>
      <c r="AZ10" s="1254"/>
      <c r="BA10" s="1254"/>
      <c r="BB10" s="1254"/>
      <c r="BC10" s="1254"/>
      <c r="BD10" s="1254"/>
      <c r="BE10" s="1254"/>
      <c r="BF10" s="1254"/>
      <c r="BG10" s="1099">
        <v>24</v>
      </c>
    </row>
    <row s="17239" customFormat="1" customHeight="1" ht="25.2">
      <c r="A11" s="1470"/>
      <c r="B11" s="1470"/>
      <c r="C11" s="1470"/>
      <c r="D11" s="1469"/>
      <c r="E11" s="1471"/>
      <c r="F11" s="2749"/>
      <c r="G11" s="2752"/>
      <c r="H11" s="2753"/>
      <c r="I11" s="2468"/>
      <c r="J11" s="2468"/>
      <c r="K11" s="2468"/>
      <c r="L11" s="2516" t="s">
        <v>1006</v>
      </c>
      <c r="M11" s="2516" t="s">
        <v>1007</v>
      </c>
      <c r="N11" s="2468" t="s">
        <v>1008</v>
      </c>
      <c r="O11" s="2468"/>
      <c r="P11" s="2759" t="s">
        <v>977</v>
      </c>
      <c r="Q11" s="2759" t="s">
        <v>1009</v>
      </c>
      <c r="R11" s="2759" t="s">
        <v>1010</v>
      </c>
      <c r="S11" s="2759" t="s">
        <v>1011</v>
      </c>
      <c r="T11" s="2759"/>
      <c r="U11" s="2759"/>
      <c r="V11" s="2759"/>
      <c r="W11" s="2759"/>
      <c r="X11" s="2759"/>
      <c r="Y11" s="2759"/>
      <c r="Z11" s="2535"/>
      <c r="AA11" s="2536"/>
      <c r="AB11" s="2468" t="s">
        <v>1012</v>
      </c>
      <c r="AC11" s="2468"/>
      <c r="AD11" s="2442" t="s">
        <v>1013</v>
      </c>
      <c r="AE11" s="2444"/>
      <c r="AF11" s="2540"/>
      <c r="AG11" s="2468"/>
      <c r="AH11" s="2468"/>
      <c r="AI11" s="2540"/>
      <c r="AJ11" s="2468"/>
      <c r="AK11" s="2468"/>
      <c r="AL11" s="1483"/>
      <c r="AM11" s="1468"/>
      <c r="AN11" s="1468"/>
      <c r="AO11" s="1468"/>
      <c r="AP11" s="1468"/>
      <c r="AQ11" s="1468"/>
      <c r="AR11" s="1468"/>
      <c r="AS11" s="1468"/>
      <c r="AT11" s="1468"/>
      <c r="AU11" s="1468"/>
      <c r="AV11" s="1468"/>
      <c r="AW11" s="1468"/>
      <c r="AX11" s="1468"/>
      <c r="AY11" s="1468"/>
      <c r="AZ11" s="1468"/>
      <c r="BA11" s="1468"/>
      <c r="BB11" s="1468"/>
      <c r="BC11" s="1468"/>
      <c r="BD11" s="1468"/>
      <c r="BE11" s="1468"/>
      <c r="BF11" s="1468"/>
      <c r="BG11" s="1466">
        <v>24</v>
      </c>
    </row>
    <row customHeight="1" ht="35.699999999999996">
      <c r="A12" s="1246"/>
      <c r="B12" s="1246"/>
      <c r="C12" s="1246"/>
      <c r="E12" s="1249"/>
      <c r="F12" s="2749"/>
      <c r="G12" s="2754"/>
      <c r="H12" s="2755"/>
      <c r="I12" s="1494" t="s">
        <v>89</v>
      </c>
      <c r="J12" s="1494" t="s">
        <v>1014</v>
      </c>
      <c r="K12" s="2468"/>
      <c r="L12" s="2573"/>
      <c r="M12" s="2573"/>
      <c r="N12" s="2468"/>
      <c r="O12" s="2468"/>
      <c r="P12" s="2759"/>
      <c r="Q12" s="2759"/>
      <c r="R12" s="2759"/>
      <c r="S12" s="1475" t="s">
        <v>86</v>
      </c>
      <c r="T12" s="1475" t="s">
        <v>87</v>
      </c>
      <c r="U12" s="1475" t="s">
        <v>85</v>
      </c>
      <c r="V12" s="1475" t="s">
        <v>1015</v>
      </c>
      <c r="W12" s="1475" t="s">
        <v>85</v>
      </c>
      <c r="X12" s="1475" t="s">
        <v>1016</v>
      </c>
      <c r="Y12" s="1475" t="s">
        <v>1017</v>
      </c>
      <c r="Z12" s="2541"/>
      <c r="AA12" s="2542"/>
      <c r="AB12" s="1482" t="s">
        <v>1018</v>
      </c>
      <c r="AC12" s="1482" t="s">
        <v>1019</v>
      </c>
      <c r="AD12" s="1482" t="s">
        <v>1018</v>
      </c>
      <c r="AE12" s="1482" t="s">
        <v>1019</v>
      </c>
      <c r="AF12" s="2573"/>
      <c r="AG12" s="1495" t="s">
        <v>1020</v>
      </c>
      <c r="AH12" s="1495" t="s">
        <v>1021</v>
      </c>
      <c r="AI12" s="2573"/>
      <c r="AJ12" s="1495" t="s">
        <v>1020</v>
      </c>
      <c r="AK12" s="1495" t="s">
        <v>1021</v>
      </c>
      <c r="AL12" s="1483"/>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099">
        <v>34</v>
      </c>
    </row>
    <row customHeight="1" ht="1.05">
      <c r="E13" s="1249"/>
      <c r="F13" s="1465">
        <v>0</v>
      </c>
      <c r="G13" s="1465"/>
      <c r="H13" s="1465"/>
      <c r="I13" s="1465"/>
      <c r="J13" s="1465"/>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90"/>
      <c r="AI13" s="1483"/>
      <c r="AJ13" s="1472"/>
      <c r="AK13" s="1472"/>
      <c r="AL13" s="1250"/>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099">
        <v>1</v>
      </c>
    </row>
    <row customHeight="1" ht="21">
      <c r="A14" s="1508" t="s">
        <v>990</v>
      </c>
      <c r="B14" s="1507"/>
      <c r="C14" s="1507"/>
      <c r="D14" s="1501"/>
      <c r="E14" s="1511" t="s">
        <v>22</v>
      </c>
      <c r="F14" s="1463" t="str">
        <f>INDEX(IP_MAIN_LIST_NAME_IP,MATCH(A14,IP_MAIN_LIST_IP_ID,0))&amp;" ("&amp;INDEX(IP_MAIN_START_DATE,MATCH(A14,IP_MAIN_LIST_IP_ID,0))&amp;"-"&amp;INDEX(IP_MAIN_END_DATE,MATCH(A14,IP_MAIN_LIST_IP_ID,0))&amp;")"</f>
        <v>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 (23.12.2024-31.12.2029)</v>
      </c>
      <c r="G14" s="1464"/>
      <c r="H14" s="1464"/>
      <c r="I14" s="1526"/>
      <c r="J14" s="1526"/>
      <c r="K14" s="1527"/>
      <c r="L14" s="1527"/>
      <c r="M14" s="1527"/>
      <c r="N14" s="1528"/>
      <c r="O14" s="1528"/>
      <c r="P14" s="1528"/>
      <c r="Q14" s="1528"/>
      <c r="R14" s="1528"/>
      <c r="S14" s="1528"/>
      <c r="T14" s="1528"/>
      <c r="U14" s="1528"/>
      <c r="V14" s="1528"/>
      <c r="W14" s="1528"/>
      <c r="X14" s="1528"/>
      <c r="Y14" s="1528"/>
      <c r="Z14" s="1528"/>
      <c r="AA14" s="1528"/>
      <c r="AB14" s="1528"/>
      <c r="AC14" s="1528"/>
      <c r="AD14" s="1528"/>
      <c r="AE14" s="1529"/>
      <c r="AF14" s="1527"/>
      <c r="AG14" s="1527"/>
      <c r="AH14" s="1527"/>
      <c r="AI14" s="1527"/>
      <c r="AJ14" s="1527"/>
      <c r="AK14" s="1527"/>
      <c r="AL14" s="2329"/>
      <c r="AM14" s="2164"/>
      <c r="AN14" s="2164"/>
      <c r="AO14" s="2164"/>
      <c r="AP14" s="2164"/>
      <c r="AQ14" s="2164"/>
      <c r="AR14" s="2164"/>
      <c r="AS14" s="2164"/>
      <c r="AT14" s="2164"/>
      <c r="AU14" s="2164"/>
      <c r="AV14" s="2164"/>
      <c r="AW14" s="2164"/>
      <c r="AX14" s="2164"/>
      <c r="AY14" s="2164"/>
      <c r="AZ14" s="2164"/>
      <c r="BA14" s="2164"/>
      <c r="BB14" s="2164"/>
      <c r="BC14" s="2164"/>
      <c r="BD14" s="2164"/>
      <c r="BE14" s="2164"/>
      <c r="BF14" s="2164"/>
      <c r="BG14" s="4573"/>
    </row>
    <row customHeight="1" ht="0.75">
      <c r="A15" s="1507" t="s">
        <v>990</v>
      </c>
      <c r="B15" s="1507"/>
      <c r="C15" s="1507"/>
      <c r="D15" s="1501"/>
      <c r="E15" s="1511"/>
      <c r="F15" s="2877">
        <v>2024</v>
      </c>
      <c r="G15" s="2856"/>
      <c r="H15" s="2881" t="s">
        <v>371</v>
      </c>
      <c r="I15" s="2882"/>
      <c r="J15" s="2883"/>
      <c r="K15" s="2883"/>
      <c r="L15" s="2875"/>
      <c r="M15" s="2609"/>
      <c r="N15" s="2377"/>
      <c r="O15" s="2376"/>
      <c r="P15" s="2377"/>
      <c r="Q15" s="2377"/>
      <c r="R15" s="2377"/>
      <c r="S15" s="2377"/>
      <c r="T15" s="2377"/>
      <c r="U15" s="2377"/>
      <c r="V15" s="2377"/>
      <c r="W15" s="2377"/>
      <c r="X15" s="2377"/>
      <c r="Y15" s="2377"/>
      <c r="Z15" s="2377"/>
      <c r="AA15" s="2377"/>
      <c r="AB15" s="2377"/>
      <c r="AC15" s="2377"/>
      <c r="AD15" s="2377"/>
      <c r="AE15" s="2377"/>
      <c r="AF15" s="2879"/>
      <c r="AG15" s="2875"/>
      <c r="AH15" s="2875"/>
      <c r="AI15" s="2879"/>
      <c r="AJ15" s="2875"/>
      <c r="AK15" s="2875"/>
      <c r="AL15" s="2329"/>
      <c r="AM15" s="2164"/>
      <c r="AN15" s="2164"/>
      <c r="AO15" s="2164"/>
      <c r="AP15" s="2164"/>
      <c r="AQ15" s="2164"/>
      <c r="AR15" s="2164"/>
      <c r="AS15" s="2164"/>
      <c r="AT15" s="2164"/>
      <c r="AU15" s="2164"/>
      <c r="AV15" s="2164"/>
      <c r="AW15" s="2164"/>
      <c r="AX15" s="2164"/>
      <c r="AY15" s="2164"/>
      <c r="AZ15" s="2164"/>
      <c r="BA15" s="2164"/>
      <c r="BB15" s="2164"/>
      <c r="BC15" s="2164"/>
      <c r="BD15" s="2164"/>
      <c r="BE15" s="2164"/>
      <c r="BF15" s="2164"/>
      <c r="BG15" s="4573"/>
    </row>
    <row customHeight="1" ht="0.75">
      <c r="A16" s="1507" t="s">
        <v>990</v>
      </c>
      <c r="B16" s="1507"/>
      <c r="C16" s="1507"/>
      <c r="D16" s="1501"/>
      <c r="E16" s="1511"/>
      <c r="F16" s="2877"/>
      <c r="G16" s="2856"/>
      <c r="H16" s="2881"/>
      <c r="I16" s="2882"/>
      <c r="J16" s="2883"/>
      <c r="K16" s="2883"/>
      <c r="L16" s="2875"/>
      <c r="M16" s="2609"/>
      <c r="N16" s="2884"/>
      <c r="O16" s="2885"/>
      <c r="P16" s="2929"/>
      <c r="Q16" s="2880"/>
      <c r="R16" s="2880"/>
      <c r="S16" s="2880"/>
      <c r="T16" s="2880"/>
      <c r="U16" s="2880"/>
      <c r="V16" s="2880"/>
      <c r="W16" s="2880"/>
      <c r="X16" s="2880"/>
      <c r="Y16" s="2880"/>
      <c r="Z16" s="2378"/>
      <c r="AA16" s="2379"/>
      <c r="AB16" s="2379"/>
      <c r="AC16" s="2380"/>
      <c r="AD16" s="2380"/>
      <c r="AE16" s="2381"/>
      <c r="AF16" s="2879"/>
      <c r="AG16" s="2875"/>
      <c r="AH16" s="2875"/>
      <c r="AI16" s="2879"/>
      <c r="AJ16" s="2875"/>
      <c r="AK16" s="2875"/>
      <c r="AL16" s="2329"/>
      <c r="AM16" s="2164"/>
      <c r="AN16" s="2164"/>
      <c r="AO16" s="2164"/>
      <c r="AP16" s="2164"/>
      <c r="AQ16" s="2164"/>
      <c r="AR16" s="2164"/>
      <c r="AS16" s="2164"/>
      <c r="AT16" s="2164"/>
      <c r="AU16" s="2164"/>
      <c r="AV16" s="2164"/>
      <c r="AW16" s="2164"/>
      <c r="AX16" s="2164"/>
      <c r="AY16" s="2164"/>
      <c r="AZ16" s="2164"/>
      <c r="BA16" s="2164"/>
      <c r="BB16" s="2164"/>
      <c r="BC16" s="2164"/>
      <c r="BD16" s="2164"/>
      <c r="BE16" s="2164"/>
      <c r="BF16" s="2164"/>
      <c r="BG16" s="4573"/>
    </row>
    <row customHeight="1" ht="0.75">
      <c r="A17" s="1507" t="s">
        <v>990</v>
      </c>
      <c r="B17" s="1507"/>
      <c r="C17" s="1507"/>
      <c r="D17" s="1501"/>
      <c r="E17" s="1511"/>
      <c r="F17" s="2877"/>
      <c r="G17" s="2856"/>
      <c r="H17" s="2881"/>
      <c r="I17" s="2882"/>
      <c r="J17" s="2883"/>
      <c r="K17" s="2883"/>
      <c r="L17" s="2875"/>
      <c r="M17" s="2609"/>
      <c r="N17" s="2884"/>
      <c r="O17" s="2885"/>
      <c r="P17" s="2930"/>
      <c r="Q17" s="2880"/>
      <c r="R17" s="2880"/>
      <c r="S17" s="2880"/>
      <c r="T17" s="2880"/>
      <c r="U17" s="2880"/>
      <c r="V17" s="2880"/>
      <c r="W17" s="2880"/>
      <c r="X17" s="2880"/>
      <c r="Y17" s="2880"/>
      <c r="Z17" s="2382"/>
      <c r="AA17" s="2383"/>
      <c r="AB17" s="2384"/>
      <c r="AC17" s="2385"/>
      <c r="AD17" s="2384"/>
      <c r="AE17" s="2385"/>
      <c r="AF17" s="2879"/>
      <c r="AG17" s="2875"/>
      <c r="AH17" s="2875"/>
      <c r="AI17" s="2879"/>
      <c r="AJ17" s="2875"/>
      <c r="AK17" s="2875"/>
      <c r="AL17" s="2329"/>
      <c r="AM17" s="2164"/>
      <c r="AN17" s="2164"/>
      <c r="AO17" s="2164"/>
      <c r="AP17" s="2164"/>
      <c r="AQ17" s="2164"/>
      <c r="AR17" s="2164"/>
      <c r="AS17" s="2164"/>
      <c r="AT17" s="2164"/>
      <c r="AU17" s="2164"/>
      <c r="AV17" s="2164"/>
      <c r="AW17" s="2164"/>
      <c r="AX17" s="2164"/>
      <c r="AY17" s="2164"/>
      <c r="AZ17" s="2164"/>
      <c r="BA17" s="2164"/>
      <c r="BB17" s="2164"/>
      <c r="BC17" s="2164"/>
      <c r="BD17" s="2164"/>
      <c r="BE17" s="2164"/>
      <c r="BF17" s="2164"/>
      <c r="BG17" s="4573"/>
    </row>
    <row customHeight="1" ht="0.75">
      <c r="A18" s="1507" t="s">
        <v>990</v>
      </c>
      <c r="B18" s="1507"/>
      <c r="C18" s="1507"/>
      <c r="D18" s="1501"/>
      <c r="E18" s="1511"/>
      <c r="F18" s="2877"/>
      <c r="G18" s="2856"/>
      <c r="H18" s="2881"/>
      <c r="I18" s="2882"/>
      <c r="J18" s="2883"/>
      <c r="K18" s="2883"/>
      <c r="L18" s="2875"/>
      <c r="M18" s="2609"/>
      <c r="N18" s="2884"/>
      <c r="O18" s="2885"/>
      <c r="P18" s="2931"/>
      <c r="Q18" s="2880"/>
      <c r="R18" s="2880"/>
      <c r="S18" s="2880"/>
      <c r="T18" s="2880"/>
      <c r="U18" s="2880"/>
      <c r="V18" s="2880"/>
      <c r="W18" s="2880"/>
      <c r="X18" s="2880"/>
      <c r="Y18" s="2880"/>
      <c r="Z18" s="2378"/>
      <c r="AA18" s="2379"/>
      <c r="AB18" s="2386"/>
      <c r="AC18" s="2380"/>
      <c r="AD18" s="2380"/>
      <c r="AE18" s="2387"/>
      <c r="AF18" s="2879"/>
      <c r="AG18" s="2875"/>
      <c r="AH18" s="2875"/>
      <c r="AI18" s="2879"/>
      <c r="AJ18" s="2875"/>
      <c r="AK18" s="2875"/>
      <c r="AL18" s="2329"/>
      <c r="AM18" s="2164"/>
      <c r="AN18" s="2164"/>
      <c r="AO18" s="2164"/>
      <c r="AP18" s="2164"/>
      <c r="AQ18" s="2164"/>
      <c r="AR18" s="2164"/>
      <c r="AS18" s="2164"/>
      <c r="AT18" s="2164"/>
      <c r="AU18" s="2164"/>
      <c r="AV18" s="2164"/>
      <c r="AW18" s="2164"/>
      <c r="AX18" s="2164"/>
      <c r="AY18" s="2164"/>
      <c r="AZ18" s="2164"/>
      <c r="BA18" s="2164"/>
      <c r="BB18" s="2164"/>
      <c r="BC18" s="2164"/>
      <c r="BD18" s="2164"/>
      <c r="BE18" s="2164"/>
      <c r="BF18" s="2164"/>
      <c r="BG18" s="4573"/>
    </row>
    <row customHeight="1" ht="0.75">
      <c r="A19" s="1507" t="s">
        <v>990</v>
      </c>
      <c r="B19" s="1507"/>
      <c r="C19" s="1507"/>
      <c r="D19" s="1501"/>
      <c r="E19" s="1511"/>
      <c r="F19" s="2877"/>
      <c r="G19" s="2856"/>
      <c r="H19" s="2881"/>
      <c r="I19" s="2882"/>
      <c r="J19" s="2883"/>
      <c r="K19" s="2883"/>
      <c r="L19" s="2875"/>
      <c r="M19" s="2609"/>
      <c r="N19" s="2379"/>
      <c r="O19" s="2379"/>
      <c r="P19" s="2386"/>
      <c r="Q19" s="2379"/>
      <c r="R19" s="2379"/>
      <c r="S19" s="2379"/>
      <c r="T19" s="2379"/>
      <c r="U19" s="2379"/>
      <c r="V19" s="2379"/>
      <c r="W19" s="2379"/>
      <c r="X19" s="2379"/>
      <c r="Y19" s="2379"/>
      <c r="Z19" s="2379"/>
      <c r="AA19" s="2379"/>
      <c r="AB19" s="2379"/>
      <c r="AC19" s="2379"/>
      <c r="AD19" s="2379"/>
      <c r="AE19" s="2388"/>
      <c r="AF19" s="2879"/>
      <c r="AG19" s="2875"/>
      <c r="AH19" s="2875"/>
      <c r="AI19" s="2879"/>
      <c r="AJ19" s="2875"/>
      <c r="AK19" s="2875"/>
      <c r="AL19" s="2329"/>
      <c r="AM19" s="2164"/>
      <c r="AN19" s="2164"/>
      <c r="AO19" s="2164"/>
      <c r="AP19" s="2164"/>
      <c r="AQ19" s="2164"/>
      <c r="AR19" s="2164"/>
      <c r="AS19" s="2164"/>
      <c r="AT19" s="2164"/>
      <c r="AU19" s="2164"/>
      <c r="AV19" s="2164"/>
      <c r="AW19" s="2164"/>
      <c r="AX19" s="2164"/>
      <c r="AY19" s="2164"/>
      <c r="AZ19" s="2164"/>
      <c r="BA19" s="2164"/>
      <c r="BB19" s="2164"/>
      <c r="BC19" s="2164"/>
      <c r="BD19" s="2164"/>
      <c r="BE19" s="2164"/>
      <c r="BF19" s="2164"/>
      <c r="BG19" s="4573"/>
    </row>
    <row customHeight="1" ht="11.25">
      <c r="A20" s="1507" t="s">
        <v>990</v>
      </c>
      <c r="B20" s="1507" t="s">
        <v>1022</v>
      </c>
      <c r="C20" s="1507"/>
      <c r="D20" s="1501"/>
      <c r="E20" s="1511"/>
      <c r="F20" s="2170"/>
      <c r="G20" s="4557" t="s">
        <v>684</v>
      </c>
      <c r="H20" s="2856" t="s">
        <v>106</v>
      </c>
      <c r="I20" s="2857" t="s">
        <v>1023</v>
      </c>
      <c r="J20" s="2826" t="s">
        <v>1024</v>
      </c>
      <c r="K20" s="2858" t="s">
        <v>1025</v>
      </c>
      <c r="L20" s="2448" t="s">
        <v>19</v>
      </c>
      <c r="M20" s="2449"/>
      <c r="N20" s="2327"/>
      <c r="O20" s="1518" t="s">
        <v>371</v>
      </c>
      <c r="P20" s="1519"/>
      <c r="Q20" s="1519"/>
      <c r="R20" s="1519"/>
      <c r="S20" s="1519"/>
      <c r="T20" s="1519"/>
      <c r="U20" s="1519"/>
      <c r="V20" s="1519"/>
      <c r="W20" s="1519"/>
      <c r="X20" s="1519"/>
      <c r="Y20" s="1519"/>
      <c r="Z20" s="1519"/>
      <c r="AA20" s="1519"/>
      <c r="AB20" s="1519"/>
      <c r="AC20" s="1519"/>
      <c r="AD20" s="1519"/>
      <c r="AE20" s="1519"/>
      <c r="AF20" s="2847">
        <v>4</v>
      </c>
      <c r="AG20" s="2848" t="s">
        <v>1026</v>
      </c>
      <c r="AH20" s="2848" t="s">
        <v>1027</v>
      </c>
      <c r="AI20" s="2847"/>
      <c r="AJ20" s="2848"/>
      <c r="AK20" s="2848"/>
      <c r="AL20" s="2329"/>
      <c r="AM20" s="2164"/>
      <c r="AN20" s="2164"/>
      <c r="AO20" s="2164"/>
      <c r="AP20" s="2164"/>
      <c r="AQ20" s="2164"/>
      <c r="AR20" s="2164"/>
      <c r="AS20" s="2164"/>
      <c r="AT20" s="2164"/>
      <c r="AU20" s="2164"/>
      <c r="AV20" s="2164"/>
      <c r="AW20" s="2164"/>
      <c r="AX20" s="2164"/>
      <c r="AY20" s="2164"/>
      <c r="AZ20" s="2164"/>
      <c r="BA20" s="2164"/>
      <c r="BB20" s="2164"/>
      <c r="BC20" s="2164"/>
      <c r="BD20" s="2164"/>
      <c r="BE20" s="2164"/>
      <c r="BF20" s="2164"/>
      <c r="BG20" s="4573"/>
    </row>
    <row customHeight="1" ht="11.25">
      <c r="A21" s="1507" t="s">
        <v>990</v>
      </c>
      <c r="B21" s="1507"/>
      <c r="C21" s="1507"/>
      <c r="D21" s="1501"/>
      <c r="E21" s="1511"/>
      <c r="F21" s="2170"/>
      <c r="G21" s="2171"/>
      <c r="H21" s="2856" t="s">
        <v>371</v>
      </c>
      <c r="I21" s="2857"/>
      <c r="J21" s="2826"/>
      <c r="K21" s="2858"/>
      <c r="L21" s="2448"/>
      <c r="M21" s="2449"/>
      <c r="N21" s="2849"/>
      <c r="O21" s="2850">
        <v>1</v>
      </c>
      <c r="P21" s="2851" t="s">
        <v>65</v>
      </c>
      <c r="Q21" s="4672" t="s">
        <v>1028</v>
      </c>
      <c r="R21" s="4673" t="s">
        <v>1029</v>
      </c>
      <c r="S21" s="4673" t="s">
        <v>1030</v>
      </c>
      <c r="T21" s="4673" t="s">
        <v>1030</v>
      </c>
      <c r="U21" s="4673" t="s">
        <v>1031</v>
      </c>
      <c r="V21" s="4673" t="s">
        <v>1032</v>
      </c>
      <c r="W21" s="4673" t="s">
        <v>1033</v>
      </c>
      <c r="X21" s="4673" t="s">
        <v>1034</v>
      </c>
      <c r="Y21" s="4673" t="s">
        <v>106</v>
      </c>
      <c r="Z21" s="1516"/>
      <c r="AA21" s="1517"/>
      <c r="AB21" s="1517"/>
      <c r="AC21" s="1521"/>
      <c r="AD21" s="1521"/>
      <c r="AE21" s="1522"/>
      <c r="AF21" s="2847"/>
      <c r="AG21" s="2848"/>
      <c r="AH21" s="2848"/>
      <c r="AI21" s="2847"/>
      <c r="AJ21" s="2848"/>
      <c r="AK21" s="2848"/>
      <c r="AL21" s="2329"/>
      <c r="AM21" s="2164"/>
      <c r="AN21" s="2164"/>
      <c r="AO21" s="2164"/>
      <c r="AP21" s="2164"/>
      <c r="AQ21" s="2164"/>
      <c r="AR21" s="2164"/>
      <c r="AS21" s="2164"/>
      <c r="AT21" s="2164"/>
      <c r="AU21" s="2164"/>
      <c r="AV21" s="2164"/>
      <c r="AW21" s="2164"/>
      <c r="AX21" s="2164"/>
      <c r="AY21" s="2164"/>
      <c r="AZ21" s="2164"/>
      <c r="BA21" s="2164"/>
      <c r="BB21" s="2164"/>
      <c r="BC21" s="2164"/>
      <c r="BD21" s="2164"/>
      <c r="BE21" s="2164"/>
      <c r="BF21" s="2164"/>
      <c r="BG21" s="4573"/>
    </row>
    <row customHeight="1" ht="11.25">
      <c r="A22" s="1507" t="s">
        <v>990</v>
      </c>
      <c r="B22" s="1507"/>
      <c r="C22" s="1507"/>
      <c r="D22" s="1501"/>
      <c r="E22" s="1511"/>
      <c r="F22" s="2170"/>
      <c r="G22" s="2171"/>
      <c r="H22" s="2856" t="s">
        <v>371</v>
      </c>
      <c r="I22" s="2857"/>
      <c r="J22" s="2826"/>
      <c r="K22" s="2858"/>
      <c r="L22" s="2448"/>
      <c r="M22" s="2449"/>
      <c r="N22" s="2849"/>
      <c r="O22" s="2850"/>
      <c r="P22" s="2852"/>
      <c r="Q22" s="4672"/>
      <c r="R22" s="2854"/>
      <c r="S22" s="2855"/>
      <c r="T22" s="2854"/>
      <c r="U22" s="2854"/>
      <c r="V22" s="2854"/>
      <c r="W22" s="2854"/>
      <c r="X22" s="2854"/>
      <c r="Y22" s="2854"/>
      <c r="Z22" s="2169"/>
      <c r="AA22" s="2135">
        <v>1</v>
      </c>
      <c r="AB22" s="1520" t="s">
        <v>1035</v>
      </c>
      <c r="AC22" s="1510">
        <v>1953.70992</v>
      </c>
      <c r="AD22" s="1520" t="str">
        <f>AB22</f>
        <v>      Амортизационные отчисления с выделением результатов переоценки основных средств и нематериальных активов</v>
      </c>
      <c r="AE22" s="1510"/>
      <c r="AF22" s="2847"/>
      <c r="AG22" s="2848"/>
      <c r="AH22" s="2848"/>
      <c r="AI22" s="2847"/>
      <c r="AJ22" s="2848"/>
      <c r="AK22" s="2848"/>
      <c r="AL22" s="2329"/>
      <c r="AM22" s="2164"/>
      <c r="AN22" s="2164"/>
      <c r="AO22" s="2164"/>
      <c r="AP22" s="2164"/>
      <c r="AQ22" s="2164"/>
      <c r="AR22" s="2164"/>
      <c r="AS22" s="2164"/>
      <c r="AT22" s="2164"/>
      <c r="AU22" s="2164"/>
      <c r="AV22" s="2164"/>
      <c r="AW22" s="2164"/>
      <c r="AX22" s="2164"/>
      <c r="AY22" s="2164"/>
      <c r="AZ22" s="2164"/>
      <c r="BA22" s="2164"/>
      <c r="BB22" s="2164"/>
      <c r="BC22" s="2164"/>
      <c r="BD22" s="2164"/>
      <c r="BE22" s="2164"/>
      <c r="BF22" s="2164"/>
      <c r="BG22" s="4573"/>
    </row>
    <row customHeight="1" ht="11.25">
      <c r="A23" s="1507" t="s">
        <v>990</v>
      </c>
      <c r="B23" s="1507"/>
      <c r="C23" s="1507"/>
      <c r="D23" s="1501"/>
      <c r="E23" s="1511"/>
      <c r="F23" s="2171"/>
      <c r="G23" s="2171"/>
      <c r="H23" s="2171"/>
      <c r="I23" s="2171"/>
      <c r="J23" s="4685"/>
      <c r="K23" s="2171"/>
      <c r="L23" s="2171"/>
      <c r="M23" s="2171"/>
      <c r="N23" s="2171"/>
      <c r="O23" s="2171"/>
      <c r="P23" s="2171"/>
      <c r="Q23" s="2171"/>
      <c r="R23" s="2171"/>
      <c r="S23" s="2171"/>
      <c r="T23" s="2171"/>
      <c r="U23" s="2171"/>
      <c r="V23" s="2171"/>
      <c r="W23" s="2171"/>
      <c r="X23" s="2171"/>
      <c r="Y23" s="2171"/>
      <c r="Z23" s="4557" t="s">
        <v>684</v>
      </c>
      <c r="AA23" s="2155" t="s">
        <v>107</v>
      </c>
      <c r="AB23" s="1520" t="s">
        <v>1036</v>
      </c>
      <c r="AC23" s="1510">
        <v>390.74198</v>
      </c>
      <c r="AD23" s="1520" t="str">
        <f>AB23</f>
        <v>  Прочие собственные средства</v>
      </c>
      <c r="AE23" s="1510"/>
      <c r="AF23" s="2172"/>
      <c r="AG23" s="2100"/>
      <c r="AH23" s="2100"/>
      <c r="AI23" s="2172"/>
      <c r="AJ23" s="2100"/>
      <c r="AK23" s="2328"/>
      <c r="AL23" s="2329"/>
      <c r="AM23" s="2164"/>
      <c r="AN23" s="2164"/>
      <c r="AO23" s="2164"/>
      <c r="AP23" s="2164"/>
      <c r="AQ23" s="2164"/>
      <c r="AR23" s="2164"/>
      <c r="AS23" s="2164"/>
      <c r="AT23" s="2164"/>
      <c r="AU23" s="2164"/>
      <c r="AV23" s="2164"/>
      <c r="AW23" s="2164"/>
      <c r="AX23" s="2164"/>
      <c r="AY23" s="2164"/>
      <c r="AZ23" s="2164"/>
      <c r="BA23" s="2164"/>
      <c r="BB23" s="2164"/>
      <c r="BC23" s="2164"/>
      <c r="BD23" s="2164"/>
      <c r="BE23" s="2164"/>
      <c r="BF23" s="2164"/>
      <c r="BG23" s="4573"/>
    </row>
    <row customHeight="1" ht="11.25">
      <c r="A24" s="1507" t="s">
        <v>990</v>
      </c>
      <c r="B24" s="1507"/>
      <c r="C24" s="1507"/>
      <c r="D24" s="1501"/>
      <c r="E24" s="1511"/>
      <c r="F24" s="2170"/>
      <c r="G24" s="2171"/>
      <c r="H24" s="2856" t="s">
        <v>371</v>
      </c>
      <c r="I24" s="2857"/>
      <c r="J24" s="2826"/>
      <c r="K24" s="2858"/>
      <c r="L24" s="2448"/>
      <c r="M24" s="2449"/>
      <c r="N24" s="2849"/>
      <c r="O24" s="2850"/>
      <c r="P24" s="2853"/>
      <c r="Q24" s="4672"/>
      <c r="R24" s="2854"/>
      <c r="S24" s="2855"/>
      <c r="T24" s="2854"/>
      <c r="U24" s="2854"/>
      <c r="V24" s="2854"/>
      <c r="W24" s="2854"/>
      <c r="X24" s="2854"/>
      <c r="Y24" s="2854"/>
      <c r="Z24" s="1516"/>
      <c r="AA24" s="1517"/>
      <c r="AB24" s="1582" t="s">
        <v>1037</v>
      </c>
      <c r="AC24" s="1521"/>
      <c r="AD24" s="1521"/>
      <c r="AE24" s="1523"/>
      <c r="AF24" s="2847"/>
      <c r="AG24" s="2848"/>
      <c r="AH24" s="2848"/>
      <c r="AI24" s="2847"/>
      <c r="AJ24" s="2848"/>
      <c r="AK24" s="2848"/>
      <c r="AL24" s="2329"/>
      <c r="AM24" s="2164"/>
      <c r="AN24" s="2164"/>
      <c r="AO24" s="2164"/>
      <c r="AP24" s="2164"/>
      <c r="AQ24" s="2164"/>
      <c r="AR24" s="2164"/>
      <c r="AS24" s="2164"/>
      <c r="AT24" s="2164"/>
      <c r="AU24" s="2164"/>
      <c r="AV24" s="2164"/>
      <c r="AW24" s="2164"/>
      <c r="AX24" s="2164"/>
      <c r="AY24" s="2164"/>
      <c r="AZ24" s="2164"/>
      <c r="BA24" s="2164"/>
      <c r="BB24" s="2164"/>
      <c r="BC24" s="2164"/>
      <c r="BD24" s="2164"/>
      <c r="BE24" s="2164"/>
      <c r="BF24" s="2164"/>
      <c r="BG24" s="4573"/>
    </row>
    <row customHeight="1" ht="11.25">
      <c r="A25" s="1507" t="s">
        <v>990</v>
      </c>
      <c r="B25" s="1507"/>
      <c r="C25" s="1507"/>
      <c r="D25" s="1501"/>
      <c r="E25" s="1511"/>
      <c r="F25" s="2170"/>
      <c r="G25" s="2171"/>
      <c r="H25" s="2856" t="s">
        <v>371</v>
      </c>
      <c r="I25" s="2857"/>
      <c r="J25" s="2826"/>
      <c r="K25" s="2858"/>
      <c r="L25" s="2448"/>
      <c r="M25" s="2449"/>
      <c r="N25" s="1516"/>
      <c r="O25" s="1517"/>
      <c r="P25" s="1509" t="s">
        <v>1038</v>
      </c>
      <c r="Q25" s="1517"/>
      <c r="R25" s="1517"/>
      <c r="S25" s="1517"/>
      <c r="T25" s="1517"/>
      <c r="U25" s="1517"/>
      <c r="V25" s="1517"/>
      <c r="W25" s="1517"/>
      <c r="X25" s="1517"/>
      <c r="Y25" s="1517"/>
      <c r="Z25" s="1517"/>
      <c r="AA25" s="1517"/>
      <c r="AB25" s="1517"/>
      <c r="AC25" s="1517"/>
      <c r="AD25" s="1517"/>
      <c r="AE25" s="1524"/>
      <c r="AF25" s="2847"/>
      <c r="AG25" s="2848"/>
      <c r="AH25" s="2848"/>
      <c r="AI25" s="2847"/>
      <c r="AJ25" s="2848"/>
      <c r="AK25" s="2848"/>
      <c r="AL25" s="2329"/>
      <c r="AM25" s="2164"/>
      <c r="AN25" s="2164"/>
      <c r="AO25" s="2164"/>
      <c r="AP25" s="2164"/>
      <c r="AQ25" s="2164"/>
      <c r="AR25" s="2164"/>
      <c r="AS25" s="2164"/>
      <c r="AT25" s="2164"/>
      <c r="AU25" s="2164"/>
      <c r="AV25" s="2164"/>
      <c r="AW25" s="2164"/>
      <c r="AX25" s="2164"/>
      <c r="AY25" s="2164"/>
      <c r="AZ25" s="2164"/>
      <c r="BA25" s="2164"/>
      <c r="BB25" s="2164"/>
      <c r="BC25" s="2164"/>
      <c r="BD25" s="2164"/>
      <c r="BE25" s="2164"/>
      <c r="BF25" s="2164"/>
      <c r="BG25" s="4573"/>
    </row>
    <row customHeight="1" ht="11.25">
      <c r="A26" s="1507" t="s">
        <v>990</v>
      </c>
      <c r="B26" s="1507" t="s">
        <v>22</v>
      </c>
      <c r="C26" s="1507"/>
      <c r="D26" s="1501"/>
      <c r="E26" s="1511"/>
      <c r="F26" s="2170"/>
      <c r="G26" s="4557" t="s">
        <v>684</v>
      </c>
      <c r="H26" s="2856" t="s">
        <v>107</v>
      </c>
      <c r="I26" s="2857" t="s">
        <v>1039</v>
      </c>
      <c r="J26" s="4694" t="s">
        <v>22</v>
      </c>
      <c r="K26" s="2858" t="s">
        <v>1040</v>
      </c>
      <c r="L26" s="2448" t="s">
        <v>19</v>
      </c>
      <c r="M26" s="2449"/>
      <c r="N26" s="2327"/>
      <c r="O26" s="1518" t="s">
        <v>371</v>
      </c>
      <c r="P26" s="1519"/>
      <c r="Q26" s="1519"/>
      <c r="R26" s="1519"/>
      <c r="S26" s="1519"/>
      <c r="T26" s="1519"/>
      <c r="U26" s="1519"/>
      <c r="V26" s="1519"/>
      <c r="W26" s="1519"/>
      <c r="X26" s="1519"/>
      <c r="Y26" s="1519"/>
      <c r="Z26" s="1519"/>
      <c r="AA26" s="1519"/>
      <c r="AB26" s="1519"/>
      <c r="AC26" s="1519"/>
      <c r="AD26" s="1519"/>
      <c r="AE26" s="1519"/>
      <c r="AF26" s="2847">
        <v>4</v>
      </c>
      <c r="AG26" s="2848" t="s">
        <v>1026</v>
      </c>
      <c r="AH26" s="2848" t="s">
        <v>1027</v>
      </c>
      <c r="AI26" s="2847"/>
      <c r="AJ26" s="2848"/>
      <c r="AK26" s="2848"/>
      <c r="AL26" s="2329"/>
      <c r="AM26" s="2164"/>
      <c r="AN26" s="2164"/>
      <c r="AO26" s="2164"/>
      <c r="AP26" s="2164"/>
      <c r="AQ26" s="2164"/>
      <c r="AR26" s="2164"/>
      <c r="AS26" s="2164"/>
      <c r="AT26" s="2164"/>
      <c r="AU26" s="2164"/>
      <c r="AV26" s="2164"/>
      <c r="AW26" s="2164"/>
      <c r="AX26" s="2164"/>
      <c r="AY26" s="2164"/>
      <c r="AZ26" s="2164"/>
      <c r="BA26" s="2164"/>
      <c r="BB26" s="2164"/>
      <c r="BC26" s="2164"/>
      <c r="BD26" s="2164"/>
      <c r="BE26" s="2164"/>
      <c r="BF26" s="2164"/>
      <c r="BG26" s="4573"/>
    </row>
    <row customHeight="1" ht="11.25">
      <c r="A27" s="1507" t="s">
        <v>990</v>
      </c>
      <c r="B27" s="1507"/>
      <c r="C27" s="1507"/>
      <c r="D27" s="1501"/>
      <c r="E27" s="1511"/>
      <c r="F27" s="2170"/>
      <c r="G27" s="2171"/>
      <c r="H27" s="2856" t="s">
        <v>106</v>
      </c>
      <c r="I27" s="2857"/>
      <c r="J27" s="4694"/>
      <c r="K27" s="2858"/>
      <c r="L27" s="2448"/>
      <c r="M27" s="2449"/>
      <c r="N27" s="2849"/>
      <c r="O27" s="2850">
        <v>1</v>
      </c>
      <c r="P27" s="2851" t="s">
        <v>65</v>
      </c>
      <c r="Q27" s="4672" t="s">
        <v>1041</v>
      </c>
      <c r="R27" s="4673" t="s">
        <v>1042</v>
      </c>
      <c r="S27" s="4673" t="s">
        <v>1043</v>
      </c>
      <c r="T27" s="4673" t="s">
        <v>1044</v>
      </c>
      <c r="U27" s="4673" t="s">
        <v>1045</v>
      </c>
      <c r="V27" s="4673" t="s">
        <v>1046</v>
      </c>
      <c r="W27" s="4673" t="s">
        <v>1047</v>
      </c>
      <c r="X27" s="4673" t="s">
        <v>1048</v>
      </c>
      <c r="Y27" s="4673" t="s">
        <v>1049</v>
      </c>
      <c r="Z27" s="1516"/>
      <c r="AA27" s="1517"/>
      <c r="AB27" s="1517"/>
      <c r="AC27" s="1521"/>
      <c r="AD27" s="1521"/>
      <c r="AE27" s="1522"/>
      <c r="AF27" s="2847"/>
      <c r="AG27" s="2848"/>
      <c r="AH27" s="2848"/>
      <c r="AI27" s="2847"/>
      <c r="AJ27" s="2848"/>
      <c r="AK27" s="2848"/>
      <c r="AL27" s="2329"/>
      <c r="AM27" s="2164"/>
      <c r="AN27" s="2164"/>
      <c r="AO27" s="2164"/>
      <c r="AP27" s="2164"/>
      <c r="AQ27" s="2164"/>
      <c r="AR27" s="2164"/>
      <c r="AS27" s="2164"/>
      <c r="AT27" s="2164"/>
      <c r="AU27" s="2164"/>
      <c r="AV27" s="2164"/>
      <c r="AW27" s="2164"/>
      <c r="AX27" s="2164"/>
      <c r="AY27" s="2164"/>
      <c r="AZ27" s="2164"/>
      <c r="BA27" s="2164"/>
      <c r="BB27" s="2164"/>
      <c r="BC27" s="2164"/>
      <c r="BD27" s="2164"/>
      <c r="BE27" s="2164"/>
      <c r="BF27" s="2164"/>
      <c r="BG27" s="4573"/>
    </row>
    <row customHeight="1" ht="11.25">
      <c r="A28" s="1507" t="s">
        <v>990</v>
      </c>
      <c r="B28" s="1507"/>
      <c r="C28" s="1507"/>
      <c r="D28" s="1501"/>
      <c r="E28" s="1511"/>
      <c r="F28" s="2170"/>
      <c r="G28" s="2171"/>
      <c r="H28" s="2856" t="s">
        <v>106</v>
      </c>
      <c r="I28" s="2857"/>
      <c r="J28" s="4694"/>
      <c r="K28" s="2858"/>
      <c r="L28" s="2448"/>
      <c r="M28" s="2449"/>
      <c r="N28" s="2849"/>
      <c r="O28" s="2850"/>
      <c r="P28" s="2852"/>
      <c r="Q28" s="4672"/>
      <c r="R28" s="2854"/>
      <c r="S28" s="2855"/>
      <c r="T28" s="2854"/>
      <c r="U28" s="2854"/>
      <c r="V28" s="2854"/>
      <c r="W28" s="2854"/>
      <c r="X28" s="2854"/>
      <c r="Y28" s="2854"/>
      <c r="Z28" s="2169"/>
      <c r="AA28" s="2135">
        <v>1</v>
      </c>
      <c r="AB28" s="1520" t="s">
        <v>1035</v>
      </c>
      <c r="AC28" s="1510">
        <v>25723.85545</v>
      </c>
      <c r="AD28" s="1520" t="str">
        <f>AB28</f>
        <v>      Амортизационные отчисления с выделением результатов переоценки основных средств и нематериальных активов</v>
      </c>
      <c r="AE28" s="1510"/>
      <c r="AF28" s="2847"/>
      <c r="AG28" s="2848"/>
      <c r="AH28" s="2848"/>
      <c r="AI28" s="2847"/>
      <c r="AJ28" s="2848"/>
      <c r="AK28" s="2848"/>
      <c r="AL28" s="2329"/>
      <c r="AM28" s="2164"/>
      <c r="AN28" s="2164"/>
      <c r="AO28" s="2164"/>
      <c r="AP28" s="2164"/>
      <c r="AQ28" s="2164"/>
      <c r="AR28" s="2164"/>
      <c r="AS28" s="2164"/>
      <c r="AT28" s="2164"/>
      <c r="AU28" s="2164"/>
      <c r="AV28" s="2164"/>
      <c r="AW28" s="2164"/>
      <c r="AX28" s="2164"/>
      <c r="AY28" s="2164"/>
      <c r="AZ28" s="2164"/>
      <c r="BA28" s="2164"/>
      <c r="BB28" s="2164"/>
      <c r="BC28" s="2164"/>
      <c r="BD28" s="2164"/>
      <c r="BE28" s="2164"/>
      <c r="BF28" s="2164"/>
      <c r="BG28" s="4573"/>
    </row>
    <row customHeight="1" ht="11.25">
      <c r="A29" s="1507" t="s">
        <v>990</v>
      </c>
      <c r="B29" s="1507"/>
      <c r="C29" s="1507"/>
      <c r="D29" s="1501"/>
      <c r="E29" s="1511"/>
      <c r="F29" s="2171"/>
      <c r="G29" s="2171"/>
      <c r="H29" s="2171"/>
      <c r="I29" s="2171"/>
      <c r="J29" s="4695"/>
      <c r="K29" s="2171"/>
      <c r="L29" s="2171"/>
      <c r="M29" s="2171"/>
      <c r="N29" s="2171"/>
      <c r="O29" s="2171"/>
      <c r="P29" s="2171"/>
      <c r="Q29" s="2171"/>
      <c r="R29" s="2171"/>
      <c r="S29" s="2171"/>
      <c r="T29" s="2171"/>
      <c r="U29" s="2171"/>
      <c r="V29" s="2171"/>
      <c r="W29" s="2171"/>
      <c r="X29" s="2171"/>
      <c r="Y29" s="2171"/>
      <c r="Z29" s="4557" t="s">
        <v>684</v>
      </c>
      <c r="AA29" s="2155" t="s">
        <v>107</v>
      </c>
      <c r="AB29" s="1520" t="s">
        <v>1036</v>
      </c>
      <c r="AC29" s="1510">
        <v>4854.224</v>
      </c>
      <c r="AD29" s="1520" t="str">
        <f>AB29</f>
        <v>  Прочие собственные средства</v>
      </c>
      <c r="AE29" s="1510"/>
      <c r="AF29" s="2172"/>
      <c r="AG29" s="2100"/>
      <c r="AH29" s="2100"/>
      <c r="AI29" s="2172"/>
      <c r="AJ29" s="2100"/>
      <c r="AK29" s="2328"/>
      <c r="AL29" s="2329"/>
      <c r="AM29" s="2164"/>
      <c r="AN29" s="2164"/>
      <c r="AO29" s="2164"/>
      <c r="AP29" s="2164"/>
      <c r="AQ29" s="2164"/>
      <c r="AR29" s="2164"/>
      <c r="AS29" s="2164"/>
      <c r="AT29" s="2164"/>
      <c r="AU29" s="2164"/>
      <c r="AV29" s="2164"/>
      <c r="AW29" s="2164"/>
      <c r="AX29" s="2164"/>
      <c r="AY29" s="2164"/>
      <c r="AZ29" s="2164"/>
      <c r="BA29" s="2164"/>
      <c r="BB29" s="2164"/>
      <c r="BC29" s="2164"/>
      <c r="BD29" s="2164"/>
      <c r="BE29" s="2164"/>
      <c r="BF29" s="2164"/>
      <c r="BG29" s="4573"/>
    </row>
    <row customHeight="1" ht="11.25">
      <c r="A30" s="1507" t="s">
        <v>990</v>
      </c>
      <c r="B30" s="1507"/>
      <c r="C30" s="1507"/>
      <c r="D30" s="1501"/>
      <c r="E30" s="1511"/>
      <c r="F30" s="2170"/>
      <c r="G30" s="2171"/>
      <c r="H30" s="2856" t="s">
        <v>106</v>
      </c>
      <c r="I30" s="2857"/>
      <c r="J30" s="4694"/>
      <c r="K30" s="2858"/>
      <c r="L30" s="2448"/>
      <c r="M30" s="2449"/>
      <c r="N30" s="2849"/>
      <c r="O30" s="2850"/>
      <c r="P30" s="2853"/>
      <c r="Q30" s="4672"/>
      <c r="R30" s="2854"/>
      <c r="S30" s="2855"/>
      <c r="T30" s="2854"/>
      <c r="U30" s="2854"/>
      <c r="V30" s="2854"/>
      <c r="W30" s="2854"/>
      <c r="X30" s="2854"/>
      <c r="Y30" s="2854"/>
      <c r="Z30" s="1516"/>
      <c r="AA30" s="1517"/>
      <c r="AB30" s="1582" t="s">
        <v>1037</v>
      </c>
      <c r="AC30" s="1521"/>
      <c r="AD30" s="1521"/>
      <c r="AE30" s="1523"/>
      <c r="AF30" s="2847"/>
      <c r="AG30" s="2848"/>
      <c r="AH30" s="2848"/>
      <c r="AI30" s="2847"/>
      <c r="AJ30" s="2848"/>
      <c r="AK30" s="2848"/>
      <c r="AL30" s="2329"/>
      <c r="AM30" s="2164"/>
      <c r="AN30" s="2164"/>
      <c r="AO30" s="2164"/>
      <c r="AP30" s="2164"/>
      <c r="AQ30" s="2164"/>
      <c r="AR30" s="2164"/>
      <c r="AS30" s="2164"/>
      <c r="AT30" s="2164"/>
      <c r="AU30" s="2164"/>
      <c r="AV30" s="2164"/>
      <c r="AW30" s="2164"/>
      <c r="AX30" s="2164"/>
      <c r="AY30" s="2164"/>
      <c r="AZ30" s="2164"/>
      <c r="BA30" s="2164"/>
      <c r="BB30" s="2164"/>
      <c r="BC30" s="2164"/>
      <c r="BD30" s="2164"/>
      <c r="BE30" s="2164"/>
      <c r="BF30" s="2164"/>
      <c r="BG30" s="4573"/>
    </row>
    <row customHeight="1" ht="11.25">
      <c r="A31" s="1507" t="s">
        <v>990</v>
      </c>
      <c r="B31" s="1507"/>
      <c r="C31" s="1507"/>
      <c r="D31" s="1501"/>
      <c r="E31" s="1511"/>
      <c r="F31" s="2170"/>
      <c r="G31" s="2171"/>
      <c r="H31" s="2856" t="s">
        <v>106</v>
      </c>
      <c r="I31" s="2857"/>
      <c r="J31" s="4694"/>
      <c r="K31" s="2858"/>
      <c r="L31" s="2448"/>
      <c r="M31" s="2449"/>
      <c r="N31" s="1516"/>
      <c r="O31" s="1517"/>
      <c r="P31" s="1509" t="s">
        <v>1038</v>
      </c>
      <c r="Q31" s="1517"/>
      <c r="R31" s="1517"/>
      <c r="S31" s="1517"/>
      <c r="T31" s="1517"/>
      <c r="U31" s="1517"/>
      <c r="V31" s="1517"/>
      <c r="W31" s="1517"/>
      <c r="X31" s="1517"/>
      <c r="Y31" s="1517"/>
      <c r="Z31" s="1517"/>
      <c r="AA31" s="1517"/>
      <c r="AB31" s="1517"/>
      <c r="AC31" s="1517"/>
      <c r="AD31" s="1517"/>
      <c r="AE31" s="1524"/>
      <c r="AF31" s="2847"/>
      <c r="AG31" s="2848"/>
      <c r="AH31" s="2848"/>
      <c r="AI31" s="2847"/>
      <c r="AJ31" s="2848"/>
      <c r="AK31" s="2848"/>
      <c r="AL31" s="2329"/>
      <c r="AM31" s="2164"/>
      <c r="AN31" s="2164"/>
      <c r="AO31" s="2164"/>
      <c r="AP31" s="2164"/>
      <c r="AQ31" s="2164"/>
      <c r="AR31" s="2164"/>
      <c r="AS31" s="2164"/>
      <c r="AT31" s="2164"/>
      <c r="AU31" s="2164"/>
      <c r="AV31" s="2164"/>
      <c r="AW31" s="2164"/>
      <c r="AX31" s="2164"/>
      <c r="AY31" s="2164"/>
      <c r="AZ31" s="2164"/>
      <c r="BA31" s="2164"/>
      <c r="BB31" s="2164"/>
      <c r="BC31" s="2164"/>
      <c r="BD31" s="2164"/>
      <c r="BE31" s="2164"/>
      <c r="BF31" s="2164"/>
      <c r="BG31" s="4573"/>
    </row>
    <row customHeight="1" ht="11.25">
      <c r="A32" s="1507" t="s">
        <v>990</v>
      </c>
      <c r="B32" s="1507" t="s">
        <v>1022</v>
      </c>
      <c r="C32" s="1507"/>
      <c r="D32" s="1501"/>
      <c r="E32" s="1511"/>
      <c r="F32" s="2170"/>
      <c r="G32" s="4557" t="s">
        <v>684</v>
      </c>
      <c r="H32" s="2856" t="s">
        <v>90</v>
      </c>
      <c r="I32" s="2857" t="s">
        <v>1023</v>
      </c>
      <c r="J32" s="2826" t="s">
        <v>1024</v>
      </c>
      <c r="K32" s="2858" t="s">
        <v>1050</v>
      </c>
      <c r="L32" s="2448" t="s">
        <v>19</v>
      </c>
      <c r="M32" s="2449"/>
      <c r="N32" s="2327"/>
      <c r="O32" s="1518" t="s">
        <v>371</v>
      </c>
      <c r="P32" s="1519"/>
      <c r="Q32" s="1519"/>
      <c r="R32" s="1519"/>
      <c r="S32" s="1519"/>
      <c r="T32" s="1519"/>
      <c r="U32" s="1519"/>
      <c r="V32" s="1519"/>
      <c r="W32" s="1519"/>
      <c r="X32" s="1519"/>
      <c r="Y32" s="1519"/>
      <c r="Z32" s="1519"/>
      <c r="AA32" s="1519"/>
      <c r="AB32" s="1519"/>
      <c r="AC32" s="1519"/>
      <c r="AD32" s="1519"/>
      <c r="AE32" s="1519"/>
      <c r="AF32" s="2847">
        <v>3</v>
      </c>
      <c r="AG32" s="2848" t="s">
        <v>1026</v>
      </c>
      <c r="AH32" s="2848" t="s">
        <v>1051</v>
      </c>
      <c r="AI32" s="2847"/>
      <c r="AJ32" s="2848"/>
      <c r="AK32" s="2848"/>
      <c r="AL32" s="2329"/>
      <c r="AM32" s="2164"/>
      <c r="AN32" s="2164"/>
      <c r="AO32" s="2164"/>
      <c r="AP32" s="2164"/>
      <c r="AQ32" s="2164"/>
      <c r="AR32" s="2164"/>
      <c r="AS32" s="2164"/>
      <c r="AT32" s="2164"/>
      <c r="AU32" s="2164"/>
      <c r="AV32" s="2164"/>
      <c r="AW32" s="2164"/>
      <c r="AX32" s="2164"/>
      <c r="AY32" s="2164"/>
      <c r="AZ32" s="2164"/>
      <c r="BA32" s="2164"/>
      <c r="BB32" s="2164"/>
      <c r="BC32" s="2164"/>
      <c r="BD32" s="2164"/>
      <c r="BE32" s="2164"/>
      <c r="BF32" s="2164"/>
      <c r="BG32" s="4573"/>
    </row>
    <row customHeight="1" ht="11.25">
      <c r="A33" s="1507" t="s">
        <v>990</v>
      </c>
      <c r="B33" s="1507"/>
      <c r="C33" s="1507"/>
      <c r="D33" s="1501"/>
      <c r="E33" s="1511"/>
      <c r="F33" s="2170"/>
      <c r="G33" s="2171"/>
      <c r="H33" s="2856" t="s">
        <v>107</v>
      </c>
      <c r="I33" s="2857"/>
      <c r="J33" s="2826"/>
      <c r="K33" s="2858"/>
      <c r="L33" s="2448"/>
      <c r="M33" s="2449"/>
      <c r="N33" s="2849"/>
      <c r="O33" s="2850">
        <v>1</v>
      </c>
      <c r="P33" s="2851" t="s">
        <v>65</v>
      </c>
      <c r="Q33" s="4672" t="s">
        <v>1028</v>
      </c>
      <c r="R33" s="4673" t="s">
        <v>1029</v>
      </c>
      <c r="S33" s="4673" t="s">
        <v>1030</v>
      </c>
      <c r="T33" s="4673" t="s">
        <v>1030</v>
      </c>
      <c r="U33" s="4673" t="s">
        <v>1031</v>
      </c>
      <c r="V33" s="4673" t="s">
        <v>1032</v>
      </c>
      <c r="W33" s="4673" t="s">
        <v>1033</v>
      </c>
      <c r="X33" s="4673" t="s">
        <v>1034</v>
      </c>
      <c r="Y33" s="4673" t="s">
        <v>106</v>
      </c>
      <c r="Z33" s="1516"/>
      <c r="AA33" s="1517"/>
      <c r="AB33" s="1517"/>
      <c r="AC33" s="1521"/>
      <c r="AD33" s="1521"/>
      <c r="AE33" s="1522"/>
      <c r="AF33" s="2847"/>
      <c r="AG33" s="2848"/>
      <c r="AH33" s="2848"/>
      <c r="AI33" s="2847"/>
      <c r="AJ33" s="2848"/>
      <c r="AK33" s="2848"/>
      <c r="AL33" s="2329"/>
      <c r="AM33" s="2164"/>
      <c r="AN33" s="2164"/>
      <c r="AO33" s="2164"/>
      <c r="AP33" s="2164"/>
      <c r="AQ33" s="2164"/>
      <c r="AR33" s="2164"/>
      <c r="AS33" s="2164"/>
      <c r="AT33" s="2164"/>
      <c r="AU33" s="2164"/>
      <c r="AV33" s="2164"/>
      <c r="AW33" s="2164"/>
      <c r="AX33" s="2164"/>
      <c r="AY33" s="2164"/>
      <c r="AZ33" s="2164"/>
      <c r="BA33" s="2164"/>
      <c r="BB33" s="2164"/>
      <c r="BC33" s="2164"/>
      <c r="BD33" s="2164"/>
      <c r="BE33" s="2164"/>
      <c r="BF33" s="2164"/>
      <c r="BG33" s="4573"/>
    </row>
    <row customHeight="1" ht="11.25">
      <c r="A34" s="1507" t="s">
        <v>990</v>
      </c>
      <c r="B34" s="1507"/>
      <c r="C34" s="1507"/>
      <c r="D34" s="1501"/>
      <c r="E34" s="1511"/>
      <c r="F34" s="2170"/>
      <c r="G34" s="2171"/>
      <c r="H34" s="2856" t="s">
        <v>107</v>
      </c>
      <c r="I34" s="2857"/>
      <c r="J34" s="2826"/>
      <c r="K34" s="2858"/>
      <c r="L34" s="2448"/>
      <c r="M34" s="2449"/>
      <c r="N34" s="2849"/>
      <c r="O34" s="2850"/>
      <c r="P34" s="2852"/>
      <c r="Q34" s="4672"/>
      <c r="R34" s="2854"/>
      <c r="S34" s="2855"/>
      <c r="T34" s="2854"/>
      <c r="U34" s="2854"/>
      <c r="V34" s="2854"/>
      <c r="W34" s="2854"/>
      <c r="X34" s="2854"/>
      <c r="Y34" s="2854"/>
      <c r="Z34" s="2169"/>
      <c r="AA34" s="2135">
        <v>1</v>
      </c>
      <c r="AB34" s="1520" t="s">
        <v>1035</v>
      </c>
      <c r="AC34" s="1510">
        <v>32034.53233</v>
      </c>
      <c r="AD34" s="1520" t="str">
        <f>AB34</f>
        <v>      Амортизационные отчисления с выделением результатов переоценки основных средств и нематериальных активов</v>
      </c>
      <c r="AE34" s="1510"/>
      <c r="AF34" s="2847"/>
      <c r="AG34" s="2848"/>
      <c r="AH34" s="2848"/>
      <c r="AI34" s="2847"/>
      <c r="AJ34" s="2848"/>
      <c r="AK34" s="2848"/>
      <c r="AL34" s="2329"/>
      <c r="AM34" s="2164"/>
      <c r="AN34" s="2164"/>
      <c r="AO34" s="2164"/>
      <c r="AP34" s="2164"/>
      <c r="AQ34" s="2164"/>
      <c r="AR34" s="2164"/>
      <c r="AS34" s="2164"/>
      <c r="AT34" s="2164"/>
      <c r="AU34" s="2164"/>
      <c r="AV34" s="2164"/>
      <c r="AW34" s="2164"/>
      <c r="AX34" s="2164"/>
      <c r="AY34" s="2164"/>
      <c r="AZ34" s="2164"/>
      <c r="BA34" s="2164"/>
      <c r="BB34" s="2164"/>
      <c r="BC34" s="2164"/>
      <c r="BD34" s="2164"/>
      <c r="BE34" s="2164"/>
      <c r="BF34" s="2164"/>
      <c r="BG34" s="4573"/>
    </row>
    <row customHeight="1" ht="11.25">
      <c r="A35" s="1507" t="s">
        <v>990</v>
      </c>
      <c r="B35" s="1507"/>
      <c r="C35" s="1507"/>
      <c r="D35" s="1501"/>
      <c r="E35" s="1511"/>
      <c r="F35" s="2171"/>
      <c r="G35" s="2171"/>
      <c r="H35" s="2171"/>
      <c r="I35" s="2171"/>
      <c r="J35" s="2171"/>
      <c r="K35" s="2171"/>
      <c r="L35" s="2171"/>
      <c r="M35" s="2171"/>
      <c r="N35" s="2171"/>
      <c r="O35" s="2171"/>
      <c r="P35" s="2171"/>
      <c r="Q35" s="2171"/>
      <c r="R35" s="2171"/>
      <c r="S35" s="2171"/>
      <c r="T35" s="2171"/>
      <c r="U35" s="2171"/>
      <c r="V35" s="2171"/>
      <c r="W35" s="2171"/>
      <c r="X35" s="2171"/>
      <c r="Y35" s="2171"/>
      <c r="Z35" s="4557" t="s">
        <v>684</v>
      </c>
      <c r="AA35" s="2155" t="s">
        <v>107</v>
      </c>
      <c r="AB35" s="1520" t="s">
        <v>1036</v>
      </c>
      <c r="AC35" s="1510">
        <v>5936.01981</v>
      </c>
      <c r="AD35" s="1520" t="str">
        <f>AB35</f>
        <v>  Прочие собственные средства</v>
      </c>
      <c r="AE35" s="1510"/>
      <c r="AF35" s="2172"/>
      <c r="AG35" s="2100"/>
      <c r="AH35" s="2100"/>
      <c r="AI35" s="2172"/>
      <c r="AJ35" s="2100"/>
      <c r="AK35" s="2328"/>
      <c r="AL35" s="2329"/>
      <c r="AM35" s="2164"/>
      <c r="AN35" s="2164"/>
      <c r="AO35" s="2164"/>
      <c r="AP35" s="2164"/>
      <c r="AQ35" s="2164"/>
      <c r="AR35" s="2164"/>
      <c r="AS35" s="2164"/>
      <c r="AT35" s="2164"/>
      <c r="AU35" s="2164"/>
      <c r="AV35" s="2164"/>
      <c r="AW35" s="2164"/>
      <c r="AX35" s="2164"/>
      <c r="AY35" s="2164"/>
      <c r="AZ35" s="2164"/>
      <c r="BA35" s="2164"/>
      <c r="BB35" s="2164"/>
      <c r="BC35" s="2164"/>
      <c r="BD35" s="2164"/>
      <c r="BE35" s="2164"/>
      <c r="BF35" s="2164"/>
      <c r="BG35" s="4573"/>
    </row>
    <row customHeight="1" ht="11.25">
      <c r="A36" s="1507" t="s">
        <v>990</v>
      </c>
      <c r="B36" s="1507"/>
      <c r="C36" s="1507"/>
      <c r="D36" s="1501"/>
      <c r="E36" s="1511"/>
      <c r="F36" s="2170"/>
      <c r="G36" s="2171"/>
      <c r="H36" s="2856" t="s">
        <v>107</v>
      </c>
      <c r="I36" s="2857"/>
      <c r="J36" s="2826"/>
      <c r="K36" s="2858"/>
      <c r="L36" s="2448"/>
      <c r="M36" s="2449"/>
      <c r="N36" s="2849"/>
      <c r="O36" s="2850"/>
      <c r="P36" s="2853"/>
      <c r="Q36" s="4672"/>
      <c r="R36" s="2854"/>
      <c r="S36" s="2855"/>
      <c r="T36" s="2854"/>
      <c r="U36" s="2854"/>
      <c r="V36" s="2854"/>
      <c r="W36" s="2854"/>
      <c r="X36" s="2854"/>
      <c r="Y36" s="2854"/>
      <c r="Z36" s="1516"/>
      <c r="AA36" s="1517"/>
      <c r="AB36" s="1582" t="s">
        <v>1037</v>
      </c>
      <c r="AC36" s="1521"/>
      <c r="AD36" s="1521"/>
      <c r="AE36" s="1523"/>
      <c r="AF36" s="2847"/>
      <c r="AG36" s="2848"/>
      <c r="AH36" s="2848"/>
      <c r="AI36" s="2847"/>
      <c r="AJ36" s="2848"/>
      <c r="AK36" s="2848"/>
      <c r="AL36" s="2329"/>
      <c r="AM36" s="2164"/>
      <c r="AN36" s="2164"/>
      <c r="AO36" s="2164"/>
      <c r="AP36" s="2164"/>
      <c r="AQ36" s="2164"/>
      <c r="AR36" s="2164"/>
      <c r="AS36" s="2164"/>
      <c r="AT36" s="2164"/>
      <c r="AU36" s="2164"/>
      <c r="AV36" s="2164"/>
      <c r="AW36" s="2164"/>
      <c r="AX36" s="2164"/>
      <c r="AY36" s="2164"/>
      <c r="AZ36" s="2164"/>
      <c r="BA36" s="2164"/>
      <c r="BB36" s="2164"/>
      <c r="BC36" s="2164"/>
      <c r="BD36" s="2164"/>
      <c r="BE36" s="2164"/>
      <c r="BF36" s="2164"/>
      <c r="BG36" s="4573"/>
    </row>
    <row customHeight="1" ht="11.25">
      <c r="A37" s="1507" t="s">
        <v>990</v>
      </c>
      <c r="B37" s="1507"/>
      <c r="C37" s="1507"/>
      <c r="D37" s="1501"/>
      <c r="E37" s="1511"/>
      <c r="F37" s="2170"/>
      <c r="G37" s="2171"/>
      <c r="H37" s="2856" t="s">
        <v>107</v>
      </c>
      <c r="I37" s="2857"/>
      <c r="J37" s="2826"/>
      <c r="K37" s="2858"/>
      <c r="L37" s="2448"/>
      <c r="M37" s="2449"/>
      <c r="N37" s="1516"/>
      <c r="O37" s="1517"/>
      <c r="P37" s="1509" t="s">
        <v>1038</v>
      </c>
      <c r="Q37" s="1517"/>
      <c r="R37" s="1517"/>
      <c r="S37" s="1517"/>
      <c r="T37" s="1517"/>
      <c r="U37" s="1517"/>
      <c r="V37" s="1517"/>
      <c r="W37" s="1517"/>
      <c r="X37" s="1517"/>
      <c r="Y37" s="1517"/>
      <c r="Z37" s="1517"/>
      <c r="AA37" s="1517"/>
      <c r="AB37" s="1517"/>
      <c r="AC37" s="1517"/>
      <c r="AD37" s="1517"/>
      <c r="AE37" s="1524"/>
      <c r="AF37" s="2847"/>
      <c r="AG37" s="2848"/>
      <c r="AH37" s="2848"/>
      <c r="AI37" s="2847"/>
      <c r="AJ37" s="2848"/>
      <c r="AK37" s="2848"/>
      <c r="AL37" s="2329"/>
      <c r="AM37" s="2164"/>
      <c r="AN37" s="2164"/>
      <c r="AO37" s="2164"/>
      <c r="AP37" s="2164"/>
      <c r="AQ37" s="2164"/>
      <c r="AR37" s="2164"/>
      <c r="AS37" s="2164"/>
      <c r="AT37" s="2164"/>
      <c r="AU37" s="2164"/>
      <c r="AV37" s="2164"/>
      <c r="AW37" s="2164"/>
      <c r="AX37" s="2164"/>
      <c r="AY37" s="2164"/>
      <c r="AZ37" s="2164"/>
      <c r="BA37" s="2164"/>
      <c r="BB37" s="2164"/>
      <c r="BC37" s="2164"/>
      <c r="BD37" s="2164"/>
      <c r="BE37" s="2164"/>
      <c r="BF37" s="2164"/>
      <c r="BG37" s="4573"/>
    </row>
    <row customHeight="1" ht="11.25">
      <c r="A38" s="1507" t="s">
        <v>990</v>
      </c>
      <c r="B38" s="1507" t="s">
        <v>1022</v>
      </c>
      <c r="C38" s="1507"/>
      <c r="D38" s="1501"/>
      <c r="E38" s="1511"/>
      <c r="F38" s="2170"/>
      <c r="G38" s="4557" t="s">
        <v>684</v>
      </c>
      <c r="H38" s="2856" t="s">
        <v>91</v>
      </c>
      <c r="I38" s="2857" t="s">
        <v>1023</v>
      </c>
      <c r="J38" s="2826" t="s">
        <v>1024</v>
      </c>
      <c r="K38" s="2858" t="s">
        <v>1052</v>
      </c>
      <c r="L38" s="2448" t="s">
        <v>19</v>
      </c>
      <c r="M38" s="2449"/>
      <c r="N38" s="2327"/>
      <c r="O38" s="1518" t="s">
        <v>371</v>
      </c>
      <c r="P38" s="1519"/>
      <c r="Q38" s="1519"/>
      <c r="R38" s="1519"/>
      <c r="S38" s="1519"/>
      <c r="T38" s="1519"/>
      <c r="U38" s="1519"/>
      <c r="V38" s="1519"/>
      <c r="W38" s="1519"/>
      <c r="X38" s="1519"/>
      <c r="Y38" s="1519"/>
      <c r="Z38" s="1519"/>
      <c r="AA38" s="1519"/>
      <c r="AB38" s="1519"/>
      <c r="AC38" s="1519"/>
      <c r="AD38" s="1519"/>
      <c r="AE38" s="1519"/>
      <c r="AF38" s="2847">
        <v>2</v>
      </c>
      <c r="AG38" s="2848" t="s">
        <v>1026</v>
      </c>
      <c r="AH38" s="2848" t="s">
        <v>1053</v>
      </c>
      <c r="AI38" s="2847"/>
      <c r="AJ38" s="2848"/>
      <c r="AK38" s="2848"/>
      <c r="AL38" s="2329"/>
      <c r="AM38" s="2164"/>
      <c r="AN38" s="2164"/>
      <c r="AO38" s="2164"/>
      <c r="AP38" s="2164"/>
      <c r="AQ38" s="2164"/>
      <c r="AR38" s="2164"/>
      <c r="AS38" s="2164"/>
      <c r="AT38" s="2164"/>
      <c r="AU38" s="2164"/>
      <c r="AV38" s="2164"/>
      <c r="AW38" s="2164"/>
      <c r="AX38" s="2164"/>
      <c r="AY38" s="2164"/>
      <c r="AZ38" s="2164"/>
      <c r="BA38" s="2164"/>
      <c r="BB38" s="2164"/>
      <c r="BC38" s="2164"/>
      <c r="BD38" s="2164"/>
      <c r="BE38" s="2164"/>
      <c r="BF38" s="2164"/>
      <c r="BG38" s="4573"/>
    </row>
    <row customHeight="1" ht="11.25">
      <c r="A39" s="1507" t="s">
        <v>990</v>
      </c>
      <c r="B39" s="1507"/>
      <c r="C39" s="1507"/>
      <c r="D39" s="1501"/>
      <c r="E39" s="1511"/>
      <c r="F39" s="2170"/>
      <c r="G39" s="2171"/>
      <c r="H39" s="2856" t="s">
        <v>90</v>
      </c>
      <c r="I39" s="2857"/>
      <c r="J39" s="2826"/>
      <c r="K39" s="2858"/>
      <c r="L39" s="2448"/>
      <c r="M39" s="2449"/>
      <c r="N39" s="2849"/>
      <c r="O39" s="2850">
        <v>1</v>
      </c>
      <c r="P39" s="2851" t="s">
        <v>65</v>
      </c>
      <c r="Q39" s="4672" t="s">
        <v>1054</v>
      </c>
      <c r="R39" s="4673" t="s">
        <v>1029</v>
      </c>
      <c r="S39" s="4673" t="s">
        <v>1055</v>
      </c>
      <c r="T39" s="4673" t="s">
        <v>1056</v>
      </c>
      <c r="U39" s="4673" t="s">
        <v>1057</v>
      </c>
      <c r="V39" s="4673" t="s">
        <v>1058</v>
      </c>
      <c r="W39" s="4673" t="s">
        <v>1059</v>
      </c>
      <c r="X39" s="4673" t="s">
        <v>1060</v>
      </c>
      <c r="Y39" s="4673" t="s">
        <v>19</v>
      </c>
      <c r="Z39" s="1516"/>
      <c r="AA39" s="1517"/>
      <c r="AB39" s="1517"/>
      <c r="AC39" s="1521"/>
      <c r="AD39" s="1521"/>
      <c r="AE39" s="1522"/>
      <c r="AF39" s="2847"/>
      <c r="AG39" s="2848"/>
      <c r="AH39" s="2848"/>
      <c r="AI39" s="2847"/>
      <c r="AJ39" s="2848"/>
      <c r="AK39" s="2848"/>
      <c r="AL39" s="2329"/>
      <c r="AM39" s="2164"/>
      <c r="AN39" s="2164"/>
      <c r="AO39" s="2164"/>
      <c r="AP39" s="2164"/>
      <c r="AQ39" s="2164"/>
      <c r="AR39" s="2164"/>
      <c r="AS39" s="2164"/>
      <c r="AT39" s="2164"/>
      <c r="AU39" s="2164"/>
      <c r="AV39" s="2164"/>
      <c r="AW39" s="2164"/>
      <c r="AX39" s="2164"/>
      <c r="AY39" s="2164"/>
      <c r="AZ39" s="2164"/>
      <c r="BA39" s="2164"/>
      <c r="BB39" s="2164"/>
      <c r="BC39" s="2164"/>
      <c r="BD39" s="2164"/>
      <c r="BE39" s="2164"/>
      <c r="BF39" s="2164"/>
      <c r="BG39" s="4573"/>
    </row>
    <row customHeight="1" ht="11.25">
      <c r="A40" s="1507" t="s">
        <v>990</v>
      </c>
      <c r="B40" s="1507"/>
      <c r="C40" s="1507"/>
      <c r="D40" s="1501"/>
      <c r="E40" s="1511"/>
      <c r="F40" s="2170"/>
      <c r="G40" s="2171"/>
      <c r="H40" s="2856" t="s">
        <v>90</v>
      </c>
      <c r="I40" s="2857"/>
      <c r="J40" s="2826"/>
      <c r="K40" s="2858"/>
      <c r="L40" s="2448"/>
      <c r="M40" s="2449"/>
      <c r="N40" s="2849"/>
      <c r="O40" s="2850"/>
      <c r="P40" s="2852"/>
      <c r="Q40" s="4672"/>
      <c r="R40" s="2854"/>
      <c r="S40" s="2855"/>
      <c r="T40" s="2854"/>
      <c r="U40" s="2854"/>
      <c r="V40" s="2854"/>
      <c r="W40" s="2854"/>
      <c r="X40" s="2854"/>
      <c r="Y40" s="2854"/>
      <c r="Z40" s="2169"/>
      <c r="AA40" s="2135">
        <v>1</v>
      </c>
      <c r="AB40" s="1520" t="s">
        <v>1035</v>
      </c>
      <c r="AC40" s="1510">
        <v>238.3</v>
      </c>
      <c r="AD40" s="1520" t="str">
        <f>AB40</f>
        <v>      Амортизационные отчисления с выделением результатов переоценки основных средств и нематериальных активов</v>
      </c>
      <c r="AE40" s="1510"/>
      <c r="AF40" s="2847"/>
      <c r="AG40" s="2848"/>
      <c r="AH40" s="2848"/>
      <c r="AI40" s="2847"/>
      <c r="AJ40" s="2848"/>
      <c r="AK40" s="2848"/>
      <c r="AL40" s="2329"/>
      <c r="AM40" s="2164"/>
      <c r="AN40" s="2164"/>
      <c r="AO40" s="2164"/>
      <c r="AP40" s="2164"/>
      <c r="AQ40" s="2164"/>
      <c r="AR40" s="2164"/>
      <c r="AS40" s="2164"/>
      <c r="AT40" s="2164"/>
      <c r="AU40" s="2164"/>
      <c r="AV40" s="2164"/>
      <c r="AW40" s="2164"/>
      <c r="AX40" s="2164"/>
      <c r="AY40" s="2164"/>
      <c r="AZ40" s="2164"/>
      <c r="BA40" s="2164"/>
      <c r="BB40" s="2164"/>
      <c r="BC40" s="2164"/>
      <c r="BD40" s="2164"/>
      <c r="BE40" s="2164"/>
      <c r="BF40" s="2164"/>
      <c r="BG40" s="4573"/>
    </row>
    <row customHeight="1" ht="11.25">
      <c r="A41" s="1507" t="s">
        <v>990</v>
      </c>
      <c r="B41" s="1507"/>
      <c r="C41" s="1507"/>
      <c r="D41" s="1501"/>
      <c r="E41" s="1511"/>
      <c r="F41" s="2171"/>
      <c r="G41" s="2171"/>
      <c r="H41" s="2171"/>
      <c r="I41" s="2171"/>
      <c r="J41" s="2171"/>
      <c r="K41" s="2171"/>
      <c r="L41" s="2171"/>
      <c r="M41" s="2171"/>
      <c r="N41" s="2171"/>
      <c r="O41" s="2171"/>
      <c r="P41" s="2171"/>
      <c r="Q41" s="2171"/>
      <c r="R41" s="2171"/>
      <c r="S41" s="2171"/>
      <c r="T41" s="2171"/>
      <c r="U41" s="2171"/>
      <c r="V41" s="2171"/>
      <c r="W41" s="2171"/>
      <c r="X41" s="2171"/>
      <c r="Y41" s="2171"/>
      <c r="Z41" s="4557" t="s">
        <v>684</v>
      </c>
      <c r="AA41" s="2155" t="s">
        <v>107</v>
      </c>
      <c r="AB41" s="1520" t="s">
        <v>1036</v>
      </c>
      <c r="AC41" s="1510">
        <v>47.66</v>
      </c>
      <c r="AD41" s="1520" t="str">
        <f>AB41</f>
        <v>  Прочие собственные средства</v>
      </c>
      <c r="AE41" s="1510"/>
      <c r="AF41" s="2172"/>
      <c r="AG41" s="2100"/>
      <c r="AH41" s="2100"/>
      <c r="AI41" s="2172"/>
      <c r="AJ41" s="2100"/>
      <c r="AK41" s="2328"/>
      <c r="AL41" s="2329"/>
      <c r="AM41" s="2164"/>
      <c r="AN41" s="2164"/>
      <c r="AO41" s="2164"/>
      <c r="AP41" s="2164"/>
      <c r="AQ41" s="2164"/>
      <c r="AR41" s="2164"/>
      <c r="AS41" s="2164"/>
      <c r="AT41" s="2164"/>
      <c r="AU41" s="2164"/>
      <c r="AV41" s="2164"/>
      <c r="AW41" s="2164"/>
      <c r="AX41" s="2164"/>
      <c r="AY41" s="2164"/>
      <c r="AZ41" s="2164"/>
      <c r="BA41" s="2164"/>
      <c r="BB41" s="2164"/>
      <c r="BC41" s="2164"/>
      <c r="BD41" s="2164"/>
      <c r="BE41" s="2164"/>
      <c r="BF41" s="2164"/>
      <c r="BG41" s="4573"/>
    </row>
    <row customHeight="1" ht="11.25">
      <c r="A42" s="1507" t="s">
        <v>990</v>
      </c>
      <c r="B42" s="1507"/>
      <c r="C42" s="1507"/>
      <c r="D42" s="1501"/>
      <c r="E42" s="1511"/>
      <c r="F42" s="2170"/>
      <c r="G42" s="2171"/>
      <c r="H42" s="2856" t="s">
        <v>90</v>
      </c>
      <c r="I42" s="2857"/>
      <c r="J42" s="2826"/>
      <c r="K42" s="2858"/>
      <c r="L42" s="2448"/>
      <c r="M42" s="2449"/>
      <c r="N42" s="2849"/>
      <c r="O42" s="2850"/>
      <c r="P42" s="2853"/>
      <c r="Q42" s="4672"/>
      <c r="R42" s="2854"/>
      <c r="S42" s="2855"/>
      <c r="T42" s="2854"/>
      <c r="U42" s="2854"/>
      <c r="V42" s="2854"/>
      <c r="W42" s="2854"/>
      <c r="X42" s="2854"/>
      <c r="Y42" s="2854"/>
      <c r="Z42" s="1516"/>
      <c r="AA42" s="1517"/>
      <c r="AB42" s="1582" t="s">
        <v>1037</v>
      </c>
      <c r="AC42" s="1521"/>
      <c r="AD42" s="1521"/>
      <c r="AE42" s="1523"/>
      <c r="AF42" s="2847"/>
      <c r="AG42" s="2848"/>
      <c r="AH42" s="2848"/>
      <c r="AI42" s="2847"/>
      <c r="AJ42" s="2848"/>
      <c r="AK42" s="2848"/>
      <c r="AL42" s="2329"/>
      <c r="AM42" s="2164"/>
      <c r="AN42" s="2164"/>
      <c r="AO42" s="2164"/>
      <c r="AP42" s="2164"/>
      <c r="AQ42" s="2164"/>
      <c r="AR42" s="2164"/>
      <c r="AS42" s="2164"/>
      <c r="AT42" s="2164"/>
      <c r="AU42" s="2164"/>
      <c r="AV42" s="2164"/>
      <c r="AW42" s="2164"/>
      <c r="AX42" s="2164"/>
      <c r="AY42" s="2164"/>
      <c r="AZ42" s="2164"/>
      <c r="BA42" s="2164"/>
      <c r="BB42" s="2164"/>
      <c r="BC42" s="2164"/>
      <c r="BD42" s="2164"/>
      <c r="BE42" s="2164"/>
      <c r="BF42" s="2164"/>
      <c r="BG42" s="4573"/>
    </row>
    <row customHeight="1" ht="11.25">
      <c r="A43" s="1507" t="s">
        <v>990</v>
      </c>
      <c r="B43" s="1507"/>
      <c r="C43" s="1507"/>
      <c r="D43" s="1501"/>
      <c r="E43" s="1511"/>
      <c r="F43" s="2170"/>
      <c r="G43" s="2171"/>
      <c r="H43" s="2856" t="s">
        <v>90</v>
      </c>
      <c r="I43" s="2857"/>
      <c r="J43" s="2826"/>
      <c r="K43" s="2858"/>
      <c r="L43" s="2448"/>
      <c r="M43" s="2449"/>
      <c r="N43" s="1516"/>
      <c r="O43" s="1517"/>
      <c r="P43" s="1509" t="s">
        <v>1038</v>
      </c>
      <c r="Q43" s="1517"/>
      <c r="R43" s="1517"/>
      <c r="S43" s="1517"/>
      <c r="T43" s="1517"/>
      <c r="U43" s="1517"/>
      <c r="V43" s="1517"/>
      <c r="W43" s="1517"/>
      <c r="X43" s="1517"/>
      <c r="Y43" s="1517"/>
      <c r="Z43" s="1517"/>
      <c r="AA43" s="1517"/>
      <c r="AB43" s="1517"/>
      <c r="AC43" s="1517"/>
      <c r="AD43" s="1517"/>
      <c r="AE43" s="1524"/>
      <c r="AF43" s="2847"/>
      <c r="AG43" s="2848"/>
      <c r="AH43" s="2848"/>
      <c r="AI43" s="2847"/>
      <c r="AJ43" s="2848"/>
      <c r="AK43" s="2848"/>
      <c r="AL43" s="2329"/>
      <c r="AM43" s="2164"/>
      <c r="AN43" s="2164"/>
      <c r="AO43" s="2164"/>
      <c r="AP43" s="2164"/>
      <c r="AQ43" s="2164"/>
      <c r="AR43" s="2164"/>
      <c r="AS43" s="2164"/>
      <c r="AT43" s="2164"/>
      <c r="AU43" s="2164"/>
      <c r="AV43" s="2164"/>
      <c r="AW43" s="2164"/>
      <c r="AX43" s="2164"/>
      <c r="AY43" s="2164"/>
      <c r="AZ43" s="2164"/>
      <c r="BA43" s="2164"/>
      <c r="BB43" s="2164"/>
      <c r="BC43" s="2164"/>
      <c r="BD43" s="2164"/>
      <c r="BE43" s="2164"/>
      <c r="BF43" s="2164"/>
      <c r="BG43" s="4573"/>
    </row>
    <row customHeight="1" ht="11.25">
      <c r="A44" s="1507" t="s">
        <v>990</v>
      </c>
      <c r="B44" s="1507" t="s">
        <v>1022</v>
      </c>
      <c r="C44" s="1507"/>
      <c r="D44" s="1501"/>
      <c r="E44" s="1511"/>
      <c r="F44" s="2170"/>
      <c r="G44" s="4557" t="s">
        <v>684</v>
      </c>
      <c r="H44" s="2856" t="s">
        <v>108</v>
      </c>
      <c r="I44" s="2857" t="s">
        <v>1023</v>
      </c>
      <c r="J44" s="2826" t="s">
        <v>1024</v>
      </c>
      <c r="K44" s="2858" t="s">
        <v>1061</v>
      </c>
      <c r="L44" s="2448" t="s">
        <v>19</v>
      </c>
      <c r="M44" s="2449"/>
      <c r="N44" s="2327"/>
      <c r="O44" s="1518" t="s">
        <v>371</v>
      </c>
      <c r="P44" s="1519"/>
      <c r="Q44" s="1519"/>
      <c r="R44" s="1519"/>
      <c r="S44" s="1519"/>
      <c r="T44" s="1519"/>
      <c r="U44" s="1519"/>
      <c r="V44" s="1519"/>
      <c r="W44" s="1519"/>
      <c r="X44" s="1519"/>
      <c r="Y44" s="1519"/>
      <c r="Z44" s="1519"/>
      <c r="AA44" s="1519"/>
      <c r="AB44" s="1519"/>
      <c r="AC44" s="1519"/>
      <c r="AD44" s="1519"/>
      <c r="AE44" s="1519"/>
      <c r="AF44" s="2847">
        <v>2</v>
      </c>
      <c r="AG44" s="2848" t="s">
        <v>1026</v>
      </c>
      <c r="AH44" s="2848" t="s">
        <v>1053</v>
      </c>
      <c r="AI44" s="2847"/>
      <c r="AJ44" s="2848"/>
      <c r="AK44" s="2848"/>
      <c r="AL44" s="2329"/>
      <c r="AM44" s="2164"/>
      <c r="AN44" s="2164"/>
      <c r="AO44" s="2164"/>
      <c r="AP44" s="2164"/>
      <c r="AQ44" s="2164"/>
      <c r="AR44" s="2164"/>
      <c r="AS44" s="2164"/>
      <c r="AT44" s="2164"/>
      <c r="AU44" s="2164"/>
      <c r="AV44" s="2164"/>
      <c r="AW44" s="2164"/>
      <c r="AX44" s="2164"/>
      <c r="AY44" s="2164"/>
      <c r="AZ44" s="2164"/>
      <c r="BA44" s="2164"/>
      <c r="BB44" s="2164"/>
      <c r="BC44" s="2164"/>
      <c r="BD44" s="2164"/>
      <c r="BE44" s="2164"/>
      <c r="BF44" s="2164"/>
      <c r="BG44" s="4573"/>
    </row>
    <row customHeight="1" ht="11.25">
      <c r="A45" s="1507" t="s">
        <v>990</v>
      </c>
      <c r="B45" s="1507"/>
      <c r="C45" s="1507"/>
      <c r="D45" s="1501"/>
      <c r="E45" s="1511"/>
      <c r="F45" s="2170"/>
      <c r="G45" s="2171"/>
      <c r="H45" s="2856" t="s">
        <v>91</v>
      </c>
      <c r="I45" s="2857"/>
      <c r="J45" s="2826"/>
      <c r="K45" s="2858"/>
      <c r="L45" s="2448"/>
      <c r="M45" s="2449"/>
      <c r="N45" s="2849"/>
      <c r="O45" s="2850">
        <v>1</v>
      </c>
      <c r="P45" s="2851" t="s">
        <v>65</v>
      </c>
      <c r="Q45" s="4672" t="s">
        <v>1054</v>
      </c>
      <c r="R45" s="4673" t="s">
        <v>1029</v>
      </c>
      <c r="S45" s="4673" t="s">
        <v>1055</v>
      </c>
      <c r="T45" s="4673" t="s">
        <v>1056</v>
      </c>
      <c r="U45" s="4673" t="s">
        <v>1057</v>
      </c>
      <c r="V45" s="4673" t="s">
        <v>1058</v>
      </c>
      <c r="W45" s="4673" t="s">
        <v>1059</v>
      </c>
      <c r="X45" s="4673" t="s">
        <v>1060</v>
      </c>
      <c r="Y45" s="4673" t="s">
        <v>19</v>
      </c>
      <c r="Z45" s="1516"/>
      <c r="AA45" s="1517"/>
      <c r="AB45" s="1517"/>
      <c r="AC45" s="1521"/>
      <c r="AD45" s="1521"/>
      <c r="AE45" s="1522"/>
      <c r="AF45" s="2847"/>
      <c r="AG45" s="2848"/>
      <c r="AH45" s="2848"/>
      <c r="AI45" s="2847"/>
      <c r="AJ45" s="2848"/>
      <c r="AK45" s="2848"/>
      <c r="AL45" s="2329"/>
      <c r="AM45" s="2164"/>
      <c r="AN45" s="2164"/>
      <c r="AO45" s="2164"/>
      <c r="AP45" s="2164"/>
      <c r="AQ45" s="2164"/>
      <c r="AR45" s="2164"/>
      <c r="AS45" s="2164"/>
      <c r="AT45" s="2164"/>
      <c r="AU45" s="2164"/>
      <c r="AV45" s="2164"/>
      <c r="AW45" s="2164"/>
      <c r="AX45" s="2164"/>
      <c r="AY45" s="2164"/>
      <c r="AZ45" s="2164"/>
      <c r="BA45" s="2164"/>
      <c r="BB45" s="2164"/>
      <c r="BC45" s="2164"/>
      <c r="BD45" s="2164"/>
      <c r="BE45" s="2164"/>
      <c r="BF45" s="2164"/>
      <c r="BG45" s="4573"/>
    </row>
    <row customHeight="1" ht="11.25">
      <c r="A46" s="1507" t="s">
        <v>990</v>
      </c>
      <c r="B46" s="1507"/>
      <c r="C46" s="1507"/>
      <c r="D46" s="1501"/>
      <c r="E46" s="1511"/>
      <c r="F46" s="2170"/>
      <c r="G46" s="2171"/>
      <c r="H46" s="2856" t="s">
        <v>91</v>
      </c>
      <c r="I46" s="2857"/>
      <c r="J46" s="2826"/>
      <c r="K46" s="2858"/>
      <c r="L46" s="2448"/>
      <c r="M46" s="2449"/>
      <c r="N46" s="2849"/>
      <c r="O46" s="2850"/>
      <c r="P46" s="2852"/>
      <c r="Q46" s="4672"/>
      <c r="R46" s="2854"/>
      <c r="S46" s="2855"/>
      <c r="T46" s="2854"/>
      <c r="U46" s="2854"/>
      <c r="V46" s="2854"/>
      <c r="W46" s="2854"/>
      <c r="X46" s="2854"/>
      <c r="Y46" s="2854"/>
      <c r="Z46" s="2169"/>
      <c r="AA46" s="2135">
        <v>1</v>
      </c>
      <c r="AB46" s="1520" t="s">
        <v>1035</v>
      </c>
      <c r="AC46" s="1510">
        <v>15114.38174</v>
      </c>
      <c r="AD46" s="1520" t="str">
        <f>AB46</f>
        <v>      Амортизационные отчисления с выделением результатов переоценки основных средств и нематериальных активов</v>
      </c>
      <c r="AE46" s="1510"/>
      <c r="AF46" s="2847"/>
      <c r="AG46" s="2848"/>
      <c r="AH46" s="2848"/>
      <c r="AI46" s="2847"/>
      <c r="AJ46" s="2848"/>
      <c r="AK46" s="2848"/>
      <c r="AL46" s="2329"/>
      <c r="AM46" s="2164"/>
      <c r="AN46" s="2164"/>
      <c r="AO46" s="2164"/>
      <c r="AP46" s="2164"/>
      <c r="AQ46" s="2164"/>
      <c r="AR46" s="2164"/>
      <c r="AS46" s="2164"/>
      <c r="AT46" s="2164"/>
      <c r="AU46" s="2164"/>
      <c r="AV46" s="2164"/>
      <c r="AW46" s="2164"/>
      <c r="AX46" s="2164"/>
      <c r="AY46" s="2164"/>
      <c r="AZ46" s="2164"/>
      <c r="BA46" s="2164"/>
      <c r="BB46" s="2164"/>
      <c r="BC46" s="2164"/>
      <c r="BD46" s="2164"/>
      <c r="BE46" s="2164"/>
      <c r="BF46" s="2164"/>
      <c r="BG46" s="4573"/>
    </row>
    <row customHeight="1" ht="11.25">
      <c r="A47" s="1507" t="s">
        <v>990</v>
      </c>
      <c r="B47" s="1507"/>
      <c r="C47" s="1507"/>
      <c r="D47" s="1501"/>
      <c r="E47" s="1511"/>
      <c r="F47" s="2171"/>
      <c r="G47" s="2171"/>
      <c r="H47" s="2171"/>
      <c r="I47" s="2171"/>
      <c r="J47" s="2171"/>
      <c r="K47" s="2171"/>
      <c r="L47" s="2171"/>
      <c r="M47" s="2171"/>
      <c r="N47" s="2171"/>
      <c r="O47" s="2171"/>
      <c r="P47" s="2171"/>
      <c r="Q47" s="2171"/>
      <c r="R47" s="2171"/>
      <c r="S47" s="2171"/>
      <c r="T47" s="2171"/>
      <c r="U47" s="2171"/>
      <c r="V47" s="2171"/>
      <c r="W47" s="2171"/>
      <c r="X47" s="2171"/>
      <c r="Y47" s="2171"/>
      <c r="Z47" s="4557" t="s">
        <v>684</v>
      </c>
      <c r="AA47" s="2155" t="s">
        <v>107</v>
      </c>
      <c r="AB47" s="1520" t="s">
        <v>1036</v>
      </c>
      <c r="AC47" s="1510">
        <v>2852.55564</v>
      </c>
      <c r="AD47" s="1520" t="str">
        <f>AB47</f>
        <v>  Прочие собственные средства</v>
      </c>
      <c r="AE47" s="1510"/>
      <c r="AF47" s="2172"/>
      <c r="AG47" s="2100"/>
      <c r="AH47" s="2100"/>
      <c r="AI47" s="2172"/>
      <c r="AJ47" s="2100"/>
      <c r="AK47" s="2328"/>
      <c r="AL47" s="2329"/>
      <c r="AM47" s="2164"/>
      <c r="AN47" s="2164"/>
      <c r="AO47" s="2164"/>
      <c r="AP47" s="2164"/>
      <c r="AQ47" s="2164"/>
      <c r="AR47" s="2164"/>
      <c r="AS47" s="2164"/>
      <c r="AT47" s="2164"/>
      <c r="AU47" s="2164"/>
      <c r="AV47" s="2164"/>
      <c r="AW47" s="2164"/>
      <c r="AX47" s="2164"/>
      <c r="AY47" s="2164"/>
      <c r="AZ47" s="2164"/>
      <c r="BA47" s="2164"/>
      <c r="BB47" s="2164"/>
      <c r="BC47" s="2164"/>
      <c r="BD47" s="2164"/>
      <c r="BE47" s="2164"/>
      <c r="BF47" s="2164"/>
      <c r="BG47" s="4573"/>
    </row>
    <row customHeight="1" ht="11.25">
      <c r="A48" s="1507" t="s">
        <v>990</v>
      </c>
      <c r="B48" s="1507"/>
      <c r="C48" s="1507"/>
      <c r="D48" s="1501"/>
      <c r="E48" s="1511"/>
      <c r="F48" s="2170"/>
      <c r="G48" s="2171"/>
      <c r="H48" s="2856" t="s">
        <v>91</v>
      </c>
      <c r="I48" s="2857"/>
      <c r="J48" s="2826"/>
      <c r="K48" s="2858"/>
      <c r="L48" s="2448"/>
      <c r="M48" s="2449"/>
      <c r="N48" s="2849"/>
      <c r="O48" s="2850"/>
      <c r="P48" s="2853"/>
      <c r="Q48" s="4672"/>
      <c r="R48" s="2854"/>
      <c r="S48" s="2855"/>
      <c r="T48" s="2854"/>
      <c r="U48" s="2854"/>
      <c r="V48" s="2854"/>
      <c r="W48" s="2854"/>
      <c r="X48" s="2854"/>
      <c r="Y48" s="2854"/>
      <c r="Z48" s="1516"/>
      <c r="AA48" s="1517"/>
      <c r="AB48" s="1582" t="s">
        <v>1037</v>
      </c>
      <c r="AC48" s="1521"/>
      <c r="AD48" s="1521"/>
      <c r="AE48" s="1523"/>
      <c r="AF48" s="2847"/>
      <c r="AG48" s="2848"/>
      <c r="AH48" s="2848"/>
      <c r="AI48" s="2847"/>
      <c r="AJ48" s="2848"/>
      <c r="AK48" s="2848"/>
      <c r="AL48" s="2329"/>
      <c r="AM48" s="2164"/>
      <c r="AN48" s="2164"/>
      <c r="AO48" s="2164"/>
      <c r="AP48" s="2164"/>
      <c r="AQ48" s="2164"/>
      <c r="AR48" s="2164"/>
      <c r="AS48" s="2164"/>
      <c r="AT48" s="2164"/>
      <c r="AU48" s="2164"/>
      <c r="AV48" s="2164"/>
      <c r="AW48" s="2164"/>
      <c r="AX48" s="2164"/>
      <c r="AY48" s="2164"/>
      <c r="AZ48" s="2164"/>
      <c r="BA48" s="2164"/>
      <c r="BB48" s="2164"/>
      <c r="BC48" s="2164"/>
      <c r="BD48" s="2164"/>
      <c r="BE48" s="2164"/>
      <c r="BF48" s="2164"/>
      <c r="BG48" s="4573"/>
    </row>
    <row customHeight="1" ht="11.25">
      <c r="A49" s="1507" t="s">
        <v>990</v>
      </c>
      <c r="B49" s="1507"/>
      <c r="C49" s="1507"/>
      <c r="D49" s="1501"/>
      <c r="E49" s="1511"/>
      <c r="F49" s="2170"/>
      <c r="G49" s="2171"/>
      <c r="H49" s="2856" t="s">
        <v>91</v>
      </c>
      <c r="I49" s="2857"/>
      <c r="J49" s="2826"/>
      <c r="K49" s="2858"/>
      <c r="L49" s="2448"/>
      <c r="M49" s="2449"/>
      <c r="N49" s="1516"/>
      <c r="O49" s="1517"/>
      <c r="P49" s="1509" t="s">
        <v>1038</v>
      </c>
      <c r="Q49" s="1517"/>
      <c r="R49" s="1517"/>
      <c r="S49" s="1517"/>
      <c r="T49" s="1517"/>
      <c r="U49" s="1517"/>
      <c r="V49" s="1517"/>
      <c r="W49" s="1517"/>
      <c r="X49" s="1517"/>
      <c r="Y49" s="1517"/>
      <c r="Z49" s="1517"/>
      <c r="AA49" s="1517"/>
      <c r="AB49" s="1517"/>
      <c r="AC49" s="1517"/>
      <c r="AD49" s="1517"/>
      <c r="AE49" s="1524"/>
      <c r="AF49" s="2847"/>
      <c r="AG49" s="2848"/>
      <c r="AH49" s="2848"/>
      <c r="AI49" s="2847"/>
      <c r="AJ49" s="2848"/>
      <c r="AK49" s="2848"/>
      <c r="AL49" s="2329"/>
      <c r="AM49" s="2164"/>
      <c r="AN49" s="2164"/>
      <c r="AO49" s="2164"/>
      <c r="AP49" s="2164"/>
      <c r="AQ49" s="2164"/>
      <c r="AR49" s="2164"/>
      <c r="AS49" s="2164"/>
      <c r="AT49" s="2164"/>
      <c r="AU49" s="2164"/>
      <c r="AV49" s="2164"/>
      <c r="AW49" s="2164"/>
      <c r="AX49" s="2164"/>
      <c r="AY49" s="2164"/>
      <c r="AZ49" s="2164"/>
      <c r="BA49" s="2164"/>
      <c r="BB49" s="2164"/>
      <c r="BC49" s="2164"/>
      <c r="BD49" s="2164"/>
      <c r="BE49" s="2164"/>
      <c r="BF49" s="2164"/>
      <c r="BG49" s="4573"/>
    </row>
    <row customHeight="1" ht="11.25">
      <c r="A50" s="1507" t="s">
        <v>990</v>
      </c>
      <c r="B50" s="1507" t="s">
        <v>1022</v>
      </c>
      <c r="C50" s="1507"/>
      <c r="D50" s="1501"/>
      <c r="E50" s="1511"/>
      <c r="F50" s="2170"/>
      <c r="G50" s="4557" t="s">
        <v>684</v>
      </c>
      <c r="H50" s="2856" t="s">
        <v>92</v>
      </c>
      <c r="I50" s="2857" t="s">
        <v>1023</v>
      </c>
      <c r="J50" s="2826" t="s">
        <v>1024</v>
      </c>
      <c r="K50" s="2858" t="s">
        <v>1062</v>
      </c>
      <c r="L50" s="2448" t="s">
        <v>19</v>
      </c>
      <c r="M50" s="2449"/>
      <c r="N50" s="2327"/>
      <c r="O50" s="1518" t="s">
        <v>371</v>
      </c>
      <c r="P50" s="1519"/>
      <c r="Q50" s="1519"/>
      <c r="R50" s="1519"/>
      <c r="S50" s="1519"/>
      <c r="T50" s="1519"/>
      <c r="U50" s="1519"/>
      <c r="V50" s="1519"/>
      <c r="W50" s="1519"/>
      <c r="X50" s="1519"/>
      <c r="Y50" s="1519"/>
      <c r="Z50" s="1519"/>
      <c r="AA50" s="1519"/>
      <c r="AB50" s="1519"/>
      <c r="AC50" s="1519"/>
      <c r="AD50" s="1519"/>
      <c r="AE50" s="1519"/>
      <c r="AF50" s="2847">
        <v>1</v>
      </c>
      <c r="AG50" s="2848" t="s">
        <v>1026</v>
      </c>
      <c r="AH50" s="2848" t="s">
        <v>1063</v>
      </c>
      <c r="AI50" s="2847"/>
      <c r="AJ50" s="2848"/>
      <c r="AK50" s="2848"/>
      <c r="AL50" s="2329"/>
      <c r="AM50" s="2164"/>
      <c r="AN50" s="2164"/>
      <c r="AO50" s="2164"/>
      <c r="AP50" s="2164"/>
      <c r="AQ50" s="2164"/>
      <c r="AR50" s="2164"/>
      <c r="AS50" s="2164"/>
      <c r="AT50" s="2164"/>
      <c r="AU50" s="2164"/>
      <c r="AV50" s="2164"/>
      <c r="AW50" s="2164"/>
      <c r="AX50" s="2164"/>
      <c r="AY50" s="2164"/>
      <c r="AZ50" s="2164"/>
      <c r="BA50" s="2164"/>
      <c r="BB50" s="2164"/>
      <c r="BC50" s="2164"/>
      <c r="BD50" s="2164"/>
      <c r="BE50" s="2164"/>
      <c r="BF50" s="2164"/>
      <c r="BG50" s="4573"/>
    </row>
    <row customHeight="1" ht="11.25">
      <c r="A51" s="1507" t="s">
        <v>990</v>
      </c>
      <c r="B51" s="1507"/>
      <c r="C51" s="1507"/>
      <c r="D51" s="1501"/>
      <c r="E51" s="1511"/>
      <c r="F51" s="2170"/>
      <c r="G51" s="2171"/>
      <c r="H51" s="2856" t="s">
        <v>108</v>
      </c>
      <c r="I51" s="2857"/>
      <c r="J51" s="2826"/>
      <c r="K51" s="2858"/>
      <c r="L51" s="2448"/>
      <c r="M51" s="2449"/>
      <c r="N51" s="2849"/>
      <c r="O51" s="2850">
        <v>1</v>
      </c>
      <c r="P51" s="2851" t="s">
        <v>65</v>
      </c>
      <c r="Q51" s="4672" t="s">
        <v>1028</v>
      </c>
      <c r="R51" s="4673" t="s">
        <v>1029</v>
      </c>
      <c r="S51" s="4673" t="s">
        <v>1030</v>
      </c>
      <c r="T51" s="4673" t="s">
        <v>1030</v>
      </c>
      <c r="U51" s="4673" t="s">
        <v>1031</v>
      </c>
      <c r="V51" s="4673" t="s">
        <v>1032</v>
      </c>
      <c r="W51" s="4673" t="s">
        <v>1033</v>
      </c>
      <c r="X51" s="4673" t="s">
        <v>1034</v>
      </c>
      <c r="Y51" s="4673" t="s">
        <v>106</v>
      </c>
      <c r="Z51" s="1516"/>
      <c r="AA51" s="1517"/>
      <c r="AB51" s="1517"/>
      <c r="AC51" s="1521"/>
      <c r="AD51" s="1521"/>
      <c r="AE51" s="1522"/>
      <c r="AF51" s="2847"/>
      <c r="AG51" s="2848"/>
      <c r="AH51" s="2848"/>
      <c r="AI51" s="2847"/>
      <c r="AJ51" s="2848"/>
      <c r="AK51" s="2848"/>
      <c r="AL51" s="2329"/>
      <c r="AM51" s="2164"/>
      <c r="AN51" s="2164"/>
      <c r="AO51" s="2164"/>
      <c r="AP51" s="2164"/>
      <c r="AQ51" s="2164"/>
      <c r="AR51" s="2164"/>
      <c r="AS51" s="2164"/>
      <c r="AT51" s="2164"/>
      <c r="AU51" s="2164"/>
      <c r="AV51" s="2164"/>
      <c r="AW51" s="2164"/>
      <c r="AX51" s="2164"/>
      <c r="AY51" s="2164"/>
      <c r="AZ51" s="2164"/>
      <c r="BA51" s="2164"/>
      <c r="BB51" s="2164"/>
      <c r="BC51" s="2164"/>
      <c r="BD51" s="2164"/>
      <c r="BE51" s="2164"/>
      <c r="BF51" s="2164"/>
      <c r="BG51" s="4573"/>
    </row>
    <row customHeight="1" ht="11.25">
      <c r="A52" s="1507" t="s">
        <v>990</v>
      </c>
      <c r="B52" s="1507"/>
      <c r="C52" s="1507"/>
      <c r="D52" s="1501"/>
      <c r="E52" s="1511"/>
      <c r="F52" s="2170"/>
      <c r="G52" s="2171"/>
      <c r="H52" s="2856" t="s">
        <v>108</v>
      </c>
      <c r="I52" s="2857"/>
      <c r="J52" s="2826"/>
      <c r="K52" s="2858"/>
      <c r="L52" s="2448"/>
      <c r="M52" s="2449"/>
      <c r="N52" s="2849"/>
      <c r="O52" s="2850"/>
      <c r="P52" s="2852"/>
      <c r="Q52" s="4672"/>
      <c r="R52" s="2854"/>
      <c r="S52" s="2855"/>
      <c r="T52" s="2854"/>
      <c r="U52" s="2854"/>
      <c r="V52" s="2854"/>
      <c r="W52" s="2854"/>
      <c r="X52" s="2854"/>
      <c r="Y52" s="2854"/>
      <c r="Z52" s="2169"/>
      <c r="AA52" s="2135">
        <v>1</v>
      </c>
      <c r="AB52" s="1520" t="s">
        <v>1035</v>
      </c>
      <c r="AC52" s="1510">
        <v>24.81623</v>
      </c>
      <c r="AD52" s="1520" t="str">
        <f>AB52</f>
        <v>      Амортизационные отчисления с выделением результатов переоценки основных средств и нематериальных активов</v>
      </c>
      <c r="AE52" s="1510"/>
      <c r="AF52" s="2847"/>
      <c r="AG52" s="2848"/>
      <c r="AH52" s="2848"/>
      <c r="AI52" s="2847"/>
      <c r="AJ52" s="2848"/>
      <c r="AK52" s="2848"/>
      <c r="AL52" s="2329"/>
      <c r="AM52" s="2164"/>
      <c r="AN52" s="2164"/>
      <c r="AO52" s="2164"/>
      <c r="AP52" s="2164"/>
      <c r="AQ52" s="2164"/>
      <c r="AR52" s="2164"/>
      <c r="AS52" s="2164"/>
      <c r="AT52" s="2164"/>
      <c r="AU52" s="2164"/>
      <c r="AV52" s="2164"/>
      <c r="AW52" s="2164"/>
      <c r="AX52" s="2164"/>
      <c r="AY52" s="2164"/>
      <c r="AZ52" s="2164"/>
      <c r="BA52" s="2164"/>
      <c r="BB52" s="2164"/>
      <c r="BC52" s="2164"/>
      <c r="BD52" s="2164"/>
      <c r="BE52" s="2164"/>
      <c r="BF52" s="2164"/>
      <c r="BG52" s="4573"/>
    </row>
    <row customHeight="1" ht="11.25">
      <c r="A53" s="1507" t="s">
        <v>990</v>
      </c>
      <c r="B53" s="1507"/>
      <c r="C53" s="1507"/>
      <c r="D53" s="1501"/>
      <c r="E53" s="1511"/>
      <c r="F53" s="2171"/>
      <c r="G53" s="2171"/>
      <c r="H53" s="2171"/>
      <c r="I53" s="2171"/>
      <c r="J53" s="2171"/>
      <c r="K53" s="2171"/>
      <c r="L53" s="2171"/>
      <c r="M53" s="2171"/>
      <c r="N53" s="2171"/>
      <c r="O53" s="2171"/>
      <c r="P53" s="2171"/>
      <c r="Q53" s="2171"/>
      <c r="R53" s="2171"/>
      <c r="S53" s="2171"/>
      <c r="T53" s="2171"/>
      <c r="U53" s="2171"/>
      <c r="V53" s="2171"/>
      <c r="W53" s="2171"/>
      <c r="X53" s="2171"/>
      <c r="Y53" s="2171"/>
      <c r="Z53" s="4557" t="s">
        <v>684</v>
      </c>
      <c r="AA53" s="2155" t="s">
        <v>107</v>
      </c>
      <c r="AB53" s="1520" t="s">
        <v>1036</v>
      </c>
      <c r="AC53" s="1510">
        <v>4.96325</v>
      </c>
      <c r="AD53" s="1520" t="str">
        <f>AB53</f>
        <v>  Прочие собственные средства</v>
      </c>
      <c r="AE53" s="1510"/>
      <c r="AF53" s="2172"/>
      <c r="AG53" s="2100"/>
      <c r="AH53" s="2100"/>
      <c r="AI53" s="2172"/>
      <c r="AJ53" s="2100"/>
      <c r="AK53" s="2328"/>
      <c r="AL53" s="2329"/>
      <c r="AM53" s="2164"/>
      <c r="AN53" s="2164"/>
      <c r="AO53" s="2164"/>
      <c r="AP53" s="2164"/>
      <c r="AQ53" s="2164"/>
      <c r="AR53" s="2164"/>
      <c r="AS53" s="2164"/>
      <c r="AT53" s="2164"/>
      <c r="AU53" s="2164"/>
      <c r="AV53" s="2164"/>
      <c r="AW53" s="2164"/>
      <c r="AX53" s="2164"/>
      <c r="AY53" s="2164"/>
      <c r="AZ53" s="2164"/>
      <c r="BA53" s="2164"/>
      <c r="BB53" s="2164"/>
      <c r="BC53" s="2164"/>
      <c r="BD53" s="2164"/>
      <c r="BE53" s="2164"/>
      <c r="BF53" s="2164"/>
      <c r="BG53" s="4573"/>
    </row>
    <row customHeight="1" ht="11.25">
      <c r="A54" s="1507" t="s">
        <v>990</v>
      </c>
      <c r="B54" s="1507"/>
      <c r="C54" s="1507"/>
      <c r="D54" s="1501"/>
      <c r="E54" s="1511"/>
      <c r="F54" s="2170"/>
      <c r="G54" s="2171"/>
      <c r="H54" s="2856" t="s">
        <v>108</v>
      </c>
      <c r="I54" s="2857"/>
      <c r="J54" s="2826"/>
      <c r="K54" s="2858"/>
      <c r="L54" s="2448"/>
      <c r="M54" s="2449"/>
      <c r="N54" s="2849"/>
      <c r="O54" s="2850"/>
      <c r="P54" s="2853"/>
      <c r="Q54" s="4672"/>
      <c r="R54" s="2854"/>
      <c r="S54" s="2855"/>
      <c r="T54" s="2854"/>
      <c r="U54" s="2854"/>
      <c r="V54" s="2854"/>
      <c r="W54" s="2854"/>
      <c r="X54" s="2854"/>
      <c r="Y54" s="2854"/>
      <c r="Z54" s="1516"/>
      <c r="AA54" s="1517"/>
      <c r="AB54" s="1582" t="s">
        <v>1037</v>
      </c>
      <c r="AC54" s="1521"/>
      <c r="AD54" s="1521"/>
      <c r="AE54" s="1523"/>
      <c r="AF54" s="2847"/>
      <c r="AG54" s="2848"/>
      <c r="AH54" s="2848"/>
      <c r="AI54" s="2847"/>
      <c r="AJ54" s="2848"/>
      <c r="AK54" s="2848"/>
      <c r="AL54" s="2329"/>
      <c r="AM54" s="2164"/>
      <c r="AN54" s="2164"/>
      <c r="AO54" s="2164"/>
      <c r="AP54" s="2164"/>
      <c r="AQ54" s="2164"/>
      <c r="AR54" s="2164"/>
      <c r="AS54" s="2164"/>
      <c r="AT54" s="2164"/>
      <c r="AU54" s="2164"/>
      <c r="AV54" s="2164"/>
      <c r="AW54" s="2164"/>
      <c r="AX54" s="2164"/>
      <c r="AY54" s="2164"/>
      <c r="AZ54" s="2164"/>
      <c r="BA54" s="2164"/>
      <c r="BB54" s="2164"/>
      <c r="BC54" s="2164"/>
      <c r="BD54" s="2164"/>
      <c r="BE54" s="2164"/>
      <c r="BF54" s="2164"/>
      <c r="BG54" s="4573"/>
    </row>
    <row customHeight="1" ht="11.25">
      <c r="A55" s="1507" t="s">
        <v>990</v>
      </c>
      <c r="B55" s="1507"/>
      <c r="C55" s="1507"/>
      <c r="D55" s="1501"/>
      <c r="E55" s="1511"/>
      <c r="F55" s="2170"/>
      <c r="G55" s="2171"/>
      <c r="H55" s="2856" t="s">
        <v>108</v>
      </c>
      <c r="I55" s="2857"/>
      <c r="J55" s="2826"/>
      <c r="K55" s="2858"/>
      <c r="L55" s="2448"/>
      <c r="M55" s="2449"/>
      <c r="N55" s="1516"/>
      <c r="O55" s="1517"/>
      <c r="P55" s="1509" t="s">
        <v>1038</v>
      </c>
      <c r="Q55" s="1517"/>
      <c r="R55" s="1517"/>
      <c r="S55" s="1517"/>
      <c r="T55" s="1517"/>
      <c r="U55" s="1517"/>
      <c r="V55" s="1517"/>
      <c r="W55" s="1517"/>
      <c r="X55" s="1517"/>
      <c r="Y55" s="1517"/>
      <c r="Z55" s="1517"/>
      <c r="AA55" s="1517"/>
      <c r="AB55" s="1517"/>
      <c r="AC55" s="1517"/>
      <c r="AD55" s="1517"/>
      <c r="AE55" s="1524"/>
      <c r="AF55" s="2847"/>
      <c r="AG55" s="2848"/>
      <c r="AH55" s="2848"/>
      <c r="AI55" s="2847"/>
      <c r="AJ55" s="2848"/>
      <c r="AK55" s="2848"/>
      <c r="AL55" s="2329"/>
      <c r="AM55" s="2164"/>
      <c r="AN55" s="2164"/>
      <c r="AO55" s="2164"/>
      <c r="AP55" s="2164"/>
      <c r="AQ55" s="2164"/>
      <c r="AR55" s="2164"/>
      <c r="AS55" s="2164"/>
      <c r="AT55" s="2164"/>
      <c r="AU55" s="2164"/>
      <c r="AV55" s="2164"/>
      <c r="AW55" s="2164"/>
      <c r="AX55" s="2164"/>
      <c r="AY55" s="2164"/>
      <c r="AZ55" s="2164"/>
      <c r="BA55" s="2164"/>
      <c r="BB55" s="2164"/>
      <c r="BC55" s="2164"/>
      <c r="BD55" s="2164"/>
      <c r="BE55" s="2164"/>
      <c r="BF55" s="2164"/>
      <c r="BG55" s="4573"/>
    </row>
    <row customHeight="1" ht="11.25">
      <c r="A56" s="1507" t="s">
        <v>990</v>
      </c>
      <c r="B56" s="1507" t="s">
        <v>1022</v>
      </c>
      <c r="C56" s="1507"/>
      <c r="D56" s="1501"/>
      <c r="E56" s="1511"/>
      <c r="F56" s="2170"/>
      <c r="G56" s="4557" t="s">
        <v>684</v>
      </c>
      <c r="H56" s="2856" t="s">
        <v>93</v>
      </c>
      <c r="I56" s="2857" t="s">
        <v>1023</v>
      </c>
      <c r="J56" s="2826" t="s">
        <v>1024</v>
      </c>
      <c r="K56" s="2858" t="s">
        <v>1064</v>
      </c>
      <c r="L56" s="2448" t="s">
        <v>19</v>
      </c>
      <c r="M56" s="2449"/>
      <c r="N56" s="2327"/>
      <c r="O56" s="1518" t="s">
        <v>371</v>
      </c>
      <c r="P56" s="1519"/>
      <c r="Q56" s="1519"/>
      <c r="R56" s="1519"/>
      <c r="S56" s="1519"/>
      <c r="T56" s="1519"/>
      <c r="U56" s="1519"/>
      <c r="V56" s="1519"/>
      <c r="W56" s="1519"/>
      <c r="X56" s="1519"/>
      <c r="Y56" s="1519"/>
      <c r="Z56" s="1519"/>
      <c r="AA56" s="1519"/>
      <c r="AB56" s="1519"/>
      <c r="AC56" s="1519"/>
      <c r="AD56" s="1519"/>
      <c r="AE56" s="1519"/>
      <c r="AF56" s="2847">
        <v>1</v>
      </c>
      <c r="AG56" s="2848" t="s">
        <v>1026</v>
      </c>
      <c r="AH56" s="2848" t="s">
        <v>1063</v>
      </c>
      <c r="AI56" s="2847"/>
      <c r="AJ56" s="2848"/>
      <c r="AK56" s="2848"/>
      <c r="AL56" s="2329"/>
      <c r="AM56" s="2164"/>
      <c r="AN56" s="2164"/>
      <c r="AO56" s="2164"/>
      <c r="AP56" s="2164"/>
      <c r="AQ56" s="2164"/>
      <c r="AR56" s="2164"/>
      <c r="AS56" s="2164"/>
      <c r="AT56" s="2164"/>
      <c r="AU56" s="2164"/>
      <c r="AV56" s="2164"/>
      <c r="AW56" s="2164"/>
      <c r="AX56" s="2164"/>
      <c r="AY56" s="2164"/>
      <c r="AZ56" s="2164"/>
      <c r="BA56" s="2164"/>
      <c r="BB56" s="2164"/>
      <c r="BC56" s="2164"/>
      <c r="BD56" s="2164"/>
      <c r="BE56" s="2164"/>
      <c r="BF56" s="2164"/>
      <c r="BG56" s="4573"/>
    </row>
    <row customHeight="1" ht="11.25">
      <c r="A57" s="1507" t="s">
        <v>990</v>
      </c>
      <c r="B57" s="1507"/>
      <c r="C57" s="1507"/>
      <c r="D57" s="1501"/>
      <c r="E57" s="1511"/>
      <c r="F57" s="2170"/>
      <c r="G57" s="2171"/>
      <c r="H57" s="2856" t="s">
        <v>92</v>
      </c>
      <c r="I57" s="2857"/>
      <c r="J57" s="2826"/>
      <c r="K57" s="2858"/>
      <c r="L57" s="2448"/>
      <c r="M57" s="2449"/>
      <c r="N57" s="2849"/>
      <c r="O57" s="2850">
        <v>1</v>
      </c>
      <c r="P57" s="2851" t="s">
        <v>65</v>
      </c>
      <c r="Q57" s="4672" t="s">
        <v>1028</v>
      </c>
      <c r="R57" s="4673" t="s">
        <v>1029</v>
      </c>
      <c r="S57" s="4673" t="s">
        <v>1030</v>
      </c>
      <c r="T57" s="4673" t="s">
        <v>1030</v>
      </c>
      <c r="U57" s="4673" t="s">
        <v>1031</v>
      </c>
      <c r="V57" s="4673" t="s">
        <v>1032</v>
      </c>
      <c r="W57" s="4673" t="s">
        <v>1033</v>
      </c>
      <c r="X57" s="4673" t="s">
        <v>1034</v>
      </c>
      <c r="Y57" s="4673" t="s">
        <v>106</v>
      </c>
      <c r="Z57" s="1516"/>
      <c r="AA57" s="1517"/>
      <c r="AB57" s="1517"/>
      <c r="AC57" s="1521"/>
      <c r="AD57" s="1521"/>
      <c r="AE57" s="1522"/>
      <c r="AF57" s="2847"/>
      <c r="AG57" s="2848"/>
      <c r="AH57" s="2848"/>
      <c r="AI57" s="2847"/>
      <c r="AJ57" s="2848"/>
      <c r="AK57" s="2848"/>
      <c r="AL57" s="2329"/>
      <c r="AM57" s="2164"/>
      <c r="AN57" s="2164"/>
      <c r="AO57" s="2164"/>
      <c r="AP57" s="2164"/>
      <c r="AQ57" s="2164"/>
      <c r="AR57" s="2164"/>
      <c r="AS57" s="2164"/>
      <c r="AT57" s="2164"/>
      <c r="AU57" s="2164"/>
      <c r="AV57" s="2164"/>
      <c r="AW57" s="2164"/>
      <c r="AX57" s="2164"/>
      <c r="AY57" s="2164"/>
      <c r="AZ57" s="2164"/>
      <c r="BA57" s="2164"/>
      <c r="BB57" s="2164"/>
      <c r="BC57" s="2164"/>
      <c r="BD57" s="2164"/>
      <c r="BE57" s="2164"/>
      <c r="BF57" s="2164"/>
      <c r="BG57" s="4573"/>
    </row>
    <row customHeight="1" ht="11.25">
      <c r="A58" s="1507" t="s">
        <v>990</v>
      </c>
      <c r="B58" s="1507"/>
      <c r="C58" s="1507"/>
      <c r="D58" s="1501"/>
      <c r="E58" s="1511"/>
      <c r="F58" s="2170"/>
      <c r="G58" s="2171"/>
      <c r="H58" s="2856" t="s">
        <v>92</v>
      </c>
      <c r="I58" s="2857"/>
      <c r="J58" s="2826"/>
      <c r="K58" s="2858"/>
      <c r="L58" s="2448"/>
      <c r="M58" s="2449"/>
      <c r="N58" s="2849"/>
      <c r="O58" s="2850"/>
      <c r="P58" s="2852"/>
      <c r="Q58" s="4672"/>
      <c r="R58" s="2854"/>
      <c r="S58" s="2855"/>
      <c r="T58" s="2854"/>
      <c r="U58" s="2854"/>
      <c r="V58" s="2854"/>
      <c r="W58" s="2854"/>
      <c r="X58" s="2854"/>
      <c r="Y58" s="2854"/>
      <c r="Z58" s="2169"/>
      <c r="AA58" s="2135">
        <v>1</v>
      </c>
      <c r="AB58" s="1520" t="s">
        <v>1036</v>
      </c>
      <c r="AC58" s="1510">
        <v>2892</v>
      </c>
      <c r="AD58" s="1520" t="str">
        <f>AB58</f>
        <v>  Прочие собственные средства</v>
      </c>
      <c r="AE58" s="1510"/>
      <c r="AF58" s="2847"/>
      <c r="AG58" s="2848"/>
      <c r="AH58" s="2848"/>
      <c r="AI58" s="2847"/>
      <c r="AJ58" s="2848"/>
      <c r="AK58" s="2848"/>
      <c r="AL58" s="2329"/>
      <c r="AM58" s="2164"/>
      <c r="AN58" s="2164"/>
      <c r="AO58" s="2164"/>
      <c r="AP58" s="2164"/>
      <c r="AQ58" s="2164"/>
      <c r="AR58" s="2164"/>
      <c r="AS58" s="2164"/>
      <c r="AT58" s="2164"/>
      <c r="AU58" s="2164"/>
      <c r="AV58" s="2164"/>
      <c r="AW58" s="2164"/>
      <c r="AX58" s="2164"/>
      <c r="AY58" s="2164"/>
      <c r="AZ58" s="2164"/>
      <c r="BA58" s="2164"/>
      <c r="BB58" s="2164"/>
      <c r="BC58" s="2164"/>
      <c r="BD58" s="2164"/>
      <c r="BE58" s="2164"/>
      <c r="BF58" s="2164"/>
      <c r="BG58" s="4573"/>
    </row>
    <row customHeight="1" ht="11.25">
      <c r="A59" s="1507" t="s">
        <v>990</v>
      </c>
      <c r="B59" s="1507"/>
      <c r="C59" s="1507"/>
      <c r="D59" s="1501"/>
      <c r="E59" s="1511"/>
      <c r="F59" s="2170"/>
      <c r="G59" s="2171"/>
      <c r="H59" s="2856" t="s">
        <v>92</v>
      </c>
      <c r="I59" s="2857"/>
      <c r="J59" s="2826"/>
      <c r="K59" s="2858"/>
      <c r="L59" s="2448"/>
      <c r="M59" s="2449"/>
      <c r="N59" s="2849"/>
      <c r="O59" s="2850"/>
      <c r="P59" s="2853"/>
      <c r="Q59" s="4672"/>
      <c r="R59" s="2854"/>
      <c r="S59" s="2855"/>
      <c r="T59" s="2854"/>
      <c r="U59" s="2854"/>
      <c r="V59" s="2854"/>
      <c r="W59" s="2854"/>
      <c r="X59" s="2854"/>
      <c r="Y59" s="2854"/>
      <c r="Z59" s="1516"/>
      <c r="AA59" s="1517"/>
      <c r="AB59" s="1582" t="s">
        <v>1037</v>
      </c>
      <c r="AC59" s="1521"/>
      <c r="AD59" s="1521"/>
      <c r="AE59" s="1523"/>
      <c r="AF59" s="2847"/>
      <c r="AG59" s="2848"/>
      <c r="AH59" s="2848"/>
      <c r="AI59" s="2847"/>
      <c r="AJ59" s="2848"/>
      <c r="AK59" s="2848"/>
      <c r="AL59" s="2329"/>
      <c r="AM59" s="2164"/>
      <c r="AN59" s="2164"/>
      <c r="AO59" s="2164"/>
      <c r="AP59" s="2164"/>
      <c r="AQ59" s="2164"/>
      <c r="AR59" s="2164"/>
      <c r="AS59" s="2164"/>
      <c r="AT59" s="2164"/>
      <c r="AU59" s="2164"/>
      <c r="AV59" s="2164"/>
      <c r="AW59" s="2164"/>
      <c r="AX59" s="2164"/>
      <c r="AY59" s="2164"/>
      <c r="AZ59" s="2164"/>
      <c r="BA59" s="2164"/>
      <c r="BB59" s="2164"/>
      <c r="BC59" s="2164"/>
      <c r="BD59" s="2164"/>
      <c r="BE59" s="2164"/>
      <c r="BF59" s="2164"/>
      <c r="BG59" s="4573"/>
    </row>
    <row customHeight="1" ht="11.25">
      <c r="A60" s="1507" t="s">
        <v>990</v>
      </c>
      <c r="B60" s="1507"/>
      <c r="C60" s="1507"/>
      <c r="D60" s="1501"/>
      <c r="E60" s="1511"/>
      <c r="F60" s="2170"/>
      <c r="G60" s="2171"/>
      <c r="H60" s="2856" t="s">
        <v>92</v>
      </c>
      <c r="I60" s="2857"/>
      <c r="J60" s="2826"/>
      <c r="K60" s="2858"/>
      <c r="L60" s="2448"/>
      <c r="M60" s="2449"/>
      <c r="N60" s="1516"/>
      <c r="O60" s="1517"/>
      <c r="P60" s="1509" t="s">
        <v>1038</v>
      </c>
      <c r="Q60" s="1517"/>
      <c r="R60" s="1517"/>
      <c r="S60" s="1517"/>
      <c r="T60" s="1517"/>
      <c r="U60" s="1517"/>
      <c r="V60" s="1517"/>
      <c r="W60" s="1517"/>
      <c r="X60" s="1517"/>
      <c r="Y60" s="1517"/>
      <c r="Z60" s="1517"/>
      <c r="AA60" s="1517"/>
      <c r="AB60" s="1517"/>
      <c r="AC60" s="1517"/>
      <c r="AD60" s="1517"/>
      <c r="AE60" s="1524"/>
      <c r="AF60" s="2847"/>
      <c r="AG60" s="2848"/>
      <c r="AH60" s="2848"/>
      <c r="AI60" s="2847"/>
      <c r="AJ60" s="2848"/>
      <c r="AK60" s="2848"/>
      <c r="AL60" s="2329"/>
      <c r="AM60" s="2164"/>
      <c r="AN60" s="2164"/>
      <c r="AO60" s="2164"/>
      <c r="AP60" s="2164"/>
      <c r="AQ60" s="2164"/>
      <c r="AR60" s="2164"/>
      <c r="AS60" s="2164"/>
      <c r="AT60" s="2164"/>
      <c r="AU60" s="2164"/>
      <c r="AV60" s="2164"/>
      <c r="AW60" s="2164"/>
      <c r="AX60" s="2164"/>
      <c r="AY60" s="2164"/>
      <c r="AZ60" s="2164"/>
      <c r="BA60" s="2164"/>
      <c r="BB60" s="2164"/>
      <c r="BC60" s="2164"/>
      <c r="BD60" s="2164"/>
      <c r="BE60" s="2164"/>
      <c r="BF60" s="2164"/>
      <c r="BG60" s="4573"/>
    </row>
    <row customHeight="1" ht="11.25">
      <c r="A61" s="1507" t="s">
        <v>990</v>
      </c>
      <c r="B61" s="1507" t="s">
        <v>22</v>
      </c>
      <c r="C61" s="1507"/>
      <c r="D61" s="1501"/>
      <c r="E61" s="1511"/>
      <c r="F61" s="2170"/>
      <c r="G61" s="4557" t="s">
        <v>684</v>
      </c>
      <c r="H61" s="2856" t="s">
        <v>109</v>
      </c>
      <c r="I61" s="2857" t="s">
        <v>1039</v>
      </c>
      <c r="J61" s="4694" t="s">
        <v>22</v>
      </c>
      <c r="K61" s="2858" t="s">
        <v>1065</v>
      </c>
      <c r="L61" s="2448" t="s">
        <v>19</v>
      </c>
      <c r="M61" s="2449"/>
      <c r="N61" s="2327"/>
      <c r="O61" s="1518" t="s">
        <v>371</v>
      </c>
      <c r="P61" s="1519"/>
      <c r="Q61" s="1519"/>
      <c r="R61" s="1519"/>
      <c r="S61" s="1519"/>
      <c r="T61" s="1519"/>
      <c r="U61" s="1519"/>
      <c r="V61" s="1519"/>
      <c r="W61" s="1519"/>
      <c r="X61" s="1519"/>
      <c r="Y61" s="1519"/>
      <c r="Z61" s="1519"/>
      <c r="AA61" s="1519"/>
      <c r="AB61" s="1519"/>
      <c r="AC61" s="1519"/>
      <c r="AD61" s="1519"/>
      <c r="AE61" s="1519"/>
      <c r="AF61" s="2847">
        <v>1</v>
      </c>
      <c r="AG61" s="2848" t="s">
        <v>1026</v>
      </c>
      <c r="AH61" s="2848" t="s">
        <v>1063</v>
      </c>
      <c r="AI61" s="2847"/>
      <c r="AJ61" s="2848"/>
      <c r="AK61" s="2848"/>
      <c r="AL61" s="2329"/>
      <c r="AM61" s="2164"/>
      <c r="AN61" s="2164"/>
      <c r="AO61" s="2164"/>
      <c r="AP61" s="2164"/>
      <c r="AQ61" s="2164"/>
      <c r="AR61" s="2164"/>
      <c r="AS61" s="2164"/>
      <c r="AT61" s="2164"/>
      <c r="AU61" s="2164"/>
      <c r="AV61" s="2164"/>
      <c r="AW61" s="2164"/>
      <c r="AX61" s="2164"/>
      <c r="AY61" s="2164"/>
      <c r="AZ61" s="2164"/>
      <c r="BA61" s="2164"/>
      <c r="BB61" s="2164"/>
      <c r="BC61" s="2164"/>
      <c r="BD61" s="2164"/>
      <c r="BE61" s="2164"/>
      <c r="BF61" s="2164"/>
      <c r="BG61" s="4573"/>
    </row>
    <row customHeight="1" ht="11.25">
      <c r="A62" s="1507" t="s">
        <v>990</v>
      </c>
      <c r="B62" s="1507"/>
      <c r="C62" s="1507"/>
      <c r="D62" s="1501"/>
      <c r="E62" s="1511"/>
      <c r="F62" s="2170"/>
      <c r="G62" s="2171"/>
      <c r="H62" s="2856" t="s">
        <v>93</v>
      </c>
      <c r="I62" s="2857"/>
      <c r="J62" s="4694"/>
      <c r="K62" s="2858"/>
      <c r="L62" s="2448"/>
      <c r="M62" s="2449"/>
      <c r="N62" s="2849"/>
      <c r="O62" s="2850">
        <v>1</v>
      </c>
      <c r="P62" s="2851" t="s">
        <v>19</v>
      </c>
      <c r="Q62" s="7507" t="s">
        <v>22</v>
      </c>
      <c r="R62" s="7508" t="s">
        <v>22</v>
      </c>
      <c r="S62" s="7508" t="s">
        <v>22</v>
      </c>
      <c r="T62" s="7508" t="s">
        <v>22</v>
      </c>
      <c r="U62" s="7508" t="s">
        <v>22</v>
      </c>
      <c r="V62" s="7508" t="s">
        <v>22</v>
      </c>
      <c r="W62" s="7508" t="s">
        <v>22</v>
      </c>
      <c r="X62" s="7508" t="s">
        <v>22</v>
      </c>
      <c r="Y62" s="7508" t="s">
        <v>22</v>
      </c>
      <c r="Z62" s="1516"/>
      <c r="AA62" s="1517"/>
      <c r="AB62" s="1517"/>
      <c r="AC62" s="1521"/>
      <c r="AD62" s="1521"/>
      <c r="AE62" s="1522"/>
      <c r="AF62" s="2847"/>
      <c r="AG62" s="2848"/>
      <c r="AH62" s="2848"/>
      <c r="AI62" s="2847"/>
      <c r="AJ62" s="2848"/>
      <c r="AK62" s="2848"/>
      <c r="AL62" s="2329"/>
      <c r="AM62" s="2164"/>
      <c r="AN62" s="2164"/>
      <c r="AO62" s="2164"/>
      <c r="AP62" s="2164"/>
      <c r="AQ62" s="2164"/>
      <c r="AR62" s="2164"/>
      <c r="AS62" s="2164"/>
      <c r="AT62" s="2164"/>
      <c r="AU62" s="2164"/>
      <c r="AV62" s="2164"/>
      <c r="AW62" s="2164"/>
      <c r="AX62" s="2164"/>
      <c r="AY62" s="2164"/>
      <c r="AZ62" s="2164"/>
      <c r="BA62" s="2164"/>
      <c r="BB62" s="2164"/>
      <c r="BC62" s="2164"/>
      <c r="BD62" s="2164"/>
      <c r="BE62" s="2164"/>
      <c r="BF62" s="2164"/>
      <c r="BG62" s="4573"/>
    </row>
    <row customHeight="1" ht="11.25">
      <c r="A63" s="1507" t="s">
        <v>990</v>
      </c>
      <c r="B63" s="1507"/>
      <c r="C63" s="1507"/>
      <c r="D63" s="1501"/>
      <c r="E63" s="1511"/>
      <c r="F63" s="2170"/>
      <c r="G63" s="2171"/>
      <c r="H63" s="2856" t="s">
        <v>93</v>
      </c>
      <c r="I63" s="2857"/>
      <c r="J63" s="4694"/>
      <c r="K63" s="2858"/>
      <c r="L63" s="2448"/>
      <c r="M63" s="2449"/>
      <c r="N63" s="2849"/>
      <c r="O63" s="2850"/>
      <c r="P63" s="2852"/>
      <c r="Q63" s="4672"/>
      <c r="R63" s="2854"/>
      <c r="S63" s="2855"/>
      <c r="T63" s="2854"/>
      <c r="U63" s="2854"/>
      <c r="V63" s="2854"/>
      <c r="W63" s="2854"/>
      <c r="X63" s="2854"/>
      <c r="Y63" s="2854"/>
      <c r="Z63" s="2169"/>
      <c r="AA63" s="2135">
        <v>1</v>
      </c>
      <c r="AB63" s="1520" t="s">
        <v>1035</v>
      </c>
      <c r="AC63" s="1510">
        <v>2282.65256</v>
      </c>
      <c r="AD63" s="1520" t="str">
        <f>AB63</f>
        <v>      Амортизационные отчисления с выделением результатов переоценки основных средств и нематериальных активов</v>
      </c>
      <c r="AE63" s="1510"/>
      <c r="AF63" s="2847"/>
      <c r="AG63" s="2848"/>
      <c r="AH63" s="2848"/>
      <c r="AI63" s="2847"/>
      <c r="AJ63" s="2848"/>
      <c r="AK63" s="2848"/>
      <c r="AL63" s="2329"/>
      <c r="AM63" s="2164"/>
      <c r="AN63" s="2164"/>
      <c r="AO63" s="2164"/>
      <c r="AP63" s="2164"/>
      <c r="AQ63" s="2164"/>
      <c r="AR63" s="2164"/>
      <c r="AS63" s="2164"/>
      <c r="AT63" s="2164"/>
      <c r="AU63" s="2164"/>
      <c r="AV63" s="2164"/>
      <c r="AW63" s="2164"/>
      <c r="AX63" s="2164"/>
      <c r="AY63" s="2164"/>
      <c r="AZ63" s="2164"/>
      <c r="BA63" s="2164"/>
      <c r="BB63" s="2164"/>
      <c r="BC63" s="2164"/>
      <c r="BD63" s="2164"/>
      <c r="BE63" s="2164"/>
      <c r="BF63" s="2164"/>
      <c r="BG63" s="4573"/>
    </row>
    <row customHeight="1" ht="11.25">
      <c r="A64" s="1507" t="s">
        <v>990</v>
      </c>
      <c r="B64" s="1507"/>
      <c r="C64" s="1507"/>
      <c r="D64" s="1501"/>
      <c r="E64" s="1511"/>
      <c r="F64" s="2171"/>
      <c r="G64" s="2171"/>
      <c r="H64" s="2171"/>
      <c r="I64" s="2171"/>
      <c r="J64" s="2171"/>
      <c r="K64" s="2171"/>
      <c r="L64" s="2171"/>
      <c r="M64" s="2171"/>
      <c r="N64" s="2171"/>
      <c r="O64" s="2171"/>
      <c r="P64" s="2171"/>
      <c r="Q64" s="2171"/>
      <c r="R64" s="2171"/>
      <c r="S64" s="2171"/>
      <c r="T64" s="2171"/>
      <c r="U64" s="2171"/>
      <c r="V64" s="2171"/>
      <c r="W64" s="2171"/>
      <c r="X64" s="2171"/>
      <c r="Y64" s="2171"/>
      <c r="Z64" s="4557" t="s">
        <v>684</v>
      </c>
      <c r="AA64" s="2155" t="s">
        <v>107</v>
      </c>
      <c r="AB64" s="1520" t="s">
        <v>1036</v>
      </c>
      <c r="AC64" s="1510">
        <v>456.53051</v>
      </c>
      <c r="AD64" s="1520" t="str">
        <f>AB64</f>
        <v>  Прочие собственные средства</v>
      </c>
      <c r="AE64" s="1510"/>
      <c r="AF64" s="2172"/>
      <c r="AG64" s="2100"/>
      <c r="AH64" s="2100"/>
      <c r="AI64" s="2172"/>
      <c r="AJ64" s="2100"/>
      <c r="AK64" s="2328"/>
      <c r="AL64" s="2329"/>
      <c r="AM64" s="2164"/>
      <c r="AN64" s="2164"/>
      <c r="AO64" s="2164"/>
      <c r="AP64" s="2164"/>
      <c r="AQ64" s="2164"/>
      <c r="AR64" s="2164"/>
      <c r="AS64" s="2164"/>
      <c r="AT64" s="2164"/>
      <c r="AU64" s="2164"/>
      <c r="AV64" s="2164"/>
      <c r="AW64" s="2164"/>
      <c r="AX64" s="2164"/>
      <c r="AY64" s="2164"/>
      <c r="AZ64" s="2164"/>
      <c r="BA64" s="2164"/>
      <c r="BB64" s="2164"/>
      <c r="BC64" s="2164"/>
      <c r="BD64" s="2164"/>
      <c r="BE64" s="2164"/>
      <c r="BF64" s="2164"/>
      <c r="BG64" s="4573"/>
    </row>
    <row customHeight="1" ht="11.25">
      <c r="A65" s="1507" t="s">
        <v>990</v>
      </c>
      <c r="B65" s="1507"/>
      <c r="C65" s="1507"/>
      <c r="D65" s="1501"/>
      <c r="E65" s="1511"/>
      <c r="F65" s="2170"/>
      <c r="G65" s="2171"/>
      <c r="H65" s="2856" t="s">
        <v>93</v>
      </c>
      <c r="I65" s="2857"/>
      <c r="J65" s="4694"/>
      <c r="K65" s="2858"/>
      <c r="L65" s="2448"/>
      <c r="M65" s="2449"/>
      <c r="N65" s="2849"/>
      <c r="O65" s="2850"/>
      <c r="P65" s="2853"/>
      <c r="Q65" s="4672"/>
      <c r="R65" s="2854"/>
      <c r="S65" s="2855"/>
      <c r="T65" s="2854"/>
      <c r="U65" s="2854"/>
      <c r="V65" s="2854"/>
      <c r="W65" s="2854"/>
      <c r="X65" s="2854"/>
      <c r="Y65" s="2854"/>
      <c r="Z65" s="1516"/>
      <c r="AA65" s="1517"/>
      <c r="AB65" s="1582" t="s">
        <v>1037</v>
      </c>
      <c r="AC65" s="1521"/>
      <c r="AD65" s="1521"/>
      <c r="AE65" s="1523"/>
      <c r="AF65" s="2847"/>
      <c r="AG65" s="2848"/>
      <c r="AH65" s="2848"/>
      <c r="AI65" s="2847"/>
      <c r="AJ65" s="2848"/>
      <c r="AK65" s="2848"/>
      <c r="AL65" s="2329"/>
      <c r="AM65" s="2164"/>
      <c r="AN65" s="2164"/>
      <c r="AO65" s="2164"/>
      <c r="AP65" s="2164"/>
      <c r="AQ65" s="2164"/>
      <c r="AR65" s="2164"/>
      <c r="AS65" s="2164"/>
      <c r="AT65" s="2164"/>
      <c r="AU65" s="2164"/>
      <c r="AV65" s="2164"/>
      <c r="AW65" s="2164"/>
      <c r="AX65" s="2164"/>
      <c r="AY65" s="2164"/>
      <c r="AZ65" s="2164"/>
      <c r="BA65" s="2164"/>
      <c r="BB65" s="2164"/>
      <c r="BC65" s="2164"/>
      <c r="BD65" s="2164"/>
      <c r="BE65" s="2164"/>
      <c r="BF65" s="2164"/>
      <c r="BG65" s="4573"/>
    </row>
    <row customHeight="1" ht="11.25">
      <c r="A66" s="1507" t="s">
        <v>990</v>
      </c>
      <c r="B66" s="1507"/>
      <c r="C66" s="1507"/>
      <c r="D66" s="1501"/>
      <c r="E66" s="1511"/>
      <c r="F66" s="2170"/>
      <c r="G66" s="2171"/>
      <c r="H66" s="2856" t="s">
        <v>93</v>
      </c>
      <c r="I66" s="2857"/>
      <c r="J66" s="4694"/>
      <c r="K66" s="2858"/>
      <c r="L66" s="2448"/>
      <c r="M66" s="2449"/>
      <c r="N66" s="1516"/>
      <c r="O66" s="1517"/>
      <c r="P66" s="1509" t="s">
        <v>1038</v>
      </c>
      <c r="Q66" s="1517"/>
      <c r="R66" s="1517"/>
      <c r="S66" s="1517"/>
      <c r="T66" s="1517"/>
      <c r="U66" s="1517"/>
      <c r="V66" s="1517"/>
      <c r="W66" s="1517"/>
      <c r="X66" s="1517"/>
      <c r="Y66" s="1517"/>
      <c r="Z66" s="1517"/>
      <c r="AA66" s="1517"/>
      <c r="AB66" s="1517"/>
      <c r="AC66" s="1517"/>
      <c r="AD66" s="1517"/>
      <c r="AE66" s="1524"/>
      <c r="AF66" s="2847"/>
      <c r="AG66" s="2848"/>
      <c r="AH66" s="2848"/>
      <c r="AI66" s="2847"/>
      <c r="AJ66" s="2848"/>
      <c r="AK66" s="2848"/>
      <c r="AL66" s="2329"/>
      <c r="AM66" s="2164"/>
      <c r="AN66" s="2164"/>
      <c r="AO66" s="2164"/>
      <c r="AP66" s="2164"/>
      <c r="AQ66" s="2164"/>
      <c r="AR66" s="2164"/>
      <c r="AS66" s="2164"/>
      <c r="AT66" s="2164"/>
      <c r="AU66" s="2164"/>
      <c r="AV66" s="2164"/>
      <c r="AW66" s="2164"/>
      <c r="AX66" s="2164"/>
      <c r="AY66" s="2164"/>
      <c r="AZ66" s="2164"/>
      <c r="BA66" s="2164"/>
      <c r="BB66" s="2164"/>
      <c r="BC66" s="2164"/>
      <c r="BD66" s="2164"/>
      <c r="BE66" s="2164"/>
      <c r="BF66" s="2164"/>
      <c r="BG66" s="4573"/>
    </row>
    <row customHeight="1" ht="11.25">
      <c r="A67" s="1507" t="s">
        <v>990</v>
      </c>
      <c r="B67" s="1507" t="s">
        <v>1022</v>
      </c>
      <c r="C67" s="1507"/>
      <c r="D67" s="1501"/>
      <c r="E67" s="1511"/>
      <c r="F67" s="2170"/>
      <c r="G67" s="4557" t="s">
        <v>684</v>
      </c>
      <c r="H67" s="2856" t="s">
        <v>145</v>
      </c>
      <c r="I67" s="2857" t="s">
        <v>1023</v>
      </c>
      <c r="J67" s="2826" t="s">
        <v>1024</v>
      </c>
      <c r="K67" s="2858" t="s">
        <v>1066</v>
      </c>
      <c r="L67" s="2448" t="s">
        <v>19</v>
      </c>
      <c r="M67" s="2449"/>
      <c r="N67" s="2327"/>
      <c r="O67" s="1518" t="s">
        <v>371</v>
      </c>
      <c r="P67" s="1519"/>
      <c r="Q67" s="1519"/>
      <c r="R67" s="1519"/>
      <c r="S67" s="1519"/>
      <c r="T67" s="1519"/>
      <c r="U67" s="1519"/>
      <c r="V67" s="1519"/>
      <c r="W67" s="1519"/>
      <c r="X67" s="1519"/>
      <c r="Y67" s="1519"/>
      <c r="Z67" s="1519"/>
      <c r="AA67" s="1519"/>
      <c r="AB67" s="1519"/>
      <c r="AC67" s="1519"/>
      <c r="AD67" s="1519"/>
      <c r="AE67" s="1519"/>
      <c r="AF67" s="2847">
        <v>3</v>
      </c>
      <c r="AG67" s="2848" t="s">
        <v>1067</v>
      </c>
      <c r="AH67" s="2848" t="s">
        <v>1053</v>
      </c>
      <c r="AI67" s="2847"/>
      <c r="AJ67" s="2848"/>
      <c r="AK67" s="2848"/>
      <c r="AL67" s="2329"/>
      <c r="AM67" s="2164"/>
      <c r="AN67" s="2164"/>
      <c r="AO67" s="2164"/>
      <c r="AP67" s="2164"/>
      <c r="AQ67" s="2164"/>
      <c r="AR67" s="2164"/>
      <c r="AS67" s="2164"/>
      <c r="AT67" s="2164"/>
      <c r="AU67" s="2164"/>
      <c r="AV67" s="2164"/>
      <c r="AW67" s="2164"/>
      <c r="AX67" s="2164"/>
      <c r="AY67" s="2164"/>
      <c r="AZ67" s="2164"/>
      <c r="BA67" s="2164"/>
      <c r="BB67" s="2164"/>
      <c r="BC67" s="2164"/>
      <c r="BD67" s="2164"/>
      <c r="BE67" s="2164"/>
      <c r="BF67" s="2164"/>
      <c r="BG67" s="4573"/>
    </row>
    <row customHeight="1" ht="11.25">
      <c r="A68" s="1507" t="s">
        <v>990</v>
      </c>
      <c r="B68" s="1507"/>
      <c r="C68" s="1507"/>
      <c r="D68" s="1501"/>
      <c r="E68" s="1511"/>
      <c r="F68" s="2170"/>
      <c r="G68" s="2171"/>
      <c r="H68" s="2856" t="s">
        <v>109</v>
      </c>
      <c r="I68" s="2857"/>
      <c r="J68" s="2826"/>
      <c r="K68" s="2858"/>
      <c r="L68" s="2448"/>
      <c r="M68" s="2449"/>
      <c r="N68" s="2849"/>
      <c r="O68" s="2850">
        <v>1</v>
      </c>
      <c r="P68" s="2851" t="s">
        <v>65</v>
      </c>
      <c r="Q68" s="4672" t="s">
        <v>1068</v>
      </c>
      <c r="R68" s="4673" t="s">
        <v>1029</v>
      </c>
      <c r="S68" s="4673" t="s">
        <v>1030</v>
      </c>
      <c r="T68" s="4673" t="s">
        <v>1030</v>
      </c>
      <c r="U68" s="4673" t="s">
        <v>1031</v>
      </c>
      <c r="V68" s="4673" t="s">
        <v>1032</v>
      </c>
      <c r="W68" s="4673" t="s">
        <v>1033</v>
      </c>
      <c r="X68" s="4673" t="s">
        <v>1069</v>
      </c>
      <c r="Y68" s="4673" t="s">
        <v>146</v>
      </c>
      <c r="Z68" s="1516"/>
      <c r="AA68" s="1517"/>
      <c r="AB68" s="1517"/>
      <c r="AC68" s="1521"/>
      <c r="AD68" s="1521"/>
      <c r="AE68" s="1522"/>
      <c r="AF68" s="2847"/>
      <c r="AG68" s="2848"/>
      <c r="AH68" s="2848"/>
      <c r="AI68" s="2847"/>
      <c r="AJ68" s="2848"/>
      <c r="AK68" s="2848"/>
      <c r="AL68" s="2329"/>
      <c r="AM68" s="2164"/>
      <c r="AN68" s="2164"/>
      <c r="AO68" s="2164"/>
      <c r="AP68" s="2164"/>
      <c r="AQ68" s="2164"/>
      <c r="AR68" s="2164"/>
      <c r="AS68" s="2164"/>
      <c r="AT68" s="2164"/>
      <c r="AU68" s="2164"/>
      <c r="AV68" s="2164"/>
      <c r="AW68" s="2164"/>
      <c r="AX68" s="2164"/>
      <c r="AY68" s="2164"/>
      <c r="AZ68" s="2164"/>
      <c r="BA68" s="2164"/>
      <c r="BB68" s="2164"/>
      <c r="BC68" s="2164"/>
      <c r="BD68" s="2164"/>
      <c r="BE68" s="2164"/>
      <c r="BF68" s="2164"/>
      <c r="BG68" s="4573"/>
    </row>
    <row customHeight="1" ht="11.25">
      <c r="A69" s="1507" t="s">
        <v>990</v>
      </c>
      <c r="B69" s="1507"/>
      <c r="C69" s="1507"/>
      <c r="D69" s="1501"/>
      <c r="E69" s="1511"/>
      <c r="F69" s="2170"/>
      <c r="G69" s="2171"/>
      <c r="H69" s="2856" t="s">
        <v>109</v>
      </c>
      <c r="I69" s="2857"/>
      <c r="J69" s="2826"/>
      <c r="K69" s="2858"/>
      <c r="L69" s="2448"/>
      <c r="M69" s="2449"/>
      <c r="N69" s="2849"/>
      <c r="O69" s="2850"/>
      <c r="P69" s="2852"/>
      <c r="Q69" s="4672"/>
      <c r="R69" s="2854"/>
      <c r="S69" s="2855"/>
      <c r="T69" s="2854"/>
      <c r="U69" s="2854"/>
      <c r="V69" s="2854"/>
      <c r="W69" s="2854"/>
      <c r="X69" s="2854"/>
      <c r="Y69" s="2854"/>
      <c r="Z69" s="2169"/>
      <c r="AA69" s="2135">
        <v>1</v>
      </c>
      <c r="AB69" s="1520" t="s">
        <v>1035</v>
      </c>
      <c r="AC69" s="1510">
        <v>6424.29547</v>
      </c>
      <c r="AD69" s="1520" t="str">
        <f>AB69</f>
        <v>      Амортизационные отчисления с выделением результатов переоценки основных средств и нематериальных активов</v>
      </c>
      <c r="AE69" s="1510"/>
      <c r="AF69" s="2847"/>
      <c r="AG69" s="2848"/>
      <c r="AH69" s="2848"/>
      <c r="AI69" s="2847"/>
      <c r="AJ69" s="2848"/>
      <c r="AK69" s="2848"/>
      <c r="AL69" s="2329"/>
      <c r="AM69" s="2164"/>
      <c r="AN69" s="2164"/>
      <c r="AO69" s="2164"/>
      <c r="AP69" s="2164"/>
      <c r="AQ69" s="2164"/>
      <c r="AR69" s="2164"/>
      <c r="AS69" s="2164"/>
      <c r="AT69" s="2164"/>
      <c r="AU69" s="2164"/>
      <c r="AV69" s="2164"/>
      <c r="AW69" s="2164"/>
      <c r="AX69" s="2164"/>
      <c r="AY69" s="2164"/>
      <c r="AZ69" s="2164"/>
      <c r="BA69" s="2164"/>
      <c r="BB69" s="2164"/>
      <c r="BC69" s="2164"/>
      <c r="BD69" s="2164"/>
      <c r="BE69" s="2164"/>
      <c r="BF69" s="2164"/>
      <c r="BG69" s="4573"/>
    </row>
    <row customHeight="1" ht="11.25">
      <c r="A70" s="1507" t="s">
        <v>990</v>
      </c>
      <c r="B70" s="1507"/>
      <c r="C70" s="1507"/>
      <c r="D70" s="1501"/>
      <c r="E70" s="1511"/>
      <c r="F70" s="2171"/>
      <c r="G70" s="2171"/>
      <c r="H70" s="2171"/>
      <c r="I70" s="2171"/>
      <c r="J70" s="4685"/>
      <c r="K70" s="2171"/>
      <c r="L70" s="2171"/>
      <c r="M70" s="2171"/>
      <c r="N70" s="2171"/>
      <c r="O70" s="2171"/>
      <c r="P70" s="2171"/>
      <c r="Q70" s="4685"/>
      <c r="R70" s="2171"/>
      <c r="S70" s="2171"/>
      <c r="T70" s="2171"/>
      <c r="U70" s="2171"/>
      <c r="V70" s="2171"/>
      <c r="W70" s="2171"/>
      <c r="X70" s="2171"/>
      <c r="Y70" s="2171"/>
      <c r="Z70" s="4557" t="s">
        <v>684</v>
      </c>
      <c r="AA70" s="2155" t="s">
        <v>107</v>
      </c>
      <c r="AB70" s="1520" t="s">
        <v>1070</v>
      </c>
      <c r="AC70" s="1510">
        <v>610495.18823</v>
      </c>
      <c r="AD70" s="1520" t="str">
        <f>AB70</f>
        <v>  За счет платы за технологическое присоединение</v>
      </c>
      <c r="AE70" s="1510"/>
      <c r="AF70" s="2172"/>
      <c r="AG70" s="2100"/>
      <c r="AH70" s="2100"/>
      <c r="AI70" s="2172"/>
      <c r="AJ70" s="2100"/>
      <c r="AK70" s="2328"/>
      <c r="AL70" s="2329"/>
      <c r="AM70" s="2164"/>
      <c r="AN70" s="2164"/>
      <c r="AO70" s="2164"/>
      <c r="AP70" s="2164"/>
      <c r="AQ70" s="2164"/>
      <c r="AR70" s="2164"/>
      <c r="AS70" s="2164"/>
      <c r="AT70" s="2164"/>
      <c r="AU70" s="2164"/>
      <c r="AV70" s="2164"/>
      <c r="AW70" s="2164"/>
      <c r="AX70" s="2164"/>
      <c r="AY70" s="2164"/>
      <c r="AZ70" s="2164"/>
      <c r="BA70" s="2164"/>
      <c r="BB70" s="2164"/>
      <c r="BC70" s="2164"/>
      <c r="BD70" s="2164"/>
      <c r="BE70" s="2164"/>
      <c r="BF70" s="2164"/>
      <c r="BG70" s="4573"/>
    </row>
    <row customHeight="1" ht="11.25">
      <c r="A71" s="1507" t="s">
        <v>990</v>
      </c>
      <c r="B71" s="1507"/>
      <c r="C71" s="1507"/>
      <c r="D71" s="1501"/>
      <c r="E71" s="1511"/>
      <c r="F71" s="2171"/>
      <c r="G71" s="2171"/>
      <c r="H71" s="2171"/>
      <c r="I71" s="2171"/>
      <c r="J71" s="4685"/>
      <c r="K71" s="2171"/>
      <c r="L71" s="2171"/>
      <c r="M71" s="2171"/>
      <c r="N71" s="2171"/>
      <c r="O71" s="2171"/>
      <c r="P71" s="2171"/>
      <c r="Q71" s="4685"/>
      <c r="R71" s="2171"/>
      <c r="S71" s="2171"/>
      <c r="T71" s="2171"/>
      <c r="U71" s="2171"/>
      <c r="V71" s="2171"/>
      <c r="W71" s="2171"/>
      <c r="X71" s="2171"/>
      <c r="Y71" s="2171"/>
      <c r="Z71" s="4557" t="s">
        <v>684</v>
      </c>
      <c r="AA71" s="2155" t="s">
        <v>90</v>
      </c>
      <c r="AB71" s="1520" t="s">
        <v>1036</v>
      </c>
      <c r="AC71" s="1510">
        <v>122167.08536</v>
      </c>
      <c r="AD71" s="1520" t="str">
        <f>AB71</f>
        <v>  Прочие собственные средства</v>
      </c>
      <c r="AE71" s="1510"/>
      <c r="AF71" s="2172"/>
      <c r="AG71" s="2100"/>
      <c r="AH71" s="2100"/>
      <c r="AI71" s="2172"/>
      <c r="AJ71" s="2100"/>
      <c r="AK71" s="2328"/>
      <c r="AL71" s="2329"/>
      <c r="AM71" s="2164"/>
      <c r="AN71" s="2164"/>
      <c r="AO71" s="2164"/>
      <c r="AP71" s="2164"/>
      <c r="AQ71" s="2164"/>
      <c r="AR71" s="2164"/>
      <c r="AS71" s="2164"/>
      <c r="AT71" s="2164"/>
      <c r="AU71" s="2164"/>
      <c r="AV71" s="2164"/>
      <c r="AW71" s="2164"/>
      <c r="AX71" s="2164"/>
      <c r="AY71" s="2164"/>
      <c r="AZ71" s="2164"/>
      <c r="BA71" s="2164"/>
      <c r="BB71" s="2164"/>
      <c r="BC71" s="2164"/>
      <c r="BD71" s="2164"/>
      <c r="BE71" s="2164"/>
      <c r="BF71" s="2164"/>
      <c r="BG71" s="4573"/>
    </row>
    <row customHeight="1" ht="11.25">
      <c r="A72" s="1507" t="s">
        <v>990</v>
      </c>
      <c r="B72" s="1507"/>
      <c r="C72" s="1507"/>
      <c r="D72" s="1501"/>
      <c r="E72" s="1511"/>
      <c r="F72" s="2170"/>
      <c r="G72" s="2171"/>
      <c r="H72" s="2856" t="s">
        <v>109</v>
      </c>
      <c r="I72" s="2857"/>
      <c r="J72" s="2826"/>
      <c r="K72" s="2858"/>
      <c r="L72" s="2448"/>
      <c r="M72" s="2449"/>
      <c r="N72" s="2849"/>
      <c r="O72" s="2850"/>
      <c r="P72" s="2853"/>
      <c r="Q72" s="4672"/>
      <c r="R72" s="2854"/>
      <c r="S72" s="2855"/>
      <c r="T72" s="2854"/>
      <c r="U72" s="2854"/>
      <c r="V72" s="2854"/>
      <c r="W72" s="2854"/>
      <c r="X72" s="2854"/>
      <c r="Y72" s="2854"/>
      <c r="Z72" s="1516"/>
      <c r="AA72" s="1517"/>
      <c r="AB72" s="1582" t="s">
        <v>1037</v>
      </c>
      <c r="AC72" s="1521"/>
      <c r="AD72" s="1521"/>
      <c r="AE72" s="1523"/>
      <c r="AF72" s="2847"/>
      <c r="AG72" s="2848"/>
      <c r="AH72" s="2848"/>
      <c r="AI72" s="2847"/>
      <c r="AJ72" s="2848"/>
      <c r="AK72" s="2848"/>
      <c r="AL72" s="2329"/>
      <c r="AM72" s="2164"/>
      <c r="AN72" s="2164"/>
      <c r="AO72" s="2164"/>
      <c r="AP72" s="2164"/>
      <c r="AQ72" s="2164"/>
      <c r="AR72" s="2164"/>
      <c r="AS72" s="2164"/>
      <c r="AT72" s="2164"/>
      <c r="AU72" s="2164"/>
      <c r="AV72" s="2164"/>
      <c r="AW72" s="2164"/>
      <c r="AX72" s="2164"/>
      <c r="AY72" s="2164"/>
      <c r="AZ72" s="2164"/>
      <c r="BA72" s="2164"/>
      <c r="BB72" s="2164"/>
      <c r="BC72" s="2164"/>
      <c r="BD72" s="2164"/>
      <c r="BE72" s="2164"/>
      <c r="BF72" s="2164"/>
      <c r="BG72" s="4573"/>
    </row>
    <row customHeight="1" ht="11.25">
      <c r="A73" s="1507" t="s">
        <v>990</v>
      </c>
      <c r="B73" s="1507"/>
      <c r="C73" s="1507"/>
      <c r="D73" s="1501"/>
      <c r="E73" s="1511"/>
      <c r="F73" s="2170"/>
      <c r="G73" s="2171"/>
      <c r="H73" s="2856" t="s">
        <v>109</v>
      </c>
      <c r="I73" s="2857"/>
      <c r="J73" s="2826"/>
      <c r="K73" s="2858"/>
      <c r="L73" s="2448"/>
      <c r="M73" s="2449"/>
      <c r="N73" s="1516"/>
      <c r="O73" s="1517"/>
      <c r="P73" s="1509" t="s">
        <v>1038</v>
      </c>
      <c r="Q73" s="1517"/>
      <c r="R73" s="1517"/>
      <c r="S73" s="1517"/>
      <c r="T73" s="1517"/>
      <c r="U73" s="1517"/>
      <c r="V73" s="1517"/>
      <c r="W73" s="1517"/>
      <c r="X73" s="1517"/>
      <c r="Y73" s="1517"/>
      <c r="Z73" s="1517"/>
      <c r="AA73" s="1517"/>
      <c r="AB73" s="1517"/>
      <c r="AC73" s="1517"/>
      <c r="AD73" s="1517"/>
      <c r="AE73" s="1524"/>
      <c r="AF73" s="2847"/>
      <c r="AG73" s="2848"/>
      <c r="AH73" s="2848"/>
      <c r="AI73" s="2847"/>
      <c r="AJ73" s="2848"/>
      <c r="AK73" s="2848"/>
      <c r="AL73" s="2329"/>
      <c r="AM73" s="2164"/>
      <c r="AN73" s="2164"/>
      <c r="AO73" s="2164"/>
      <c r="AP73" s="2164"/>
      <c r="AQ73" s="2164"/>
      <c r="AR73" s="2164"/>
      <c r="AS73" s="2164"/>
      <c r="AT73" s="2164"/>
      <c r="AU73" s="2164"/>
      <c r="AV73" s="2164"/>
      <c r="AW73" s="2164"/>
      <c r="AX73" s="2164"/>
      <c r="AY73" s="2164"/>
      <c r="AZ73" s="2164"/>
      <c r="BA73" s="2164"/>
      <c r="BB73" s="2164"/>
      <c r="BC73" s="2164"/>
      <c r="BD73" s="2164"/>
      <c r="BE73" s="2164"/>
      <c r="BF73" s="2164"/>
      <c r="BG73" s="4573"/>
    </row>
    <row customHeight="1" ht="11.25">
      <c r="A74" s="1507" t="s">
        <v>990</v>
      </c>
      <c r="B74" s="1507" t="s">
        <v>1022</v>
      </c>
      <c r="C74" s="1507"/>
      <c r="D74" s="1501"/>
      <c r="E74" s="1511"/>
      <c r="F74" s="2170"/>
      <c r="G74" s="4557" t="s">
        <v>684</v>
      </c>
      <c r="H74" s="2856" t="s">
        <v>146</v>
      </c>
      <c r="I74" s="2857" t="s">
        <v>1023</v>
      </c>
      <c r="J74" s="2826" t="s">
        <v>1071</v>
      </c>
      <c r="K74" s="2858" t="s">
        <v>1072</v>
      </c>
      <c r="L74" s="2448" t="s">
        <v>65</v>
      </c>
      <c r="M74" s="4696" t="s">
        <v>989</v>
      </c>
      <c r="N74" s="2327"/>
      <c r="O74" s="1518" t="s">
        <v>371</v>
      </c>
      <c r="P74" s="1519"/>
      <c r="Q74" s="1519"/>
      <c r="R74" s="1519"/>
      <c r="S74" s="1519"/>
      <c r="T74" s="1519"/>
      <c r="U74" s="1519"/>
      <c r="V74" s="1519"/>
      <c r="W74" s="1519"/>
      <c r="X74" s="1519"/>
      <c r="Y74" s="1519"/>
      <c r="Z74" s="1519"/>
      <c r="AA74" s="1519"/>
      <c r="AB74" s="1519"/>
      <c r="AC74" s="1519"/>
      <c r="AD74" s="1519"/>
      <c r="AE74" s="1519"/>
      <c r="AF74" s="2847">
        <v>2</v>
      </c>
      <c r="AG74" s="2848" t="s">
        <v>1067</v>
      </c>
      <c r="AH74" s="2848" t="s">
        <v>1053</v>
      </c>
      <c r="AI74" s="2847"/>
      <c r="AJ74" s="2848"/>
      <c r="AK74" s="2848"/>
      <c r="AL74" s="2329"/>
      <c r="AM74" s="2164"/>
      <c r="AN74" s="2164"/>
      <c r="AO74" s="2164"/>
      <c r="AP74" s="2164"/>
      <c r="AQ74" s="2164"/>
      <c r="AR74" s="2164"/>
      <c r="AS74" s="2164"/>
      <c r="AT74" s="2164"/>
      <c r="AU74" s="2164"/>
      <c r="AV74" s="2164"/>
      <c r="AW74" s="2164"/>
      <c r="AX74" s="2164"/>
      <c r="AY74" s="2164"/>
      <c r="AZ74" s="2164"/>
      <c r="BA74" s="2164"/>
      <c r="BB74" s="2164"/>
      <c r="BC74" s="2164"/>
      <c r="BD74" s="2164"/>
      <c r="BE74" s="2164"/>
      <c r="BF74" s="2164"/>
      <c r="BG74" s="4573"/>
    </row>
    <row customHeight="1" ht="11.25">
      <c r="A75" s="1507" t="s">
        <v>990</v>
      </c>
      <c r="B75" s="1507"/>
      <c r="C75" s="1507"/>
      <c r="D75" s="1501"/>
      <c r="E75" s="1511"/>
      <c r="F75" s="2170"/>
      <c r="G75" s="2171"/>
      <c r="H75" s="2856" t="s">
        <v>145</v>
      </c>
      <c r="I75" s="2857"/>
      <c r="J75" s="2826"/>
      <c r="K75" s="2858"/>
      <c r="L75" s="2448"/>
      <c r="M75" s="4696"/>
      <c r="N75" s="2849"/>
      <c r="O75" s="2850">
        <v>1</v>
      </c>
      <c r="P75" s="2851" t="s">
        <v>65</v>
      </c>
      <c r="Q75" s="4672" t="s">
        <v>1073</v>
      </c>
      <c r="R75" s="4673" t="s">
        <v>1042</v>
      </c>
      <c r="S75" s="4673" t="s">
        <v>1074</v>
      </c>
      <c r="T75" s="4673" t="s">
        <v>1075</v>
      </c>
      <c r="U75" s="4673" t="s">
        <v>1076</v>
      </c>
      <c r="V75" s="4673" t="s">
        <v>1077</v>
      </c>
      <c r="W75" s="4673" t="s">
        <v>1078</v>
      </c>
      <c r="X75" s="4673" t="s">
        <v>1079</v>
      </c>
      <c r="Y75" s="4673" t="s">
        <v>107</v>
      </c>
      <c r="Z75" s="1516"/>
      <c r="AA75" s="1517"/>
      <c r="AB75" s="1517"/>
      <c r="AC75" s="1521"/>
      <c r="AD75" s="1521"/>
      <c r="AE75" s="1522"/>
      <c r="AF75" s="2847"/>
      <c r="AG75" s="2848"/>
      <c r="AH75" s="2848"/>
      <c r="AI75" s="2847"/>
      <c r="AJ75" s="2848"/>
      <c r="AK75" s="2848"/>
      <c r="AL75" s="2329"/>
      <c r="AM75" s="2164"/>
      <c r="AN75" s="2164"/>
      <c r="AO75" s="2164"/>
      <c r="AP75" s="2164"/>
      <c r="AQ75" s="2164"/>
      <c r="AR75" s="2164"/>
      <c r="AS75" s="2164"/>
      <c r="AT75" s="2164"/>
      <c r="AU75" s="2164"/>
      <c r="AV75" s="2164"/>
      <c r="AW75" s="2164"/>
      <c r="AX75" s="2164"/>
      <c r="AY75" s="2164"/>
      <c r="AZ75" s="2164"/>
      <c r="BA75" s="2164"/>
      <c r="BB75" s="2164"/>
      <c r="BC75" s="2164"/>
      <c r="BD75" s="2164"/>
      <c r="BE75" s="2164"/>
      <c r="BF75" s="2164"/>
      <c r="BG75" s="4573"/>
    </row>
    <row customHeight="1" ht="11.25">
      <c r="A76" s="1507" t="s">
        <v>990</v>
      </c>
      <c r="B76" s="1507"/>
      <c r="C76" s="1507"/>
      <c r="D76" s="1501"/>
      <c r="E76" s="1511"/>
      <c r="F76" s="2170"/>
      <c r="G76" s="2171"/>
      <c r="H76" s="2856" t="s">
        <v>145</v>
      </c>
      <c r="I76" s="2857"/>
      <c r="J76" s="2826"/>
      <c r="K76" s="2858"/>
      <c r="L76" s="2448"/>
      <c r="M76" s="4696"/>
      <c r="N76" s="2849"/>
      <c r="O76" s="2850"/>
      <c r="P76" s="2852"/>
      <c r="Q76" s="4672"/>
      <c r="R76" s="2854"/>
      <c r="S76" s="2855"/>
      <c r="T76" s="2854"/>
      <c r="U76" s="2854"/>
      <c r="V76" s="2854"/>
      <c r="W76" s="2854"/>
      <c r="X76" s="2854"/>
      <c r="Y76" s="2854"/>
      <c r="Z76" s="2169"/>
      <c r="AA76" s="2135">
        <v>1</v>
      </c>
      <c r="AB76" s="1520" t="s">
        <v>1080</v>
      </c>
      <c r="AC76" s="1510">
        <v>120118.9473</v>
      </c>
      <c r="AD76" s="1520" t="str">
        <f>AB76</f>
        <v>  Кредиты</v>
      </c>
      <c r="AE76" s="1510"/>
      <c r="AF76" s="2847"/>
      <c r="AG76" s="2848"/>
      <c r="AH76" s="2848"/>
      <c r="AI76" s="2847"/>
      <c r="AJ76" s="2848"/>
      <c r="AK76" s="2848"/>
      <c r="AL76" s="2329"/>
      <c r="AM76" s="2164"/>
      <c r="AN76" s="2164"/>
      <c r="AO76" s="2164"/>
      <c r="AP76" s="2164"/>
      <c r="AQ76" s="2164"/>
      <c r="AR76" s="2164"/>
      <c r="AS76" s="2164"/>
      <c r="AT76" s="2164"/>
      <c r="AU76" s="2164"/>
      <c r="AV76" s="2164"/>
      <c r="AW76" s="2164"/>
      <c r="AX76" s="2164"/>
      <c r="AY76" s="2164"/>
      <c r="AZ76" s="2164"/>
      <c r="BA76" s="2164"/>
      <c r="BB76" s="2164"/>
      <c r="BC76" s="2164"/>
      <c r="BD76" s="2164"/>
      <c r="BE76" s="2164"/>
      <c r="BF76" s="2164"/>
      <c r="BG76" s="4573"/>
    </row>
    <row customHeight="1" ht="11.25">
      <c r="A77" s="1507" t="s">
        <v>990</v>
      </c>
      <c r="B77" s="1507"/>
      <c r="C77" s="1507"/>
      <c r="D77" s="1501"/>
      <c r="E77" s="1511"/>
      <c r="F77" s="2170"/>
      <c r="G77" s="2171"/>
      <c r="H77" s="2856" t="s">
        <v>145</v>
      </c>
      <c r="I77" s="2857"/>
      <c r="J77" s="2826"/>
      <c r="K77" s="2858"/>
      <c r="L77" s="2448"/>
      <c r="M77" s="4696"/>
      <c r="N77" s="2849"/>
      <c r="O77" s="2850"/>
      <c r="P77" s="2853"/>
      <c r="Q77" s="4672"/>
      <c r="R77" s="2854"/>
      <c r="S77" s="2855"/>
      <c r="T77" s="2854"/>
      <c r="U77" s="2854"/>
      <c r="V77" s="2854"/>
      <c r="W77" s="2854"/>
      <c r="X77" s="2854"/>
      <c r="Y77" s="2854"/>
      <c r="Z77" s="1516"/>
      <c r="AA77" s="1517"/>
      <c r="AB77" s="1582" t="s">
        <v>1037</v>
      </c>
      <c r="AC77" s="1521"/>
      <c r="AD77" s="1521"/>
      <c r="AE77" s="1523"/>
      <c r="AF77" s="2847"/>
      <c r="AG77" s="2848"/>
      <c r="AH77" s="2848"/>
      <c r="AI77" s="2847"/>
      <c r="AJ77" s="2848"/>
      <c r="AK77" s="2848"/>
      <c r="AL77" s="2329"/>
      <c r="AM77" s="2164"/>
      <c r="AN77" s="2164"/>
      <c r="AO77" s="2164"/>
      <c r="AP77" s="2164"/>
      <c r="AQ77" s="2164"/>
      <c r="AR77" s="2164"/>
      <c r="AS77" s="2164"/>
      <c r="AT77" s="2164"/>
      <c r="AU77" s="2164"/>
      <c r="AV77" s="2164"/>
      <c r="AW77" s="2164"/>
      <c r="AX77" s="2164"/>
      <c r="AY77" s="2164"/>
      <c r="AZ77" s="2164"/>
      <c r="BA77" s="2164"/>
      <c r="BB77" s="2164"/>
      <c r="BC77" s="2164"/>
      <c r="BD77" s="2164"/>
      <c r="BE77" s="2164"/>
      <c r="BF77" s="2164"/>
      <c r="BG77" s="4573"/>
    </row>
    <row customHeight="1" ht="11.25">
      <c r="A78" s="1507" t="s">
        <v>990</v>
      </c>
      <c r="B78" s="1507"/>
      <c r="C78" s="1507"/>
      <c r="D78" s="1501"/>
      <c r="E78" s="1511"/>
      <c r="F78" s="2170"/>
      <c r="G78" s="2171"/>
      <c r="H78" s="2856" t="s">
        <v>145</v>
      </c>
      <c r="I78" s="2857"/>
      <c r="J78" s="2826"/>
      <c r="K78" s="2858"/>
      <c r="L78" s="2448"/>
      <c r="M78" s="4696"/>
      <c r="N78" s="1516"/>
      <c r="O78" s="1517"/>
      <c r="P78" s="1509" t="s">
        <v>1038</v>
      </c>
      <c r="Q78" s="1517"/>
      <c r="R78" s="1517"/>
      <c r="S78" s="1517"/>
      <c r="T78" s="1517"/>
      <c r="U78" s="1517"/>
      <c r="V78" s="1517"/>
      <c r="W78" s="1517"/>
      <c r="X78" s="1517"/>
      <c r="Y78" s="1517"/>
      <c r="Z78" s="1517"/>
      <c r="AA78" s="1517"/>
      <c r="AB78" s="1517"/>
      <c r="AC78" s="1517"/>
      <c r="AD78" s="1517"/>
      <c r="AE78" s="1524"/>
      <c r="AF78" s="2847"/>
      <c r="AG78" s="2848"/>
      <c r="AH78" s="2848"/>
      <c r="AI78" s="2847"/>
      <c r="AJ78" s="2848"/>
      <c r="AK78" s="2848"/>
      <c r="AL78" s="2329"/>
      <c r="AM78" s="2164"/>
      <c r="AN78" s="2164"/>
      <c r="AO78" s="2164"/>
      <c r="AP78" s="2164"/>
      <c r="AQ78" s="2164"/>
      <c r="AR78" s="2164"/>
      <c r="AS78" s="2164"/>
      <c r="AT78" s="2164"/>
      <c r="AU78" s="2164"/>
      <c r="AV78" s="2164"/>
      <c r="AW78" s="2164"/>
      <c r="AX78" s="2164"/>
      <c r="AY78" s="2164"/>
      <c r="AZ78" s="2164"/>
      <c r="BA78" s="2164"/>
      <c r="BB78" s="2164"/>
      <c r="BC78" s="2164"/>
      <c r="BD78" s="2164"/>
      <c r="BE78" s="2164"/>
      <c r="BF78" s="2164"/>
      <c r="BG78" s="4573"/>
    </row>
    <row customHeight="1" ht="11.25">
      <c r="A79" s="1507" t="s">
        <v>990</v>
      </c>
      <c r="B79" s="1507" t="s">
        <v>1022</v>
      </c>
      <c r="C79" s="1507"/>
      <c r="D79" s="1501"/>
      <c r="E79" s="1511"/>
      <c r="F79" s="2170"/>
      <c r="G79" s="4557" t="s">
        <v>684</v>
      </c>
      <c r="H79" s="2856" t="s">
        <v>147</v>
      </c>
      <c r="I79" s="2857" t="s">
        <v>1023</v>
      </c>
      <c r="J79" s="2826" t="s">
        <v>1024</v>
      </c>
      <c r="K79" s="2858" t="s">
        <v>1081</v>
      </c>
      <c r="L79" s="2448" t="s">
        <v>19</v>
      </c>
      <c r="M79" s="2449"/>
      <c r="N79" s="2327"/>
      <c r="O79" s="1518" t="s">
        <v>371</v>
      </c>
      <c r="P79" s="1519"/>
      <c r="Q79" s="1519"/>
      <c r="R79" s="1519"/>
      <c r="S79" s="1519"/>
      <c r="T79" s="1519"/>
      <c r="U79" s="1519"/>
      <c r="V79" s="1519"/>
      <c r="W79" s="1519"/>
      <c r="X79" s="1519"/>
      <c r="Y79" s="1519"/>
      <c r="Z79" s="1519"/>
      <c r="AA79" s="1519"/>
      <c r="AB79" s="1519"/>
      <c r="AC79" s="1519"/>
      <c r="AD79" s="1519"/>
      <c r="AE79" s="1519"/>
      <c r="AF79" s="2847">
        <v>1</v>
      </c>
      <c r="AG79" s="2848" t="s">
        <v>1067</v>
      </c>
      <c r="AH79" s="2848" t="s">
        <v>1063</v>
      </c>
      <c r="AI79" s="2847"/>
      <c r="AJ79" s="2848"/>
      <c r="AK79" s="2848"/>
      <c r="AL79" s="2329"/>
      <c r="AM79" s="2164"/>
      <c r="AN79" s="2164"/>
      <c r="AO79" s="2164"/>
      <c r="AP79" s="2164"/>
      <c r="AQ79" s="2164"/>
      <c r="AR79" s="2164"/>
      <c r="AS79" s="2164"/>
      <c r="AT79" s="2164"/>
      <c r="AU79" s="2164"/>
      <c r="AV79" s="2164"/>
      <c r="AW79" s="2164"/>
      <c r="AX79" s="2164"/>
      <c r="AY79" s="2164"/>
      <c r="AZ79" s="2164"/>
      <c r="BA79" s="2164"/>
      <c r="BB79" s="2164"/>
      <c r="BC79" s="2164"/>
      <c r="BD79" s="2164"/>
      <c r="BE79" s="2164"/>
      <c r="BF79" s="2164"/>
      <c r="BG79" s="4573"/>
    </row>
    <row customHeight="1" ht="11.25">
      <c r="A80" s="1507" t="s">
        <v>990</v>
      </c>
      <c r="B80" s="1507"/>
      <c r="C80" s="1507"/>
      <c r="D80" s="1501"/>
      <c r="E80" s="1511"/>
      <c r="F80" s="2170"/>
      <c r="G80" s="2171"/>
      <c r="H80" s="2856" t="s">
        <v>146</v>
      </c>
      <c r="I80" s="2857"/>
      <c r="J80" s="2826"/>
      <c r="K80" s="2858"/>
      <c r="L80" s="2448"/>
      <c r="M80" s="2449"/>
      <c r="N80" s="2849"/>
      <c r="O80" s="2850">
        <v>1</v>
      </c>
      <c r="P80" s="2851" t="s">
        <v>65</v>
      </c>
      <c r="Q80" s="4672" t="s">
        <v>1082</v>
      </c>
      <c r="R80" s="4673" t="s">
        <v>1083</v>
      </c>
      <c r="S80" s="4673" t="s">
        <v>1074</v>
      </c>
      <c r="T80" s="4673" t="s">
        <v>1075</v>
      </c>
      <c r="U80" s="4673" t="s">
        <v>1076</v>
      </c>
      <c r="V80" s="4673" t="s">
        <v>1077</v>
      </c>
      <c r="W80" s="4673" t="s">
        <v>1078</v>
      </c>
      <c r="X80" s="4673" t="s">
        <v>1084</v>
      </c>
      <c r="Y80" s="4673" t="s">
        <v>371</v>
      </c>
      <c r="Z80" s="1516"/>
      <c r="AA80" s="1517"/>
      <c r="AB80" s="1517"/>
      <c r="AC80" s="1521"/>
      <c r="AD80" s="1521"/>
      <c r="AE80" s="1522"/>
      <c r="AF80" s="2847"/>
      <c r="AG80" s="2848"/>
      <c r="AH80" s="2848"/>
      <c r="AI80" s="2847"/>
      <c r="AJ80" s="2848"/>
      <c r="AK80" s="2848"/>
      <c r="AL80" s="2329"/>
      <c r="AM80" s="2164"/>
      <c r="AN80" s="2164"/>
      <c r="AO80" s="2164"/>
      <c r="AP80" s="2164"/>
      <c r="AQ80" s="2164"/>
      <c r="AR80" s="2164"/>
      <c r="AS80" s="2164"/>
      <c r="AT80" s="2164"/>
      <c r="AU80" s="2164"/>
      <c r="AV80" s="2164"/>
      <c r="AW80" s="2164"/>
      <c r="AX80" s="2164"/>
      <c r="AY80" s="2164"/>
      <c r="AZ80" s="2164"/>
      <c r="BA80" s="2164"/>
      <c r="BB80" s="2164"/>
      <c r="BC80" s="2164"/>
      <c r="BD80" s="2164"/>
      <c r="BE80" s="2164"/>
      <c r="BF80" s="2164"/>
      <c r="BG80" s="4573"/>
    </row>
    <row customHeight="1" ht="11.25">
      <c r="A81" s="1507" t="s">
        <v>990</v>
      </c>
      <c r="B81" s="1507"/>
      <c r="C81" s="1507"/>
      <c r="D81" s="1501"/>
      <c r="E81" s="1511"/>
      <c r="F81" s="2170"/>
      <c r="G81" s="2171"/>
      <c r="H81" s="2856" t="s">
        <v>146</v>
      </c>
      <c r="I81" s="2857"/>
      <c r="J81" s="2826"/>
      <c r="K81" s="2858"/>
      <c r="L81" s="2448"/>
      <c r="M81" s="2449"/>
      <c r="N81" s="2849"/>
      <c r="O81" s="2850"/>
      <c r="P81" s="2852"/>
      <c r="Q81" s="4672"/>
      <c r="R81" s="2854"/>
      <c r="S81" s="2855"/>
      <c r="T81" s="2854"/>
      <c r="U81" s="2854"/>
      <c r="V81" s="2854"/>
      <c r="W81" s="2854"/>
      <c r="X81" s="2854"/>
      <c r="Y81" s="2854"/>
      <c r="Z81" s="2169"/>
      <c r="AA81" s="2135">
        <v>1</v>
      </c>
      <c r="AB81" s="1520" t="s">
        <v>1035</v>
      </c>
      <c r="AC81" s="1510">
        <v>264.21635</v>
      </c>
      <c r="AD81" s="1520" t="str">
        <f>AB81</f>
        <v>      Амортизационные отчисления с выделением результатов переоценки основных средств и нематериальных активов</v>
      </c>
      <c r="AE81" s="1510"/>
      <c r="AF81" s="2847"/>
      <c r="AG81" s="2848"/>
      <c r="AH81" s="2848"/>
      <c r="AI81" s="2847"/>
      <c r="AJ81" s="2848"/>
      <c r="AK81" s="2848"/>
      <c r="AL81" s="2329"/>
      <c r="AM81" s="2164"/>
      <c r="AN81" s="2164"/>
      <c r="AO81" s="2164"/>
      <c r="AP81" s="2164"/>
      <c r="AQ81" s="2164"/>
      <c r="AR81" s="2164"/>
      <c r="AS81" s="2164"/>
      <c r="AT81" s="2164"/>
      <c r="AU81" s="2164"/>
      <c r="AV81" s="2164"/>
      <c r="AW81" s="2164"/>
      <c r="AX81" s="2164"/>
      <c r="AY81" s="2164"/>
      <c r="AZ81" s="2164"/>
      <c r="BA81" s="2164"/>
      <c r="BB81" s="2164"/>
      <c r="BC81" s="2164"/>
      <c r="BD81" s="2164"/>
      <c r="BE81" s="2164"/>
      <c r="BF81" s="2164"/>
      <c r="BG81" s="4573"/>
    </row>
    <row customHeight="1" ht="11.25">
      <c r="A82" s="1507" t="s">
        <v>990</v>
      </c>
      <c r="B82" s="1507"/>
      <c r="C82" s="1507"/>
      <c r="D82" s="1501"/>
      <c r="E82" s="1511"/>
      <c r="F82" s="2171"/>
      <c r="G82" s="2171"/>
      <c r="H82" s="2171"/>
      <c r="I82" s="2171"/>
      <c r="J82" s="4685"/>
      <c r="K82" s="2171"/>
      <c r="L82" s="2171"/>
      <c r="M82" s="2171"/>
      <c r="N82" s="2171"/>
      <c r="O82" s="2171"/>
      <c r="P82" s="2171"/>
      <c r="Q82" s="4685"/>
      <c r="R82" s="2171"/>
      <c r="S82" s="2171"/>
      <c r="T82" s="2171"/>
      <c r="U82" s="2171"/>
      <c r="V82" s="2171"/>
      <c r="W82" s="2171"/>
      <c r="X82" s="2171"/>
      <c r="Y82" s="2171"/>
      <c r="Z82" s="4557" t="s">
        <v>684</v>
      </c>
      <c r="AA82" s="2155" t="s">
        <v>107</v>
      </c>
      <c r="AB82" s="1520" t="s">
        <v>1036</v>
      </c>
      <c r="AC82" s="1510">
        <v>52.84327</v>
      </c>
      <c r="AD82" s="1520" t="str">
        <f>AB82</f>
        <v>  Прочие собственные средства</v>
      </c>
      <c r="AE82" s="1510"/>
      <c r="AF82" s="2172"/>
      <c r="AG82" s="2100"/>
      <c r="AH82" s="2100"/>
      <c r="AI82" s="2172"/>
      <c r="AJ82" s="2100"/>
      <c r="AK82" s="2328"/>
      <c r="AL82" s="2329"/>
      <c r="AM82" s="2164"/>
      <c r="AN82" s="2164"/>
      <c r="AO82" s="2164"/>
      <c r="AP82" s="2164"/>
      <c r="AQ82" s="2164"/>
      <c r="AR82" s="2164"/>
      <c r="AS82" s="2164"/>
      <c r="AT82" s="2164"/>
      <c r="AU82" s="2164"/>
      <c r="AV82" s="2164"/>
      <c r="AW82" s="2164"/>
      <c r="AX82" s="2164"/>
      <c r="AY82" s="2164"/>
      <c r="AZ82" s="2164"/>
      <c r="BA82" s="2164"/>
      <c r="BB82" s="2164"/>
      <c r="BC82" s="2164"/>
      <c r="BD82" s="2164"/>
      <c r="BE82" s="2164"/>
      <c r="BF82" s="2164"/>
      <c r="BG82" s="4573"/>
    </row>
    <row customHeight="1" ht="11.25">
      <c r="A83" s="1507" t="s">
        <v>990</v>
      </c>
      <c r="B83" s="1507"/>
      <c r="C83" s="1507"/>
      <c r="D83" s="1501"/>
      <c r="E83" s="1511"/>
      <c r="F83" s="2170"/>
      <c r="G83" s="2171"/>
      <c r="H83" s="2856" t="s">
        <v>146</v>
      </c>
      <c r="I83" s="2857"/>
      <c r="J83" s="2826"/>
      <c r="K83" s="2858"/>
      <c r="L83" s="2448"/>
      <c r="M83" s="2449"/>
      <c r="N83" s="2849"/>
      <c r="O83" s="2850"/>
      <c r="P83" s="2853"/>
      <c r="Q83" s="4672"/>
      <c r="R83" s="2854"/>
      <c r="S83" s="2855"/>
      <c r="T83" s="2854"/>
      <c r="U83" s="2854"/>
      <c r="V83" s="2854"/>
      <c r="W83" s="2854"/>
      <c r="X83" s="2854"/>
      <c r="Y83" s="2854"/>
      <c r="Z83" s="1516"/>
      <c r="AA83" s="1517"/>
      <c r="AB83" s="1582" t="s">
        <v>1037</v>
      </c>
      <c r="AC83" s="1521"/>
      <c r="AD83" s="1521"/>
      <c r="AE83" s="1523"/>
      <c r="AF83" s="2847"/>
      <c r="AG83" s="2848"/>
      <c r="AH83" s="2848"/>
      <c r="AI83" s="2847"/>
      <c r="AJ83" s="2848"/>
      <c r="AK83" s="2848"/>
      <c r="AL83" s="2329"/>
      <c r="AM83" s="2164"/>
      <c r="AN83" s="2164"/>
      <c r="AO83" s="2164"/>
      <c r="AP83" s="2164"/>
      <c r="AQ83" s="2164"/>
      <c r="AR83" s="2164"/>
      <c r="AS83" s="2164"/>
      <c r="AT83" s="2164"/>
      <c r="AU83" s="2164"/>
      <c r="AV83" s="2164"/>
      <c r="AW83" s="2164"/>
      <c r="AX83" s="2164"/>
      <c r="AY83" s="2164"/>
      <c r="AZ83" s="2164"/>
      <c r="BA83" s="2164"/>
      <c r="BB83" s="2164"/>
      <c r="BC83" s="2164"/>
      <c r="BD83" s="2164"/>
      <c r="BE83" s="2164"/>
      <c r="BF83" s="2164"/>
      <c r="BG83" s="4573"/>
    </row>
    <row customHeight="1" ht="11.25">
      <c r="A84" s="1507" t="s">
        <v>990</v>
      </c>
      <c r="B84" s="1507"/>
      <c r="C84" s="1507"/>
      <c r="D84" s="1501"/>
      <c r="E84" s="1511"/>
      <c r="F84" s="2170"/>
      <c r="G84" s="2171"/>
      <c r="H84" s="2856" t="s">
        <v>146</v>
      </c>
      <c r="I84" s="2857"/>
      <c r="J84" s="2826"/>
      <c r="K84" s="2858"/>
      <c r="L84" s="2448"/>
      <c r="M84" s="2449"/>
      <c r="N84" s="1516"/>
      <c r="O84" s="1517"/>
      <c r="P84" s="1509" t="s">
        <v>1038</v>
      </c>
      <c r="Q84" s="1517"/>
      <c r="R84" s="1517"/>
      <c r="S84" s="1517"/>
      <c r="T84" s="1517"/>
      <c r="U84" s="1517"/>
      <c r="V84" s="1517"/>
      <c r="W84" s="1517"/>
      <c r="X84" s="1517"/>
      <c r="Y84" s="1517"/>
      <c r="Z84" s="1517"/>
      <c r="AA84" s="1517"/>
      <c r="AB84" s="1517"/>
      <c r="AC84" s="1517"/>
      <c r="AD84" s="1517"/>
      <c r="AE84" s="1524"/>
      <c r="AF84" s="2847"/>
      <c r="AG84" s="2848"/>
      <c r="AH84" s="2848"/>
      <c r="AI84" s="2847"/>
      <c r="AJ84" s="2848"/>
      <c r="AK84" s="2848"/>
      <c r="AL84" s="2329"/>
      <c r="AM84" s="2164"/>
      <c r="AN84" s="2164"/>
      <c r="AO84" s="2164"/>
      <c r="AP84" s="2164"/>
      <c r="AQ84" s="2164"/>
      <c r="AR84" s="2164"/>
      <c r="AS84" s="2164"/>
      <c r="AT84" s="2164"/>
      <c r="AU84" s="2164"/>
      <c r="AV84" s="2164"/>
      <c r="AW84" s="2164"/>
      <c r="AX84" s="2164"/>
      <c r="AY84" s="2164"/>
      <c r="AZ84" s="2164"/>
      <c r="BA84" s="2164"/>
      <c r="BB84" s="2164"/>
      <c r="BC84" s="2164"/>
      <c r="BD84" s="2164"/>
      <c r="BE84" s="2164"/>
      <c r="BF84" s="2164"/>
      <c r="BG84" s="4573"/>
    </row>
    <row customHeight="1" ht="11.25">
      <c r="A85" s="1507" t="s">
        <v>990</v>
      </c>
      <c r="B85" s="1507" t="s">
        <v>1022</v>
      </c>
      <c r="C85" s="1507"/>
      <c r="D85" s="1501"/>
      <c r="E85" s="1511"/>
      <c r="F85" s="2170"/>
      <c r="G85" s="4557" t="s">
        <v>684</v>
      </c>
      <c r="H85" s="2856" t="s">
        <v>148</v>
      </c>
      <c r="I85" s="2857" t="s">
        <v>1023</v>
      </c>
      <c r="J85" s="2826" t="s">
        <v>1024</v>
      </c>
      <c r="K85" s="2858" t="s">
        <v>1085</v>
      </c>
      <c r="L85" s="2448" t="s">
        <v>19</v>
      </c>
      <c r="M85" s="2449"/>
      <c r="N85" s="2327"/>
      <c r="O85" s="1518" t="s">
        <v>371</v>
      </c>
      <c r="P85" s="1519"/>
      <c r="Q85" s="1519"/>
      <c r="R85" s="1519"/>
      <c r="S85" s="1519"/>
      <c r="T85" s="1519"/>
      <c r="U85" s="1519"/>
      <c r="V85" s="1519"/>
      <c r="W85" s="1519"/>
      <c r="X85" s="1519"/>
      <c r="Y85" s="1519"/>
      <c r="Z85" s="1519"/>
      <c r="AA85" s="1519"/>
      <c r="AB85" s="1519"/>
      <c r="AC85" s="1519"/>
      <c r="AD85" s="1519"/>
      <c r="AE85" s="1519"/>
      <c r="AF85" s="2847">
        <v>2</v>
      </c>
      <c r="AG85" s="2848" t="s">
        <v>1067</v>
      </c>
      <c r="AH85" s="2848" t="s">
        <v>1053</v>
      </c>
      <c r="AI85" s="2847"/>
      <c r="AJ85" s="2848"/>
      <c r="AK85" s="2848"/>
      <c r="AL85" s="2329"/>
      <c r="AM85" s="2164"/>
      <c r="AN85" s="2164"/>
      <c r="AO85" s="2164"/>
      <c r="AP85" s="2164"/>
      <c r="AQ85" s="2164"/>
      <c r="AR85" s="2164"/>
      <c r="AS85" s="2164"/>
      <c r="AT85" s="2164"/>
      <c r="AU85" s="2164"/>
      <c r="AV85" s="2164"/>
      <c r="AW85" s="2164"/>
      <c r="AX85" s="2164"/>
      <c r="AY85" s="2164"/>
      <c r="AZ85" s="2164"/>
      <c r="BA85" s="2164"/>
      <c r="BB85" s="2164"/>
      <c r="BC85" s="2164"/>
      <c r="BD85" s="2164"/>
      <c r="BE85" s="2164"/>
      <c r="BF85" s="2164"/>
      <c r="BG85" s="4573"/>
    </row>
    <row customHeight="1" ht="11.25">
      <c r="A86" s="1507" t="s">
        <v>990</v>
      </c>
      <c r="B86" s="1507"/>
      <c r="C86" s="1507"/>
      <c r="D86" s="1501"/>
      <c r="E86" s="1511"/>
      <c r="F86" s="2170"/>
      <c r="G86" s="2171"/>
      <c r="H86" s="2856" t="s">
        <v>147</v>
      </c>
      <c r="I86" s="2857"/>
      <c r="J86" s="2826"/>
      <c r="K86" s="2858"/>
      <c r="L86" s="2448"/>
      <c r="M86" s="2449"/>
      <c r="N86" s="2849"/>
      <c r="O86" s="2850">
        <v>1</v>
      </c>
      <c r="P86" s="2851" t="s">
        <v>65</v>
      </c>
      <c r="Q86" s="4672" t="s">
        <v>1086</v>
      </c>
      <c r="R86" s="4673" t="s">
        <v>1083</v>
      </c>
      <c r="S86" s="4673" t="s">
        <v>1074</v>
      </c>
      <c r="T86" s="4673" t="s">
        <v>1075</v>
      </c>
      <c r="U86" s="4673" t="s">
        <v>1076</v>
      </c>
      <c r="V86" s="4673" t="s">
        <v>1077</v>
      </c>
      <c r="W86" s="4673" t="s">
        <v>1078</v>
      </c>
      <c r="X86" s="4673" t="s">
        <v>1087</v>
      </c>
      <c r="Y86" s="4673" t="s">
        <v>371</v>
      </c>
      <c r="Z86" s="1516"/>
      <c r="AA86" s="1517"/>
      <c r="AB86" s="1517"/>
      <c r="AC86" s="1521"/>
      <c r="AD86" s="1521"/>
      <c r="AE86" s="1522"/>
      <c r="AF86" s="2847"/>
      <c r="AG86" s="2848"/>
      <c r="AH86" s="2848"/>
      <c r="AI86" s="2847"/>
      <c r="AJ86" s="2848"/>
      <c r="AK86" s="2848"/>
      <c r="AL86" s="2329"/>
      <c r="AM86" s="2164"/>
      <c r="AN86" s="2164"/>
      <c r="AO86" s="2164"/>
      <c r="AP86" s="2164"/>
      <c r="AQ86" s="2164"/>
      <c r="AR86" s="2164"/>
      <c r="AS86" s="2164"/>
      <c r="AT86" s="2164"/>
      <c r="AU86" s="2164"/>
      <c r="AV86" s="2164"/>
      <c r="AW86" s="2164"/>
      <c r="AX86" s="2164"/>
      <c r="AY86" s="2164"/>
      <c r="AZ86" s="2164"/>
      <c r="BA86" s="2164"/>
      <c r="BB86" s="2164"/>
      <c r="BC86" s="2164"/>
      <c r="BD86" s="2164"/>
      <c r="BE86" s="2164"/>
      <c r="BF86" s="2164"/>
      <c r="BG86" s="4573"/>
    </row>
    <row customHeight="1" ht="11.25">
      <c r="A87" s="1507" t="s">
        <v>990</v>
      </c>
      <c r="B87" s="1507"/>
      <c r="C87" s="1507"/>
      <c r="D87" s="1501"/>
      <c r="E87" s="1511"/>
      <c r="F87" s="2170"/>
      <c r="G87" s="2171"/>
      <c r="H87" s="2856" t="s">
        <v>147</v>
      </c>
      <c r="I87" s="2857"/>
      <c r="J87" s="2826"/>
      <c r="K87" s="2858"/>
      <c r="L87" s="2448"/>
      <c r="M87" s="2449"/>
      <c r="N87" s="2849"/>
      <c r="O87" s="2850"/>
      <c r="P87" s="2852"/>
      <c r="Q87" s="4672"/>
      <c r="R87" s="2854"/>
      <c r="S87" s="2855"/>
      <c r="T87" s="2854"/>
      <c r="U87" s="2854"/>
      <c r="V87" s="2854"/>
      <c r="W87" s="2854"/>
      <c r="X87" s="2854"/>
      <c r="Y87" s="2854"/>
      <c r="Z87" s="2169"/>
      <c r="AA87" s="2135">
        <v>1</v>
      </c>
      <c r="AB87" s="1520" t="s">
        <v>1035</v>
      </c>
      <c r="AC87" s="1510">
        <v>6603.2719</v>
      </c>
      <c r="AD87" s="1520" t="str">
        <f>AB87</f>
        <v>      Амортизационные отчисления с выделением результатов переоценки основных средств и нематериальных активов</v>
      </c>
      <c r="AE87" s="1510"/>
      <c r="AF87" s="2847"/>
      <c r="AG87" s="2848"/>
      <c r="AH87" s="2848"/>
      <c r="AI87" s="2847"/>
      <c r="AJ87" s="2848"/>
      <c r="AK87" s="2848"/>
      <c r="AL87" s="2329"/>
      <c r="AM87" s="2164"/>
      <c r="AN87" s="2164"/>
      <c r="AO87" s="2164"/>
      <c r="AP87" s="2164"/>
      <c r="AQ87" s="2164"/>
      <c r="AR87" s="2164"/>
      <c r="AS87" s="2164"/>
      <c r="AT87" s="2164"/>
      <c r="AU87" s="2164"/>
      <c r="AV87" s="2164"/>
      <c r="AW87" s="2164"/>
      <c r="AX87" s="2164"/>
      <c r="AY87" s="2164"/>
      <c r="AZ87" s="2164"/>
      <c r="BA87" s="2164"/>
      <c r="BB87" s="2164"/>
      <c r="BC87" s="2164"/>
      <c r="BD87" s="2164"/>
      <c r="BE87" s="2164"/>
      <c r="BF87" s="2164"/>
      <c r="BG87" s="4573"/>
    </row>
    <row customHeight="1" ht="11.25">
      <c r="A88" s="1507" t="s">
        <v>990</v>
      </c>
      <c r="B88" s="1507"/>
      <c r="C88" s="1507"/>
      <c r="D88" s="1501"/>
      <c r="E88" s="1511"/>
      <c r="F88" s="2171"/>
      <c r="G88" s="2171"/>
      <c r="H88" s="2171"/>
      <c r="I88" s="2171"/>
      <c r="J88" s="2171"/>
      <c r="K88" s="2171"/>
      <c r="L88" s="2171"/>
      <c r="M88" s="2171"/>
      <c r="N88" s="2171"/>
      <c r="O88" s="2171"/>
      <c r="P88" s="2171"/>
      <c r="Q88" s="2171"/>
      <c r="R88" s="2171"/>
      <c r="S88" s="2171"/>
      <c r="T88" s="2171"/>
      <c r="U88" s="2171"/>
      <c r="V88" s="2171"/>
      <c r="W88" s="2171"/>
      <c r="X88" s="2171"/>
      <c r="Y88" s="2171"/>
      <c r="Z88" s="4557" t="s">
        <v>684</v>
      </c>
      <c r="AA88" s="2155" t="s">
        <v>107</v>
      </c>
      <c r="AB88" s="1520" t="s">
        <v>1036</v>
      </c>
      <c r="AC88" s="1510">
        <v>882.46162</v>
      </c>
      <c r="AD88" s="1520" t="str">
        <f>AB88</f>
        <v>  Прочие собственные средства</v>
      </c>
      <c r="AE88" s="1510"/>
      <c r="AF88" s="2172"/>
      <c r="AG88" s="2100"/>
      <c r="AH88" s="2100"/>
      <c r="AI88" s="2172"/>
      <c r="AJ88" s="2100"/>
      <c r="AK88" s="2328"/>
      <c r="AL88" s="2329"/>
      <c r="AM88" s="2164"/>
      <c r="AN88" s="2164"/>
      <c r="AO88" s="2164"/>
      <c r="AP88" s="2164"/>
      <c r="AQ88" s="2164"/>
      <c r="AR88" s="2164"/>
      <c r="AS88" s="2164"/>
      <c r="AT88" s="2164"/>
      <c r="AU88" s="2164"/>
      <c r="AV88" s="2164"/>
      <c r="AW88" s="2164"/>
      <c r="AX88" s="2164"/>
      <c r="AY88" s="2164"/>
      <c r="AZ88" s="2164"/>
      <c r="BA88" s="2164"/>
      <c r="BB88" s="2164"/>
      <c r="BC88" s="2164"/>
      <c r="BD88" s="2164"/>
      <c r="BE88" s="2164"/>
      <c r="BF88" s="2164"/>
      <c r="BG88" s="4573"/>
    </row>
    <row customHeight="1" ht="11.25">
      <c r="A89" s="1507" t="s">
        <v>990</v>
      </c>
      <c r="B89" s="1507"/>
      <c r="C89" s="1507"/>
      <c r="D89" s="1501"/>
      <c r="E89" s="1511"/>
      <c r="F89" s="2170"/>
      <c r="G89" s="2171"/>
      <c r="H89" s="2856" t="s">
        <v>147</v>
      </c>
      <c r="I89" s="2857"/>
      <c r="J89" s="2826"/>
      <c r="K89" s="2858"/>
      <c r="L89" s="2448"/>
      <c r="M89" s="2449"/>
      <c r="N89" s="2849"/>
      <c r="O89" s="2850"/>
      <c r="P89" s="2853"/>
      <c r="Q89" s="4672"/>
      <c r="R89" s="2854"/>
      <c r="S89" s="2855"/>
      <c r="T89" s="2854"/>
      <c r="U89" s="2854"/>
      <c r="V89" s="2854"/>
      <c r="W89" s="2854"/>
      <c r="X89" s="2854"/>
      <c r="Y89" s="2854"/>
      <c r="Z89" s="1516"/>
      <c r="AA89" s="1517"/>
      <c r="AB89" s="1582" t="s">
        <v>1037</v>
      </c>
      <c r="AC89" s="1521"/>
      <c r="AD89" s="1521"/>
      <c r="AE89" s="1523"/>
      <c r="AF89" s="2847"/>
      <c r="AG89" s="2848"/>
      <c r="AH89" s="2848"/>
      <c r="AI89" s="2847"/>
      <c r="AJ89" s="2848"/>
      <c r="AK89" s="2848"/>
      <c r="AL89" s="2329"/>
      <c r="AM89" s="2164"/>
      <c r="AN89" s="2164"/>
      <c r="AO89" s="2164"/>
      <c r="AP89" s="2164"/>
      <c r="AQ89" s="2164"/>
      <c r="AR89" s="2164"/>
      <c r="AS89" s="2164"/>
      <c r="AT89" s="2164"/>
      <c r="AU89" s="2164"/>
      <c r="AV89" s="2164"/>
      <c r="AW89" s="2164"/>
      <c r="AX89" s="2164"/>
      <c r="AY89" s="2164"/>
      <c r="AZ89" s="2164"/>
      <c r="BA89" s="2164"/>
      <c r="BB89" s="2164"/>
      <c r="BC89" s="2164"/>
      <c r="BD89" s="2164"/>
      <c r="BE89" s="2164"/>
      <c r="BF89" s="2164"/>
      <c r="BG89" s="4573"/>
    </row>
    <row customHeight="1" ht="11.25">
      <c r="A90" s="1507" t="s">
        <v>990</v>
      </c>
      <c r="B90" s="1507"/>
      <c r="C90" s="1507"/>
      <c r="D90" s="1501"/>
      <c r="E90" s="1511"/>
      <c r="F90" s="2170"/>
      <c r="G90" s="2171"/>
      <c r="H90" s="2856" t="s">
        <v>147</v>
      </c>
      <c r="I90" s="2857"/>
      <c r="J90" s="2826"/>
      <c r="K90" s="2858"/>
      <c r="L90" s="2448"/>
      <c r="M90" s="2449"/>
      <c r="N90" s="1516"/>
      <c r="O90" s="1517"/>
      <c r="P90" s="1509" t="s">
        <v>1038</v>
      </c>
      <c r="Q90" s="1517"/>
      <c r="R90" s="1517"/>
      <c r="S90" s="1517"/>
      <c r="T90" s="1517"/>
      <c r="U90" s="1517"/>
      <c r="V90" s="1517"/>
      <c r="W90" s="1517"/>
      <c r="X90" s="1517"/>
      <c r="Y90" s="1517"/>
      <c r="Z90" s="1517"/>
      <c r="AA90" s="1517"/>
      <c r="AB90" s="1517"/>
      <c r="AC90" s="1517"/>
      <c r="AD90" s="1517"/>
      <c r="AE90" s="1524"/>
      <c r="AF90" s="2847"/>
      <c r="AG90" s="2848"/>
      <c r="AH90" s="2848"/>
      <c r="AI90" s="2847"/>
      <c r="AJ90" s="2848"/>
      <c r="AK90" s="2848"/>
      <c r="AL90" s="2329"/>
      <c r="AM90" s="2164"/>
      <c r="AN90" s="2164"/>
      <c r="AO90" s="2164"/>
      <c r="AP90" s="2164"/>
      <c r="AQ90" s="2164"/>
      <c r="AR90" s="2164"/>
      <c r="AS90" s="2164"/>
      <c r="AT90" s="2164"/>
      <c r="AU90" s="2164"/>
      <c r="AV90" s="2164"/>
      <c r="AW90" s="2164"/>
      <c r="AX90" s="2164"/>
      <c r="AY90" s="2164"/>
      <c r="AZ90" s="2164"/>
      <c r="BA90" s="2164"/>
      <c r="BB90" s="2164"/>
      <c r="BC90" s="2164"/>
      <c r="BD90" s="2164"/>
      <c r="BE90" s="2164"/>
      <c r="BF90" s="2164"/>
      <c r="BG90" s="4573"/>
    </row>
    <row customHeight="1" ht="11.25">
      <c r="A91" s="1507" t="s">
        <v>990</v>
      </c>
      <c r="B91" s="1507" t="s">
        <v>1022</v>
      </c>
      <c r="C91" s="1507"/>
      <c r="D91" s="1501"/>
      <c r="E91" s="1511"/>
      <c r="F91" s="2170"/>
      <c r="G91" s="4557" t="s">
        <v>684</v>
      </c>
      <c r="H91" s="2856" t="s">
        <v>149</v>
      </c>
      <c r="I91" s="2857" t="s">
        <v>1023</v>
      </c>
      <c r="J91" s="2826" t="s">
        <v>1024</v>
      </c>
      <c r="K91" s="2858" t="s">
        <v>1088</v>
      </c>
      <c r="L91" s="2448" t="s">
        <v>19</v>
      </c>
      <c r="M91" s="2449"/>
      <c r="N91" s="2327"/>
      <c r="O91" s="1518" t="s">
        <v>371</v>
      </c>
      <c r="P91" s="1519"/>
      <c r="Q91" s="1519"/>
      <c r="R91" s="1519"/>
      <c r="S91" s="1519"/>
      <c r="T91" s="1519"/>
      <c r="U91" s="1519"/>
      <c r="V91" s="1519"/>
      <c r="W91" s="1519"/>
      <c r="X91" s="1519"/>
      <c r="Y91" s="1519"/>
      <c r="Z91" s="1519"/>
      <c r="AA91" s="1519"/>
      <c r="AB91" s="1519"/>
      <c r="AC91" s="1519"/>
      <c r="AD91" s="1519"/>
      <c r="AE91" s="1519"/>
      <c r="AF91" s="2847">
        <v>1</v>
      </c>
      <c r="AG91" s="2848" t="s">
        <v>1067</v>
      </c>
      <c r="AH91" s="2848" t="s">
        <v>1063</v>
      </c>
      <c r="AI91" s="2847"/>
      <c r="AJ91" s="2848"/>
      <c r="AK91" s="2848"/>
      <c r="AL91" s="2329"/>
      <c r="AM91" s="2164"/>
      <c r="AN91" s="2164"/>
      <c r="AO91" s="2164"/>
      <c r="AP91" s="2164"/>
      <c r="AQ91" s="2164"/>
      <c r="AR91" s="2164"/>
      <c r="AS91" s="2164"/>
      <c r="AT91" s="2164"/>
      <c r="AU91" s="2164"/>
      <c r="AV91" s="2164"/>
      <c r="AW91" s="2164"/>
      <c r="AX91" s="2164"/>
      <c r="AY91" s="2164"/>
      <c r="AZ91" s="2164"/>
      <c r="BA91" s="2164"/>
      <c r="BB91" s="2164"/>
      <c r="BC91" s="2164"/>
      <c r="BD91" s="2164"/>
      <c r="BE91" s="2164"/>
      <c r="BF91" s="2164"/>
      <c r="BG91" s="4573"/>
    </row>
    <row customHeight="1" ht="11.25">
      <c r="A92" s="1507" t="s">
        <v>990</v>
      </c>
      <c r="B92" s="1507"/>
      <c r="C92" s="1507"/>
      <c r="D92" s="1501"/>
      <c r="E92" s="1511"/>
      <c r="F92" s="2170"/>
      <c r="G92" s="2171"/>
      <c r="H92" s="2856" t="s">
        <v>148</v>
      </c>
      <c r="I92" s="2857"/>
      <c r="J92" s="2826"/>
      <c r="K92" s="2858"/>
      <c r="L92" s="2448"/>
      <c r="M92" s="2449"/>
      <c r="N92" s="2849"/>
      <c r="O92" s="2850">
        <v>1</v>
      </c>
      <c r="P92" s="2851" t="s">
        <v>65</v>
      </c>
      <c r="Q92" s="4672" t="s">
        <v>1089</v>
      </c>
      <c r="R92" s="4673" t="s">
        <v>1029</v>
      </c>
      <c r="S92" s="4673" t="s">
        <v>1074</v>
      </c>
      <c r="T92" s="4673" t="s">
        <v>1090</v>
      </c>
      <c r="U92" s="4673" t="s">
        <v>1091</v>
      </c>
      <c r="V92" s="4673" t="s">
        <v>1092</v>
      </c>
      <c r="W92" s="4673" t="s">
        <v>1093</v>
      </c>
      <c r="X92" s="4673" t="s">
        <v>1094</v>
      </c>
      <c r="Y92" s="4673" t="s">
        <v>148</v>
      </c>
      <c r="Z92" s="1516"/>
      <c r="AA92" s="1517"/>
      <c r="AB92" s="1517"/>
      <c r="AC92" s="1521"/>
      <c r="AD92" s="1521"/>
      <c r="AE92" s="1522"/>
      <c r="AF92" s="2847"/>
      <c r="AG92" s="2848"/>
      <c r="AH92" s="2848"/>
      <c r="AI92" s="2847"/>
      <c r="AJ92" s="2848"/>
      <c r="AK92" s="2848"/>
      <c r="AL92" s="2329"/>
      <c r="AM92" s="2164"/>
      <c r="AN92" s="2164"/>
      <c r="AO92" s="2164"/>
      <c r="AP92" s="2164"/>
      <c r="AQ92" s="2164"/>
      <c r="AR92" s="2164"/>
      <c r="AS92" s="2164"/>
      <c r="AT92" s="2164"/>
      <c r="AU92" s="2164"/>
      <c r="AV92" s="2164"/>
      <c r="AW92" s="2164"/>
      <c r="AX92" s="2164"/>
      <c r="AY92" s="2164"/>
      <c r="AZ92" s="2164"/>
      <c r="BA92" s="2164"/>
      <c r="BB92" s="2164"/>
      <c r="BC92" s="2164"/>
      <c r="BD92" s="2164"/>
      <c r="BE92" s="2164"/>
      <c r="BF92" s="2164"/>
      <c r="BG92" s="4573"/>
    </row>
    <row customHeight="1" ht="11.25">
      <c r="A93" s="1507" t="s">
        <v>990</v>
      </c>
      <c r="B93" s="1507"/>
      <c r="C93" s="1507"/>
      <c r="D93" s="1501"/>
      <c r="E93" s="1511"/>
      <c r="F93" s="2170"/>
      <c r="G93" s="2171"/>
      <c r="H93" s="2856" t="s">
        <v>148</v>
      </c>
      <c r="I93" s="2857"/>
      <c r="J93" s="2826"/>
      <c r="K93" s="2858"/>
      <c r="L93" s="2448"/>
      <c r="M93" s="2449"/>
      <c r="N93" s="2849"/>
      <c r="O93" s="2850"/>
      <c r="P93" s="2852"/>
      <c r="Q93" s="4672"/>
      <c r="R93" s="2854"/>
      <c r="S93" s="2855"/>
      <c r="T93" s="2854"/>
      <c r="U93" s="2854"/>
      <c r="V93" s="2854"/>
      <c r="W93" s="2854"/>
      <c r="X93" s="2854"/>
      <c r="Y93" s="2854"/>
      <c r="Z93" s="2169"/>
      <c r="AA93" s="2135">
        <v>1</v>
      </c>
      <c r="AB93" s="1520" t="s">
        <v>1035</v>
      </c>
      <c r="AC93" s="1510">
        <v>35918.22598</v>
      </c>
      <c r="AD93" s="1520" t="str">
        <f>AB93</f>
        <v>      Амортизационные отчисления с выделением результатов переоценки основных средств и нематериальных активов</v>
      </c>
      <c r="AE93" s="1510"/>
      <c r="AF93" s="2847"/>
      <c r="AG93" s="2848"/>
      <c r="AH93" s="2848"/>
      <c r="AI93" s="2847"/>
      <c r="AJ93" s="2848"/>
      <c r="AK93" s="2848"/>
      <c r="AL93" s="2329"/>
      <c r="AM93" s="2164"/>
      <c r="AN93" s="2164"/>
      <c r="AO93" s="2164"/>
      <c r="AP93" s="2164"/>
      <c r="AQ93" s="2164"/>
      <c r="AR93" s="2164"/>
      <c r="AS93" s="2164"/>
      <c r="AT93" s="2164"/>
      <c r="AU93" s="2164"/>
      <c r="AV93" s="2164"/>
      <c r="AW93" s="2164"/>
      <c r="AX93" s="2164"/>
      <c r="AY93" s="2164"/>
      <c r="AZ93" s="2164"/>
      <c r="BA93" s="2164"/>
      <c r="BB93" s="2164"/>
      <c r="BC93" s="2164"/>
      <c r="BD93" s="2164"/>
      <c r="BE93" s="2164"/>
      <c r="BF93" s="2164"/>
      <c r="BG93" s="4573"/>
    </row>
    <row customHeight="1" ht="11.25">
      <c r="A94" s="1507" t="s">
        <v>990</v>
      </c>
      <c r="B94" s="1507"/>
      <c r="C94" s="1507"/>
      <c r="D94" s="1501"/>
      <c r="E94" s="1511"/>
      <c r="F94" s="2171"/>
      <c r="G94" s="2171"/>
      <c r="H94" s="2171"/>
      <c r="I94" s="2171"/>
      <c r="J94" s="2171"/>
      <c r="K94" s="2171"/>
      <c r="L94" s="2171"/>
      <c r="M94" s="2171"/>
      <c r="N94" s="2171"/>
      <c r="O94" s="2171"/>
      <c r="P94" s="2171"/>
      <c r="Q94" s="2171"/>
      <c r="R94" s="2171"/>
      <c r="S94" s="2171"/>
      <c r="T94" s="2171"/>
      <c r="U94" s="2171"/>
      <c r="V94" s="2171"/>
      <c r="W94" s="2171"/>
      <c r="X94" s="2171"/>
      <c r="Y94" s="2171"/>
      <c r="Z94" s="4557" t="s">
        <v>684</v>
      </c>
      <c r="AA94" s="2155" t="s">
        <v>107</v>
      </c>
      <c r="AB94" s="1520" t="s">
        <v>1036</v>
      </c>
      <c r="AC94" s="1510">
        <v>7034.80792</v>
      </c>
      <c r="AD94" s="1520" t="str">
        <f>AB94</f>
        <v>  Прочие собственные средства</v>
      </c>
      <c r="AE94" s="1510"/>
      <c r="AF94" s="2172"/>
      <c r="AG94" s="2100"/>
      <c r="AH94" s="2100"/>
      <c r="AI94" s="2172"/>
      <c r="AJ94" s="2100"/>
      <c r="AK94" s="2328"/>
      <c r="AL94" s="2329"/>
      <c r="AM94" s="2164"/>
      <c r="AN94" s="2164"/>
      <c r="AO94" s="2164"/>
      <c r="AP94" s="2164"/>
      <c r="AQ94" s="2164"/>
      <c r="AR94" s="2164"/>
      <c r="AS94" s="2164"/>
      <c r="AT94" s="2164"/>
      <c r="AU94" s="2164"/>
      <c r="AV94" s="2164"/>
      <c r="AW94" s="2164"/>
      <c r="AX94" s="2164"/>
      <c r="AY94" s="2164"/>
      <c r="AZ94" s="2164"/>
      <c r="BA94" s="2164"/>
      <c r="BB94" s="2164"/>
      <c r="BC94" s="2164"/>
      <c r="BD94" s="2164"/>
      <c r="BE94" s="2164"/>
      <c r="BF94" s="2164"/>
      <c r="BG94" s="4573"/>
    </row>
    <row customHeight="1" ht="11.25">
      <c r="A95" s="1507" t="s">
        <v>990</v>
      </c>
      <c r="B95" s="1507"/>
      <c r="C95" s="1507"/>
      <c r="D95" s="1501"/>
      <c r="E95" s="1511"/>
      <c r="F95" s="2170"/>
      <c r="G95" s="2171"/>
      <c r="H95" s="2856" t="s">
        <v>148</v>
      </c>
      <c r="I95" s="2857"/>
      <c r="J95" s="2826"/>
      <c r="K95" s="2858"/>
      <c r="L95" s="2448"/>
      <c r="M95" s="2449"/>
      <c r="N95" s="2849"/>
      <c r="O95" s="2850"/>
      <c r="P95" s="2853"/>
      <c r="Q95" s="4672"/>
      <c r="R95" s="2854"/>
      <c r="S95" s="2855"/>
      <c r="T95" s="2854"/>
      <c r="U95" s="2854"/>
      <c r="V95" s="2854"/>
      <c r="W95" s="2854"/>
      <c r="X95" s="2854"/>
      <c r="Y95" s="2854"/>
      <c r="Z95" s="1516"/>
      <c r="AA95" s="1517"/>
      <c r="AB95" s="1582" t="s">
        <v>1037</v>
      </c>
      <c r="AC95" s="1521"/>
      <c r="AD95" s="1521"/>
      <c r="AE95" s="1523"/>
      <c r="AF95" s="2847"/>
      <c r="AG95" s="2848"/>
      <c r="AH95" s="2848"/>
      <c r="AI95" s="2847"/>
      <c r="AJ95" s="2848"/>
      <c r="AK95" s="2848"/>
      <c r="AL95" s="2329"/>
      <c r="AM95" s="2164"/>
      <c r="AN95" s="2164"/>
      <c r="AO95" s="2164"/>
      <c r="AP95" s="2164"/>
      <c r="AQ95" s="2164"/>
      <c r="AR95" s="2164"/>
      <c r="AS95" s="2164"/>
      <c r="AT95" s="2164"/>
      <c r="AU95" s="2164"/>
      <c r="AV95" s="2164"/>
      <c r="AW95" s="2164"/>
      <c r="AX95" s="2164"/>
      <c r="AY95" s="2164"/>
      <c r="AZ95" s="2164"/>
      <c r="BA95" s="2164"/>
      <c r="BB95" s="2164"/>
      <c r="BC95" s="2164"/>
      <c r="BD95" s="2164"/>
      <c r="BE95" s="2164"/>
      <c r="BF95" s="2164"/>
      <c r="BG95" s="4573"/>
    </row>
    <row customHeight="1" ht="11.25">
      <c r="A96" s="1507" t="s">
        <v>990</v>
      </c>
      <c r="B96" s="1507"/>
      <c r="C96" s="1507"/>
      <c r="D96" s="1501"/>
      <c r="E96" s="1511"/>
      <c r="F96" s="2170"/>
      <c r="G96" s="2171"/>
      <c r="H96" s="2856" t="s">
        <v>148</v>
      </c>
      <c r="I96" s="2857"/>
      <c r="J96" s="2826"/>
      <c r="K96" s="2858"/>
      <c r="L96" s="2448"/>
      <c r="M96" s="2449"/>
      <c r="N96" s="1516"/>
      <c r="O96" s="1517"/>
      <c r="P96" s="1509" t="s">
        <v>1038</v>
      </c>
      <c r="Q96" s="1517"/>
      <c r="R96" s="1517"/>
      <c r="S96" s="1517"/>
      <c r="T96" s="1517"/>
      <c r="U96" s="1517"/>
      <c r="V96" s="1517"/>
      <c r="W96" s="1517"/>
      <c r="X96" s="1517"/>
      <c r="Y96" s="1517"/>
      <c r="Z96" s="1517"/>
      <c r="AA96" s="1517"/>
      <c r="AB96" s="1517"/>
      <c r="AC96" s="1517"/>
      <c r="AD96" s="1517"/>
      <c r="AE96" s="1524"/>
      <c r="AF96" s="2847"/>
      <c r="AG96" s="2848"/>
      <c r="AH96" s="2848"/>
      <c r="AI96" s="2847"/>
      <c r="AJ96" s="2848"/>
      <c r="AK96" s="2848"/>
      <c r="AL96" s="2329"/>
      <c r="AM96" s="2164"/>
      <c r="AN96" s="2164"/>
      <c r="AO96" s="2164"/>
      <c r="AP96" s="2164"/>
      <c r="AQ96" s="2164"/>
      <c r="AR96" s="2164"/>
      <c r="AS96" s="2164"/>
      <c r="AT96" s="2164"/>
      <c r="AU96" s="2164"/>
      <c r="AV96" s="2164"/>
      <c r="AW96" s="2164"/>
      <c r="AX96" s="2164"/>
      <c r="AY96" s="2164"/>
      <c r="AZ96" s="2164"/>
      <c r="BA96" s="2164"/>
      <c r="BB96" s="2164"/>
      <c r="BC96" s="2164"/>
      <c r="BD96" s="2164"/>
      <c r="BE96" s="2164"/>
      <c r="BF96" s="2164"/>
      <c r="BG96" s="4573"/>
    </row>
    <row customHeight="1" ht="11.25">
      <c r="A97" s="1507" t="s">
        <v>990</v>
      </c>
      <c r="B97" s="1507" t="s">
        <v>1022</v>
      </c>
      <c r="C97" s="1507"/>
      <c r="D97" s="1501"/>
      <c r="E97" s="1511"/>
      <c r="F97" s="2170"/>
      <c r="G97" s="4557" t="s">
        <v>684</v>
      </c>
      <c r="H97" s="2856" t="s">
        <v>150</v>
      </c>
      <c r="I97" s="2857" t="s">
        <v>1023</v>
      </c>
      <c r="J97" s="2826" t="s">
        <v>1024</v>
      </c>
      <c r="K97" s="2858" t="s">
        <v>1095</v>
      </c>
      <c r="L97" s="2448" t="s">
        <v>19</v>
      </c>
      <c r="M97" s="2449"/>
      <c r="N97" s="2327"/>
      <c r="O97" s="1518" t="s">
        <v>371</v>
      </c>
      <c r="P97" s="1519"/>
      <c r="Q97" s="1519"/>
      <c r="R97" s="1519"/>
      <c r="S97" s="1519"/>
      <c r="T97" s="1519"/>
      <c r="U97" s="1519"/>
      <c r="V97" s="1519"/>
      <c r="W97" s="1519"/>
      <c r="X97" s="1519"/>
      <c r="Y97" s="1519"/>
      <c r="Z97" s="1519"/>
      <c r="AA97" s="1519"/>
      <c r="AB97" s="1519"/>
      <c r="AC97" s="1519"/>
      <c r="AD97" s="1519"/>
      <c r="AE97" s="1519"/>
      <c r="AF97" s="2847">
        <v>1</v>
      </c>
      <c r="AG97" s="2848" t="s">
        <v>1026</v>
      </c>
      <c r="AH97" s="2848" t="s">
        <v>1063</v>
      </c>
      <c r="AI97" s="2847"/>
      <c r="AJ97" s="2848"/>
      <c r="AK97" s="2848"/>
      <c r="AL97" s="2329"/>
      <c r="AM97" s="2164"/>
      <c r="AN97" s="2164"/>
      <c r="AO97" s="2164"/>
      <c r="AP97" s="2164"/>
      <c r="AQ97" s="2164"/>
      <c r="AR97" s="2164"/>
      <c r="AS97" s="2164"/>
      <c r="AT97" s="2164"/>
      <c r="AU97" s="2164"/>
      <c r="AV97" s="2164"/>
      <c r="AW97" s="2164"/>
      <c r="AX97" s="2164"/>
      <c r="AY97" s="2164"/>
      <c r="AZ97" s="2164"/>
      <c r="BA97" s="2164"/>
      <c r="BB97" s="2164"/>
      <c r="BC97" s="2164"/>
      <c r="BD97" s="2164"/>
      <c r="BE97" s="2164"/>
      <c r="BF97" s="2164"/>
      <c r="BG97" s="4573"/>
    </row>
    <row customHeight="1" ht="11.25">
      <c r="A98" s="1507" t="s">
        <v>990</v>
      </c>
      <c r="B98" s="1507"/>
      <c r="C98" s="1507"/>
      <c r="D98" s="1501"/>
      <c r="E98" s="1511"/>
      <c r="F98" s="2170"/>
      <c r="G98" s="2171"/>
      <c r="H98" s="2856" t="s">
        <v>149</v>
      </c>
      <c r="I98" s="2857"/>
      <c r="J98" s="2826"/>
      <c r="K98" s="2858"/>
      <c r="L98" s="2448"/>
      <c r="M98" s="2449"/>
      <c r="N98" s="2849"/>
      <c r="O98" s="2850">
        <v>1</v>
      </c>
      <c r="P98" s="2851" t="s">
        <v>65</v>
      </c>
      <c r="Q98" s="4672" t="s">
        <v>1073</v>
      </c>
      <c r="R98" s="4673" t="s">
        <v>1042</v>
      </c>
      <c r="S98" s="4673" t="s">
        <v>1074</v>
      </c>
      <c r="T98" s="4673" t="s">
        <v>1075</v>
      </c>
      <c r="U98" s="4673" t="s">
        <v>1076</v>
      </c>
      <c r="V98" s="4673" t="s">
        <v>1077</v>
      </c>
      <c r="W98" s="4673" t="s">
        <v>1078</v>
      </c>
      <c r="X98" s="4673" t="s">
        <v>1079</v>
      </c>
      <c r="Y98" s="4673" t="s">
        <v>107</v>
      </c>
      <c r="Z98" s="1516"/>
      <c r="AA98" s="1517"/>
      <c r="AB98" s="1517"/>
      <c r="AC98" s="1521"/>
      <c r="AD98" s="1521"/>
      <c r="AE98" s="1522"/>
      <c r="AF98" s="2847"/>
      <c r="AG98" s="2848"/>
      <c r="AH98" s="2848"/>
      <c r="AI98" s="2847"/>
      <c r="AJ98" s="2848"/>
      <c r="AK98" s="2848"/>
      <c r="AL98" s="2329"/>
      <c r="AM98" s="2164"/>
      <c r="AN98" s="2164"/>
      <c r="AO98" s="2164"/>
      <c r="AP98" s="2164"/>
      <c r="AQ98" s="2164"/>
      <c r="AR98" s="2164"/>
      <c r="AS98" s="2164"/>
      <c r="AT98" s="2164"/>
      <c r="AU98" s="2164"/>
      <c r="AV98" s="2164"/>
      <c r="AW98" s="2164"/>
      <c r="AX98" s="2164"/>
      <c r="AY98" s="2164"/>
      <c r="AZ98" s="2164"/>
      <c r="BA98" s="2164"/>
      <c r="BB98" s="2164"/>
      <c r="BC98" s="2164"/>
      <c r="BD98" s="2164"/>
      <c r="BE98" s="2164"/>
      <c r="BF98" s="2164"/>
      <c r="BG98" s="4573"/>
    </row>
    <row customHeight="1" ht="11.25">
      <c r="A99" s="1507" t="s">
        <v>990</v>
      </c>
      <c r="B99" s="1507"/>
      <c r="C99" s="1507"/>
      <c r="D99" s="1501"/>
      <c r="E99" s="1511"/>
      <c r="F99" s="2170"/>
      <c r="G99" s="2171"/>
      <c r="H99" s="2856" t="s">
        <v>149</v>
      </c>
      <c r="I99" s="2857"/>
      <c r="J99" s="2826"/>
      <c r="K99" s="2858"/>
      <c r="L99" s="2448"/>
      <c r="M99" s="2449"/>
      <c r="N99" s="2849"/>
      <c r="O99" s="2850"/>
      <c r="P99" s="2852"/>
      <c r="Q99" s="4672"/>
      <c r="R99" s="2854"/>
      <c r="S99" s="2855"/>
      <c r="T99" s="2854"/>
      <c r="U99" s="2854"/>
      <c r="V99" s="2854"/>
      <c r="W99" s="2854"/>
      <c r="X99" s="2854"/>
      <c r="Y99" s="2854"/>
      <c r="Z99" s="2169"/>
      <c r="AA99" s="2135">
        <v>1</v>
      </c>
      <c r="AB99" s="1520" t="s">
        <v>1035</v>
      </c>
      <c r="AC99" s="1510">
        <v>19911.23991</v>
      </c>
      <c r="AD99" s="1520" t="str">
        <f>AB99</f>
        <v>      Амортизационные отчисления с выделением результатов переоценки основных средств и нематериальных активов</v>
      </c>
      <c r="AE99" s="1510"/>
      <c r="AF99" s="2847"/>
      <c r="AG99" s="2848"/>
      <c r="AH99" s="2848"/>
      <c r="AI99" s="2847"/>
      <c r="AJ99" s="2848"/>
      <c r="AK99" s="2848"/>
      <c r="AL99" s="2329"/>
      <c r="AM99" s="2164"/>
      <c r="AN99" s="2164"/>
      <c r="AO99" s="2164"/>
      <c r="AP99" s="2164"/>
      <c r="AQ99" s="2164"/>
      <c r="AR99" s="2164"/>
      <c r="AS99" s="2164"/>
      <c r="AT99" s="2164"/>
      <c r="AU99" s="2164"/>
      <c r="AV99" s="2164"/>
      <c r="AW99" s="2164"/>
      <c r="AX99" s="2164"/>
      <c r="AY99" s="2164"/>
      <c r="AZ99" s="2164"/>
      <c r="BA99" s="2164"/>
      <c r="BB99" s="2164"/>
      <c r="BC99" s="2164"/>
      <c r="BD99" s="2164"/>
      <c r="BE99" s="2164"/>
      <c r="BF99" s="2164"/>
      <c r="BG99" s="4573"/>
    </row>
    <row customHeight="1" ht="11.25">
      <c r="A100" s="1507" t="s">
        <v>990</v>
      </c>
      <c r="B100" s="1507"/>
      <c r="C100" s="1507"/>
      <c r="D100" s="1501"/>
      <c r="E100" s="1511"/>
      <c r="F100" s="2171"/>
      <c r="G100" s="2171"/>
      <c r="H100" s="2171"/>
      <c r="I100" s="2171"/>
      <c r="J100" s="2171"/>
      <c r="K100" s="2171"/>
      <c r="L100" s="2171"/>
      <c r="M100" s="2171"/>
      <c r="N100" s="2171"/>
      <c r="O100" s="2171"/>
      <c r="P100" s="2171"/>
      <c r="Q100" s="2171"/>
      <c r="R100" s="2171"/>
      <c r="S100" s="2171"/>
      <c r="T100" s="2171"/>
      <c r="U100" s="2171"/>
      <c r="V100" s="2171"/>
      <c r="W100" s="2171"/>
      <c r="X100" s="2171"/>
      <c r="Y100" s="2171"/>
      <c r="Z100" s="4557" t="s">
        <v>684</v>
      </c>
      <c r="AA100" s="2155" t="s">
        <v>107</v>
      </c>
      <c r="AB100" s="1520" t="s">
        <v>1036</v>
      </c>
      <c r="AC100" s="1510">
        <v>3685.69772</v>
      </c>
      <c r="AD100" s="1520" t="str">
        <f>AB100</f>
        <v>  Прочие собственные средства</v>
      </c>
      <c r="AE100" s="1510"/>
      <c r="AF100" s="2172"/>
      <c r="AG100" s="2100"/>
      <c r="AH100" s="2100"/>
      <c r="AI100" s="2172"/>
      <c r="AJ100" s="2100"/>
      <c r="AK100" s="2328"/>
      <c r="AL100" s="2329"/>
      <c r="AM100" s="2164"/>
      <c r="AN100" s="2164"/>
      <c r="AO100" s="2164"/>
      <c r="AP100" s="2164"/>
      <c r="AQ100" s="2164"/>
      <c r="AR100" s="2164"/>
      <c r="AS100" s="2164"/>
      <c r="AT100" s="2164"/>
      <c r="AU100" s="2164"/>
      <c r="AV100" s="2164"/>
      <c r="AW100" s="2164"/>
      <c r="AX100" s="2164"/>
      <c r="AY100" s="2164"/>
      <c r="AZ100" s="2164"/>
      <c r="BA100" s="2164"/>
      <c r="BB100" s="2164"/>
      <c r="BC100" s="2164"/>
      <c r="BD100" s="2164"/>
      <c r="BE100" s="2164"/>
      <c r="BF100" s="2164"/>
      <c r="BG100" s="4573"/>
    </row>
    <row customHeight="1" ht="11.25">
      <c r="A101" s="1507" t="s">
        <v>990</v>
      </c>
      <c r="B101" s="1507"/>
      <c r="C101" s="1507"/>
      <c r="D101" s="1501"/>
      <c r="E101" s="1511"/>
      <c r="F101" s="2170"/>
      <c r="G101" s="2171"/>
      <c r="H101" s="2856" t="s">
        <v>149</v>
      </c>
      <c r="I101" s="2857"/>
      <c r="J101" s="2826"/>
      <c r="K101" s="2858"/>
      <c r="L101" s="2448"/>
      <c r="M101" s="2449"/>
      <c r="N101" s="2849"/>
      <c r="O101" s="2850"/>
      <c r="P101" s="2853"/>
      <c r="Q101" s="4672"/>
      <c r="R101" s="2854"/>
      <c r="S101" s="2855"/>
      <c r="T101" s="2854"/>
      <c r="U101" s="2854"/>
      <c r="V101" s="2854"/>
      <c r="W101" s="2854"/>
      <c r="X101" s="2854"/>
      <c r="Y101" s="2854"/>
      <c r="Z101" s="1516"/>
      <c r="AA101" s="1517"/>
      <c r="AB101" s="1582" t="s">
        <v>1037</v>
      </c>
      <c r="AC101" s="1521"/>
      <c r="AD101" s="1521"/>
      <c r="AE101" s="1523"/>
      <c r="AF101" s="2847"/>
      <c r="AG101" s="2848"/>
      <c r="AH101" s="2848"/>
      <c r="AI101" s="2847"/>
      <c r="AJ101" s="2848"/>
      <c r="AK101" s="2848"/>
      <c r="AL101" s="2329"/>
      <c r="AM101" s="2164"/>
      <c r="AN101" s="2164"/>
      <c r="AO101" s="2164"/>
      <c r="AP101" s="2164"/>
      <c r="AQ101" s="2164"/>
      <c r="AR101" s="2164"/>
      <c r="AS101" s="2164"/>
      <c r="AT101" s="2164"/>
      <c r="AU101" s="2164"/>
      <c r="AV101" s="2164"/>
      <c r="AW101" s="2164"/>
      <c r="AX101" s="2164"/>
      <c r="AY101" s="2164"/>
      <c r="AZ101" s="2164"/>
      <c r="BA101" s="2164"/>
      <c r="BB101" s="2164"/>
      <c r="BC101" s="2164"/>
      <c r="BD101" s="2164"/>
      <c r="BE101" s="2164"/>
      <c r="BF101" s="2164"/>
      <c r="BG101" s="4573"/>
    </row>
    <row customHeight="1" ht="11.25">
      <c r="A102" s="1507" t="s">
        <v>990</v>
      </c>
      <c r="B102" s="1507"/>
      <c r="C102" s="1507"/>
      <c r="D102" s="1501"/>
      <c r="E102" s="1511"/>
      <c r="F102" s="2170"/>
      <c r="G102" s="2171"/>
      <c r="H102" s="2856" t="s">
        <v>149</v>
      </c>
      <c r="I102" s="2857"/>
      <c r="J102" s="2826"/>
      <c r="K102" s="2858"/>
      <c r="L102" s="2448"/>
      <c r="M102" s="2449"/>
      <c r="N102" s="1516"/>
      <c r="O102" s="1517"/>
      <c r="P102" s="1509" t="s">
        <v>1038</v>
      </c>
      <c r="Q102" s="1517"/>
      <c r="R102" s="1517"/>
      <c r="S102" s="1517"/>
      <c r="T102" s="1517"/>
      <c r="U102" s="1517"/>
      <c r="V102" s="1517"/>
      <c r="W102" s="1517"/>
      <c r="X102" s="1517"/>
      <c r="Y102" s="1517"/>
      <c r="Z102" s="1517"/>
      <c r="AA102" s="1517"/>
      <c r="AB102" s="1517"/>
      <c r="AC102" s="1517"/>
      <c r="AD102" s="1517"/>
      <c r="AE102" s="1524"/>
      <c r="AF102" s="2847"/>
      <c r="AG102" s="2848"/>
      <c r="AH102" s="2848"/>
      <c r="AI102" s="2847"/>
      <c r="AJ102" s="2848"/>
      <c r="AK102" s="2848"/>
      <c r="AL102" s="2329"/>
      <c r="AM102" s="2164"/>
      <c r="AN102" s="2164"/>
      <c r="AO102" s="2164"/>
      <c r="AP102" s="2164"/>
      <c r="AQ102" s="2164"/>
      <c r="AR102" s="2164"/>
      <c r="AS102" s="2164"/>
      <c r="AT102" s="2164"/>
      <c r="AU102" s="2164"/>
      <c r="AV102" s="2164"/>
      <c r="AW102" s="2164"/>
      <c r="AX102" s="2164"/>
      <c r="AY102" s="2164"/>
      <c r="AZ102" s="2164"/>
      <c r="BA102" s="2164"/>
      <c r="BB102" s="2164"/>
      <c r="BC102" s="2164"/>
      <c r="BD102" s="2164"/>
      <c r="BE102" s="2164"/>
      <c r="BF102" s="2164"/>
      <c r="BG102" s="4573"/>
    </row>
    <row customHeight="1" ht="11.25">
      <c r="A103" s="1507" t="s">
        <v>990</v>
      </c>
      <c r="B103" s="1507" t="s">
        <v>22</v>
      </c>
      <c r="C103" s="1507"/>
      <c r="D103" s="1501"/>
      <c r="E103" s="1511"/>
      <c r="F103" s="2170"/>
      <c r="G103" s="4557" t="s">
        <v>684</v>
      </c>
      <c r="H103" s="2856" t="s">
        <v>1049</v>
      </c>
      <c r="I103" s="2857" t="s">
        <v>1096</v>
      </c>
      <c r="J103" s="4694" t="s">
        <v>22</v>
      </c>
      <c r="K103" s="2858" t="s">
        <v>1097</v>
      </c>
      <c r="L103" s="2448" t="s">
        <v>19</v>
      </c>
      <c r="M103" s="2449"/>
      <c r="N103" s="2327"/>
      <c r="O103" s="1518" t="s">
        <v>371</v>
      </c>
      <c r="P103" s="1519"/>
      <c r="Q103" s="1519"/>
      <c r="R103" s="1519"/>
      <c r="S103" s="1519"/>
      <c r="T103" s="1519"/>
      <c r="U103" s="1519"/>
      <c r="V103" s="1519"/>
      <c r="W103" s="1519"/>
      <c r="X103" s="1519"/>
      <c r="Y103" s="1519"/>
      <c r="Z103" s="1519"/>
      <c r="AA103" s="1519"/>
      <c r="AB103" s="1519"/>
      <c r="AC103" s="1519"/>
      <c r="AD103" s="1519"/>
      <c r="AE103" s="1519"/>
      <c r="AF103" s="2847">
        <v>3</v>
      </c>
      <c r="AG103" s="2848" t="s">
        <v>1067</v>
      </c>
      <c r="AH103" s="2848" t="s">
        <v>1051</v>
      </c>
      <c r="AI103" s="2847"/>
      <c r="AJ103" s="2848"/>
      <c r="AK103" s="2848"/>
      <c r="AL103" s="2329"/>
      <c r="AM103" s="2164"/>
      <c r="AN103" s="2164"/>
      <c r="AO103" s="2164"/>
      <c r="AP103" s="2164"/>
      <c r="AQ103" s="2164"/>
      <c r="AR103" s="2164"/>
      <c r="AS103" s="2164"/>
      <c r="AT103" s="2164"/>
      <c r="AU103" s="2164"/>
      <c r="AV103" s="2164"/>
      <c r="AW103" s="2164"/>
      <c r="AX103" s="2164"/>
      <c r="AY103" s="2164"/>
      <c r="AZ103" s="2164"/>
      <c r="BA103" s="2164"/>
      <c r="BB103" s="2164"/>
      <c r="BC103" s="2164"/>
      <c r="BD103" s="2164"/>
      <c r="BE103" s="2164"/>
      <c r="BF103" s="2164"/>
      <c r="BG103" s="4573"/>
    </row>
    <row customHeight="1" ht="11.25">
      <c r="A104" s="1507" t="s">
        <v>990</v>
      </c>
      <c r="B104" s="1507"/>
      <c r="C104" s="1507"/>
      <c r="D104" s="1501"/>
      <c r="E104" s="1511"/>
      <c r="F104" s="2170"/>
      <c r="G104" s="2171"/>
      <c r="H104" s="2856" t="s">
        <v>150</v>
      </c>
      <c r="I104" s="2857"/>
      <c r="J104" s="4694"/>
      <c r="K104" s="2858"/>
      <c r="L104" s="2448"/>
      <c r="M104" s="2449"/>
      <c r="N104" s="2849"/>
      <c r="O104" s="2850">
        <v>1</v>
      </c>
      <c r="P104" s="2851" t="s">
        <v>65</v>
      </c>
      <c r="Q104" s="4672" t="s">
        <v>1073</v>
      </c>
      <c r="R104" s="4673" t="s">
        <v>1042</v>
      </c>
      <c r="S104" s="4673" t="s">
        <v>1074</v>
      </c>
      <c r="T104" s="4673" t="s">
        <v>1075</v>
      </c>
      <c r="U104" s="4673" t="s">
        <v>1076</v>
      </c>
      <c r="V104" s="4673" t="s">
        <v>1077</v>
      </c>
      <c r="W104" s="4673" t="s">
        <v>1078</v>
      </c>
      <c r="X104" s="4673" t="s">
        <v>1079</v>
      </c>
      <c r="Y104" s="4673" t="s">
        <v>107</v>
      </c>
      <c r="Z104" s="1516"/>
      <c r="AA104" s="1517"/>
      <c r="AB104" s="1517"/>
      <c r="AC104" s="1521"/>
      <c r="AD104" s="1521"/>
      <c r="AE104" s="1522"/>
      <c r="AF104" s="2847"/>
      <c r="AG104" s="2848"/>
      <c r="AH104" s="2848"/>
      <c r="AI104" s="2847"/>
      <c r="AJ104" s="2848"/>
      <c r="AK104" s="2848"/>
      <c r="AL104" s="2329"/>
      <c r="AM104" s="2164"/>
      <c r="AN104" s="2164"/>
      <c r="AO104" s="2164"/>
      <c r="AP104" s="2164"/>
      <c r="AQ104" s="2164"/>
      <c r="AR104" s="2164"/>
      <c r="AS104" s="2164"/>
      <c r="AT104" s="2164"/>
      <c r="AU104" s="2164"/>
      <c r="AV104" s="2164"/>
      <c r="AW104" s="2164"/>
      <c r="AX104" s="2164"/>
      <c r="AY104" s="2164"/>
      <c r="AZ104" s="2164"/>
      <c r="BA104" s="2164"/>
      <c r="BB104" s="2164"/>
      <c r="BC104" s="2164"/>
      <c r="BD104" s="2164"/>
      <c r="BE104" s="2164"/>
      <c r="BF104" s="2164"/>
      <c r="BG104" s="4573"/>
    </row>
    <row customHeight="1" ht="11.25">
      <c r="A105" s="1507" t="s">
        <v>990</v>
      </c>
      <c r="B105" s="1507"/>
      <c r="C105" s="1507"/>
      <c r="D105" s="1501"/>
      <c r="E105" s="1511"/>
      <c r="F105" s="2170"/>
      <c r="G105" s="2171"/>
      <c r="H105" s="2856" t="s">
        <v>150</v>
      </c>
      <c r="I105" s="2857"/>
      <c r="J105" s="4694"/>
      <c r="K105" s="2858"/>
      <c r="L105" s="2448"/>
      <c r="M105" s="2449"/>
      <c r="N105" s="2849"/>
      <c r="O105" s="2850"/>
      <c r="P105" s="2852"/>
      <c r="Q105" s="4672"/>
      <c r="R105" s="2854"/>
      <c r="S105" s="2855"/>
      <c r="T105" s="2854"/>
      <c r="U105" s="2854"/>
      <c r="V105" s="2854"/>
      <c r="W105" s="2854"/>
      <c r="X105" s="2854"/>
      <c r="Y105" s="2854"/>
      <c r="Z105" s="2169"/>
      <c r="AA105" s="2135">
        <v>1</v>
      </c>
      <c r="AB105" s="1520" t="s">
        <v>1035</v>
      </c>
      <c r="AC105" s="1510">
        <v>13615.03198</v>
      </c>
      <c r="AD105" s="1520" t="str">
        <f>AB105</f>
        <v>      Амортизационные отчисления с выделением результатов переоценки основных средств и нематериальных активов</v>
      </c>
      <c r="AE105" s="1510"/>
      <c r="AF105" s="2847"/>
      <c r="AG105" s="2848"/>
      <c r="AH105" s="2848"/>
      <c r="AI105" s="2847"/>
      <c r="AJ105" s="2848"/>
      <c r="AK105" s="2848"/>
      <c r="AL105" s="2329"/>
      <c r="AM105" s="2164"/>
      <c r="AN105" s="2164"/>
      <c r="AO105" s="2164"/>
      <c r="AP105" s="2164"/>
      <c r="AQ105" s="2164"/>
      <c r="AR105" s="2164"/>
      <c r="AS105" s="2164"/>
      <c r="AT105" s="2164"/>
      <c r="AU105" s="2164"/>
      <c r="AV105" s="2164"/>
      <c r="AW105" s="2164"/>
      <c r="AX105" s="2164"/>
      <c r="AY105" s="2164"/>
      <c r="AZ105" s="2164"/>
      <c r="BA105" s="2164"/>
      <c r="BB105" s="2164"/>
      <c r="BC105" s="2164"/>
      <c r="BD105" s="2164"/>
      <c r="BE105" s="2164"/>
      <c r="BF105" s="2164"/>
      <c r="BG105" s="4573"/>
    </row>
    <row customHeight="1" ht="11.25">
      <c r="A106" s="1507" t="s">
        <v>990</v>
      </c>
      <c r="B106" s="1507"/>
      <c r="C106" s="1507"/>
      <c r="D106" s="1501"/>
      <c r="E106" s="1511"/>
      <c r="F106" s="2171"/>
      <c r="G106" s="2171"/>
      <c r="H106" s="2171"/>
      <c r="I106" s="2171"/>
      <c r="J106" s="2171"/>
      <c r="K106" s="2171"/>
      <c r="L106" s="2171"/>
      <c r="M106" s="2171"/>
      <c r="N106" s="2171"/>
      <c r="O106" s="2171"/>
      <c r="P106" s="2171"/>
      <c r="Q106" s="2171"/>
      <c r="R106" s="2171"/>
      <c r="S106" s="2171"/>
      <c r="T106" s="2171"/>
      <c r="U106" s="2171"/>
      <c r="V106" s="2171"/>
      <c r="W106" s="2171"/>
      <c r="X106" s="2171"/>
      <c r="Y106" s="2171"/>
      <c r="Z106" s="4557" t="s">
        <v>684</v>
      </c>
      <c r="AA106" s="2155" t="s">
        <v>107</v>
      </c>
      <c r="AB106" s="1520" t="s">
        <v>1036</v>
      </c>
      <c r="AC106" s="1510">
        <v>2723.0064</v>
      </c>
      <c r="AD106" s="1520" t="str">
        <f>AB106</f>
        <v>  Прочие собственные средства</v>
      </c>
      <c r="AE106" s="1510"/>
      <c r="AF106" s="2172"/>
      <c r="AG106" s="2100"/>
      <c r="AH106" s="2100"/>
      <c r="AI106" s="2172"/>
      <c r="AJ106" s="2100"/>
      <c r="AK106" s="2328"/>
      <c r="AL106" s="2329"/>
      <c r="AM106" s="2164"/>
      <c r="AN106" s="2164"/>
      <c r="AO106" s="2164"/>
      <c r="AP106" s="2164"/>
      <c r="AQ106" s="2164"/>
      <c r="AR106" s="2164"/>
      <c r="AS106" s="2164"/>
      <c r="AT106" s="2164"/>
      <c r="AU106" s="2164"/>
      <c r="AV106" s="2164"/>
      <c r="AW106" s="2164"/>
      <c r="AX106" s="2164"/>
      <c r="AY106" s="2164"/>
      <c r="AZ106" s="2164"/>
      <c r="BA106" s="2164"/>
      <c r="BB106" s="2164"/>
      <c r="BC106" s="2164"/>
      <c r="BD106" s="2164"/>
      <c r="BE106" s="2164"/>
      <c r="BF106" s="2164"/>
      <c r="BG106" s="4573"/>
    </row>
    <row customHeight="1" ht="11.25">
      <c r="A107" s="1507" t="s">
        <v>990</v>
      </c>
      <c r="B107" s="1507"/>
      <c r="C107" s="1507"/>
      <c r="D107" s="1501"/>
      <c r="E107" s="1511"/>
      <c r="F107" s="2170"/>
      <c r="G107" s="2171"/>
      <c r="H107" s="2856" t="s">
        <v>150</v>
      </c>
      <c r="I107" s="2857"/>
      <c r="J107" s="4694"/>
      <c r="K107" s="2858"/>
      <c r="L107" s="2448"/>
      <c r="M107" s="2449"/>
      <c r="N107" s="2849"/>
      <c r="O107" s="2850"/>
      <c r="P107" s="2853"/>
      <c r="Q107" s="4672"/>
      <c r="R107" s="2854"/>
      <c r="S107" s="2855"/>
      <c r="T107" s="2854"/>
      <c r="U107" s="2854"/>
      <c r="V107" s="2854"/>
      <c r="W107" s="2854"/>
      <c r="X107" s="2854"/>
      <c r="Y107" s="2854"/>
      <c r="Z107" s="1516"/>
      <c r="AA107" s="1517"/>
      <c r="AB107" s="1582" t="s">
        <v>1037</v>
      </c>
      <c r="AC107" s="1521"/>
      <c r="AD107" s="1521"/>
      <c r="AE107" s="1523"/>
      <c r="AF107" s="2847"/>
      <c r="AG107" s="2848"/>
      <c r="AH107" s="2848"/>
      <c r="AI107" s="2847"/>
      <c r="AJ107" s="2848"/>
      <c r="AK107" s="2848"/>
      <c r="AL107" s="2329"/>
      <c r="AM107" s="2164"/>
      <c r="AN107" s="2164"/>
      <c r="AO107" s="2164"/>
      <c r="AP107" s="2164"/>
      <c r="AQ107" s="2164"/>
      <c r="AR107" s="2164"/>
      <c r="AS107" s="2164"/>
      <c r="AT107" s="2164"/>
      <c r="AU107" s="2164"/>
      <c r="AV107" s="2164"/>
      <c r="AW107" s="2164"/>
      <c r="AX107" s="2164"/>
      <c r="AY107" s="2164"/>
      <c r="AZ107" s="2164"/>
      <c r="BA107" s="2164"/>
      <c r="BB107" s="2164"/>
      <c r="BC107" s="2164"/>
      <c r="BD107" s="2164"/>
      <c r="BE107" s="2164"/>
      <c r="BF107" s="2164"/>
      <c r="BG107" s="4573"/>
    </row>
    <row customHeight="1" ht="11.25">
      <c r="A108" s="1507" t="s">
        <v>990</v>
      </c>
      <c r="B108" s="1507"/>
      <c r="C108" s="1507"/>
      <c r="D108" s="1501"/>
      <c r="E108" s="1511"/>
      <c r="F108" s="2170"/>
      <c r="G108" s="2171"/>
      <c r="H108" s="2856" t="s">
        <v>150</v>
      </c>
      <c r="I108" s="2857"/>
      <c r="J108" s="4694"/>
      <c r="K108" s="2858"/>
      <c r="L108" s="2448"/>
      <c r="M108" s="2449"/>
      <c r="N108" s="1516"/>
      <c r="O108" s="1517"/>
      <c r="P108" s="1509" t="s">
        <v>1038</v>
      </c>
      <c r="Q108" s="1517"/>
      <c r="R108" s="1517"/>
      <c r="S108" s="1517"/>
      <c r="T108" s="1517"/>
      <c r="U108" s="1517"/>
      <c r="V108" s="1517"/>
      <c r="W108" s="1517"/>
      <c r="X108" s="1517"/>
      <c r="Y108" s="1517"/>
      <c r="Z108" s="1517"/>
      <c r="AA108" s="1517"/>
      <c r="AB108" s="1517"/>
      <c r="AC108" s="1517"/>
      <c r="AD108" s="1517"/>
      <c r="AE108" s="1524"/>
      <c r="AF108" s="2847"/>
      <c r="AG108" s="2848"/>
      <c r="AH108" s="2848"/>
      <c r="AI108" s="2847"/>
      <c r="AJ108" s="2848"/>
      <c r="AK108" s="2848"/>
      <c r="AL108" s="2329"/>
      <c r="AM108" s="2164"/>
      <c r="AN108" s="2164"/>
      <c r="AO108" s="2164"/>
      <c r="AP108" s="2164"/>
      <c r="AQ108" s="2164"/>
      <c r="AR108" s="2164"/>
      <c r="AS108" s="2164"/>
      <c r="AT108" s="2164"/>
      <c r="AU108" s="2164"/>
      <c r="AV108" s="2164"/>
      <c r="AW108" s="2164"/>
      <c r="AX108" s="2164"/>
      <c r="AY108" s="2164"/>
      <c r="AZ108" s="2164"/>
      <c r="BA108" s="2164"/>
      <c r="BB108" s="2164"/>
      <c r="BC108" s="2164"/>
      <c r="BD108" s="2164"/>
      <c r="BE108" s="2164"/>
      <c r="BF108" s="2164"/>
      <c r="BG108" s="4573"/>
    </row>
    <row customHeight="1" ht="11.25">
      <c r="A109" s="1507" t="s">
        <v>990</v>
      </c>
      <c r="B109" s="1507" t="s">
        <v>22</v>
      </c>
      <c r="C109" s="1507"/>
      <c r="D109" s="1501"/>
      <c r="E109" s="1511"/>
      <c r="F109" s="2170"/>
      <c r="G109" s="4557" t="s">
        <v>684</v>
      </c>
      <c r="H109" s="2856" t="s">
        <v>1098</v>
      </c>
      <c r="I109" s="2857" t="s">
        <v>1039</v>
      </c>
      <c r="J109" s="4694" t="s">
        <v>22</v>
      </c>
      <c r="K109" s="2858" t="s">
        <v>1099</v>
      </c>
      <c r="L109" s="2448" t="s">
        <v>19</v>
      </c>
      <c r="M109" s="2449"/>
      <c r="N109" s="2327"/>
      <c r="O109" s="1518" t="s">
        <v>371</v>
      </c>
      <c r="P109" s="1519"/>
      <c r="Q109" s="1519"/>
      <c r="R109" s="1519"/>
      <c r="S109" s="1519"/>
      <c r="T109" s="1519"/>
      <c r="U109" s="1519"/>
      <c r="V109" s="1519"/>
      <c r="W109" s="1519"/>
      <c r="X109" s="1519"/>
      <c r="Y109" s="1519"/>
      <c r="Z109" s="1519"/>
      <c r="AA109" s="1519"/>
      <c r="AB109" s="1519"/>
      <c r="AC109" s="1519"/>
      <c r="AD109" s="1519"/>
      <c r="AE109" s="1519"/>
      <c r="AF109" s="2847">
        <v>1</v>
      </c>
      <c r="AG109" s="2848" t="s">
        <v>1026</v>
      </c>
      <c r="AH109" s="2848" t="s">
        <v>1063</v>
      </c>
      <c r="AI109" s="2847"/>
      <c r="AJ109" s="2848"/>
      <c r="AK109" s="2848"/>
      <c r="AL109" s="2329"/>
      <c r="AM109" s="2164"/>
      <c r="AN109" s="2164"/>
      <c r="AO109" s="2164"/>
      <c r="AP109" s="2164"/>
      <c r="AQ109" s="2164"/>
      <c r="AR109" s="2164"/>
      <c r="AS109" s="2164"/>
      <c r="AT109" s="2164"/>
      <c r="AU109" s="2164"/>
      <c r="AV109" s="2164"/>
      <c r="AW109" s="2164"/>
      <c r="AX109" s="2164"/>
      <c r="AY109" s="2164"/>
      <c r="AZ109" s="2164"/>
      <c r="BA109" s="2164"/>
      <c r="BB109" s="2164"/>
      <c r="BC109" s="2164"/>
      <c r="BD109" s="2164"/>
      <c r="BE109" s="2164"/>
      <c r="BF109" s="2164"/>
      <c r="BG109" s="4573"/>
    </row>
    <row customHeight="1" ht="11.25">
      <c r="A110" s="1507" t="s">
        <v>990</v>
      </c>
      <c r="B110" s="1507"/>
      <c r="C110" s="1507"/>
      <c r="D110" s="1501"/>
      <c r="E110" s="1511"/>
      <c r="F110" s="2170"/>
      <c r="G110" s="2171"/>
      <c r="H110" s="2856" t="s">
        <v>1049</v>
      </c>
      <c r="I110" s="2857"/>
      <c r="J110" s="4694"/>
      <c r="K110" s="2858"/>
      <c r="L110" s="2448"/>
      <c r="M110" s="2449"/>
      <c r="N110" s="2849"/>
      <c r="O110" s="2850">
        <v>1</v>
      </c>
      <c r="P110" s="2851" t="s">
        <v>65</v>
      </c>
      <c r="Q110" s="4672" t="s">
        <v>1073</v>
      </c>
      <c r="R110" s="4673" t="s">
        <v>1042</v>
      </c>
      <c r="S110" s="4673" t="s">
        <v>1074</v>
      </c>
      <c r="T110" s="4673" t="s">
        <v>1075</v>
      </c>
      <c r="U110" s="4673" t="s">
        <v>1076</v>
      </c>
      <c r="V110" s="4673" t="s">
        <v>1077</v>
      </c>
      <c r="W110" s="4673" t="s">
        <v>1078</v>
      </c>
      <c r="X110" s="4673" t="s">
        <v>1079</v>
      </c>
      <c r="Y110" s="4673" t="s">
        <v>107</v>
      </c>
      <c r="Z110" s="1516"/>
      <c r="AA110" s="1517"/>
      <c r="AB110" s="1517"/>
      <c r="AC110" s="1521"/>
      <c r="AD110" s="1521"/>
      <c r="AE110" s="1522"/>
      <c r="AF110" s="2847"/>
      <c r="AG110" s="2848"/>
      <c r="AH110" s="2848"/>
      <c r="AI110" s="2847"/>
      <c r="AJ110" s="2848"/>
      <c r="AK110" s="2848"/>
      <c r="AL110" s="2329"/>
      <c r="AM110" s="2164"/>
      <c r="AN110" s="2164"/>
      <c r="AO110" s="2164"/>
      <c r="AP110" s="2164"/>
      <c r="AQ110" s="2164"/>
      <c r="AR110" s="2164"/>
      <c r="AS110" s="2164"/>
      <c r="AT110" s="2164"/>
      <c r="AU110" s="2164"/>
      <c r="AV110" s="2164"/>
      <c r="AW110" s="2164"/>
      <c r="AX110" s="2164"/>
      <c r="AY110" s="2164"/>
      <c r="AZ110" s="2164"/>
      <c r="BA110" s="2164"/>
      <c r="BB110" s="2164"/>
      <c r="BC110" s="2164"/>
      <c r="BD110" s="2164"/>
      <c r="BE110" s="2164"/>
      <c r="BF110" s="2164"/>
      <c r="BG110" s="4573"/>
    </row>
    <row customHeight="1" ht="11.25">
      <c r="A111" s="1507" t="s">
        <v>990</v>
      </c>
      <c r="B111" s="1507"/>
      <c r="C111" s="1507"/>
      <c r="D111" s="1501"/>
      <c r="E111" s="1511"/>
      <c r="F111" s="2170"/>
      <c r="G111" s="2171"/>
      <c r="H111" s="2856" t="s">
        <v>1049</v>
      </c>
      <c r="I111" s="2857"/>
      <c r="J111" s="4694"/>
      <c r="K111" s="2858"/>
      <c r="L111" s="2448"/>
      <c r="M111" s="2449"/>
      <c r="N111" s="2849"/>
      <c r="O111" s="2850"/>
      <c r="P111" s="2852"/>
      <c r="Q111" s="4672"/>
      <c r="R111" s="2854"/>
      <c r="S111" s="2855"/>
      <c r="T111" s="2854"/>
      <c r="U111" s="2854"/>
      <c r="V111" s="2854"/>
      <c r="W111" s="2854"/>
      <c r="X111" s="2854"/>
      <c r="Y111" s="2854"/>
      <c r="Z111" s="2169"/>
      <c r="AA111" s="2135">
        <v>1</v>
      </c>
      <c r="AB111" s="1520" t="s">
        <v>1035</v>
      </c>
      <c r="AC111" s="1510">
        <v>15525</v>
      </c>
      <c r="AD111" s="1520" t="str">
        <f>AB111</f>
        <v>      Амортизационные отчисления с выделением результатов переоценки основных средств и нематериальных активов</v>
      </c>
      <c r="AE111" s="1510"/>
      <c r="AF111" s="2847"/>
      <c r="AG111" s="2848"/>
      <c r="AH111" s="2848"/>
      <c r="AI111" s="2847"/>
      <c r="AJ111" s="2848"/>
      <c r="AK111" s="2848"/>
      <c r="AL111" s="2329"/>
      <c r="AM111" s="2164"/>
      <c r="AN111" s="2164"/>
      <c r="AO111" s="2164"/>
      <c r="AP111" s="2164"/>
      <c r="AQ111" s="2164"/>
      <c r="AR111" s="2164"/>
      <c r="AS111" s="2164"/>
      <c r="AT111" s="2164"/>
      <c r="AU111" s="2164"/>
      <c r="AV111" s="2164"/>
      <c r="AW111" s="2164"/>
      <c r="AX111" s="2164"/>
      <c r="AY111" s="2164"/>
      <c r="AZ111" s="2164"/>
      <c r="BA111" s="2164"/>
      <c r="BB111" s="2164"/>
      <c r="BC111" s="2164"/>
      <c r="BD111" s="2164"/>
      <c r="BE111" s="2164"/>
      <c r="BF111" s="2164"/>
      <c r="BG111" s="4573"/>
    </row>
    <row customHeight="1" ht="11.25">
      <c r="A112" s="1507" t="s">
        <v>990</v>
      </c>
      <c r="B112" s="1507"/>
      <c r="C112" s="1507"/>
      <c r="D112" s="1501"/>
      <c r="E112" s="1511"/>
      <c r="F112" s="2171"/>
      <c r="G112" s="2171"/>
      <c r="H112" s="2171"/>
      <c r="I112" s="2171"/>
      <c r="J112" s="2171"/>
      <c r="K112" s="2171"/>
      <c r="L112" s="2171"/>
      <c r="M112" s="2171"/>
      <c r="N112" s="2171"/>
      <c r="O112" s="2171"/>
      <c r="P112" s="2171"/>
      <c r="Q112" s="2171"/>
      <c r="R112" s="2171"/>
      <c r="S112" s="2171"/>
      <c r="T112" s="2171"/>
      <c r="U112" s="2171"/>
      <c r="V112" s="2171"/>
      <c r="W112" s="2171"/>
      <c r="X112" s="2171"/>
      <c r="Y112" s="2171"/>
      <c r="Z112" s="4557" t="s">
        <v>684</v>
      </c>
      <c r="AA112" s="2155" t="s">
        <v>107</v>
      </c>
      <c r="AB112" s="1520" t="s">
        <v>1036</v>
      </c>
      <c r="AC112" s="1510">
        <v>3105</v>
      </c>
      <c r="AD112" s="1520" t="str">
        <f>AB112</f>
        <v>  Прочие собственные средства</v>
      </c>
      <c r="AE112" s="1510"/>
      <c r="AF112" s="2172"/>
      <c r="AG112" s="2100"/>
      <c r="AH112" s="2100"/>
      <c r="AI112" s="2172"/>
      <c r="AJ112" s="2100"/>
      <c r="AK112" s="2328"/>
      <c r="AL112" s="2329"/>
      <c r="AM112" s="2164"/>
      <c r="AN112" s="2164"/>
      <c r="AO112" s="2164"/>
      <c r="AP112" s="2164"/>
      <c r="AQ112" s="2164"/>
      <c r="AR112" s="2164"/>
      <c r="AS112" s="2164"/>
      <c r="AT112" s="2164"/>
      <c r="AU112" s="2164"/>
      <c r="AV112" s="2164"/>
      <c r="AW112" s="2164"/>
      <c r="AX112" s="2164"/>
      <c r="AY112" s="2164"/>
      <c r="AZ112" s="2164"/>
      <c r="BA112" s="2164"/>
      <c r="BB112" s="2164"/>
      <c r="BC112" s="2164"/>
      <c r="BD112" s="2164"/>
      <c r="BE112" s="2164"/>
      <c r="BF112" s="2164"/>
      <c r="BG112" s="4573"/>
    </row>
    <row customHeight="1" ht="11.25">
      <c r="A113" s="1507" t="s">
        <v>990</v>
      </c>
      <c r="B113" s="1507"/>
      <c r="C113" s="1507"/>
      <c r="D113" s="1501"/>
      <c r="E113" s="1511"/>
      <c r="F113" s="2170"/>
      <c r="G113" s="2171"/>
      <c r="H113" s="2856" t="s">
        <v>1049</v>
      </c>
      <c r="I113" s="2857"/>
      <c r="J113" s="4694"/>
      <c r="K113" s="2858"/>
      <c r="L113" s="2448"/>
      <c r="M113" s="2449"/>
      <c r="N113" s="2849"/>
      <c r="O113" s="2850"/>
      <c r="P113" s="2853"/>
      <c r="Q113" s="4672"/>
      <c r="R113" s="2854"/>
      <c r="S113" s="2855"/>
      <c r="T113" s="2854"/>
      <c r="U113" s="2854"/>
      <c r="V113" s="2854"/>
      <c r="W113" s="2854"/>
      <c r="X113" s="2854"/>
      <c r="Y113" s="2854"/>
      <c r="Z113" s="1516"/>
      <c r="AA113" s="1517"/>
      <c r="AB113" s="1582" t="s">
        <v>1037</v>
      </c>
      <c r="AC113" s="1521"/>
      <c r="AD113" s="1521"/>
      <c r="AE113" s="1523"/>
      <c r="AF113" s="2847"/>
      <c r="AG113" s="2848"/>
      <c r="AH113" s="2848"/>
      <c r="AI113" s="2847"/>
      <c r="AJ113" s="2848"/>
      <c r="AK113" s="2848"/>
      <c r="AL113" s="2329"/>
      <c r="AM113" s="2164"/>
      <c r="AN113" s="2164"/>
      <c r="AO113" s="2164"/>
      <c r="AP113" s="2164"/>
      <c r="AQ113" s="2164"/>
      <c r="AR113" s="2164"/>
      <c r="AS113" s="2164"/>
      <c r="AT113" s="2164"/>
      <c r="AU113" s="2164"/>
      <c r="AV113" s="2164"/>
      <c r="AW113" s="2164"/>
      <c r="AX113" s="2164"/>
      <c r="AY113" s="2164"/>
      <c r="AZ113" s="2164"/>
      <c r="BA113" s="2164"/>
      <c r="BB113" s="2164"/>
      <c r="BC113" s="2164"/>
      <c r="BD113" s="2164"/>
      <c r="BE113" s="2164"/>
      <c r="BF113" s="2164"/>
      <c r="BG113" s="4573"/>
    </row>
    <row customHeight="1" ht="11.25">
      <c r="A114" s="1507" t="s">
        <v>990</v>
      </c>
      <c r="B114" s="1507"/>
      <c r="C114" s="1507"/>
      <c r="D114" s="1501"/>
      <c r="E114" s="1511"/>
      <c r="F114" s="2170"/>
      <c r="G114" s="2171"/>
      <c r="H114" s="2856" t="s">
        <v>1049</v>
      </c>
      <c r="I114" s="2857"/>
      <c r="J114" s="4694"/>
      <c r="K114" s="2858"/>
      <c r="L114" s="2448"/>
      <c r="M114" s="2449"/>
      <c r="N114" s="1516"/>
      <c r="O114" s="1517"/>
      <c r="P114" s="1509" t="s">
        <v>1038</v>
      </c>
      <c r="Q114" s="1517"/>
      <c r="R114" s="1517"/>
      <c r="S114" s="1517"/>
      <c r="T114" s="1517"/>
      <c r="U114" s="1517"/>
      <c r="V114" s="1517"/>
      <c r="W114" s="1517"/>
      <c r="X114" s="1517"/>
      <c r="Y114" s="1517"/>
      <c r="Z114" s="1517"/>
      <c r="AA114" s="1517"/>
      <c r="AB114" s="1517"/>
      <c r="AC114" s="1517"/>
      <c r="AD114" s="1517"/>
      <c r="AE114" s="1524"/>
      <c r="AF114" s="2847"/>
      <c r="AG114" s="2848"/>
      <c r="AH114" s="2848"/>
      <c r="AI114" s="2847"/>
      <c r="AJ114" s="2848"/>
      <c r="AK114" s="2848"/>
      <c r="AL114" s="2329"/>
      <c r="AM114" s="2164"/>
      <c r="AN114" s="2164"/>
      <c r="AO114" s="2164"/>
      <c r="AP114" s="2164"/>
      <c r="AQ114" s="2164"/>
      <c r="AR114" s="2164"/>
      <c r="AS114" s="2164"/>
      <c r="AT114" s="2164"/>
      <c r="AU114" s="2164"/>
      <c r="AV114" s="2164"/>
      <c r="AW114" s="2164"/>
      <c r="AX114" s="2164"/>
      <c r="AY114" s="2164"/>
      <c r="AZ114" s="2164"/>
      <c r="BA114" s="2164"/>
      <c r="BB114" s="2164"/>
      <c r="BC114" s="2164"/>
      <c r="BD114" s="2164"/>
      <c r="BE114" s="2164"/>
      <c r="BF114" s="2164"/>
      <c r="BG114" s="4573"/>
    </row>
    <row customHeight="1" ht="11.25">
      <c r="A115" s="1507" t="s">
        <v>990</v>
      </c>
      <c r="B115" s="1507" t="s">
        <v>22</v>
      </c>
      <c r="C115" s="1507"/>
      <c r="D115" s="1501"/>
      <c r="E115" s="1511"/>
      <c r="F115" s="2170"/>
      <c r="G115" s="4557" t="s">
        <v>684</v>
      </c>
      <c r="H115" s="2856" t="s">
        <v>1100</v>
      </c>
      <c r="I115" s="2857" t="s">
        <v>1096</v>
      </c>
      <c r="J115" s="4694" t="s">
        <v>22</v>
      </c>
      <c r="K115" s="2858" t="s">
        <v>1101</v>
      </c>
      <c r="L115" s="2448" t="s">
        <v>19</v>
      </c>
      <c r="M115" s="2449"/>
      <c r="N115" s="2327"/>
      <c r="O115" s="1518" t="s">
        <v>371</v>
      </c>
      <c r="P115" s="1519"/>
      <c r="Q115" s="1519"/>
      <c r="R115" s="1519"/>
      <c r="S115" s="1519"/>
      <c r="T115" s="1519"/>
      <c r="U115" s="1519"/>
      <c r="V115" s="1519"/>
      <c r="W115" s="1519"/>
      <c r="X115" s="1519"/>
      <c r="Y115" s="1519"/>
      <c r="Z115" s="1519"/>
      <c r="AA115" s="1519"/>
      <c r="AB115" s="1519"/>
      <c r="AC115" s="1519"/>
      <c r="AD115" s="1519"/>
      <c r="AE115" s="1519"/>
      <c r="AF115" s="2847">
        <v>2</v>
      </c>
      <c r="AG115" s="2848" t="s">
        <v>1026</v>
      </c>
      <c r="AH115" s="2848" t="s">
        <v>1053</v>
      </c>
      <c r="AI115" s="2847"/>
      <c r="AJ115" s="2848"/>
      <c r="AK115" s="2848"/>
      <c r="AL115" s="2329"/>
      <c r="AM115" s="2164"/>
      <c r="AN115" s="2164"/>
      <c r="AO115" s="2164"/>
      <c r="AP115" s="2164"/>
      <c r="AQ115" s="2164"/>
      <c r="AR115" s="2164"/>
      <c r="AS115" s="2164"/>
      <c r="AT115" s="2164"/>
      <c r="AU115" s="2164"/>
      <c r="AV115" s="2164"/>
      <c r="AW115" s="2164"/>
      <c r="AX115" s="2164"/>
      <c r="AY115" s="2164"/>
      <c r="AZ115" s="2164"/>
      <c r="BA115" s="2164"/>
      <c r="BB115" s="2164"/>
      <c r="BC115" s="2164"/>
      <c r="BD115" s="2164"/>
      <c r="BE115" s="2164"/>
      <c r="BF115" s="2164"/>
      <c r="BG115" s="4573"/>
    </row>
    <row customHeight="1" ht="11.25">
      <c r="A116" s="1507" t="s">
        <v>990</v>
      </c>
      <c r="B116" s="1507"/>
      <c r="C116" s="1507"/>
      <c r="D116" s="1501"/>
      <c r="E116" s="1511"/>
      <c r="F116" s="2170"/>
      <c r="G116" s="2171"/>
      <c r="H116" s="2856" t="s">
        <v>1098</v>
      </c>
      <c r="I116" s="2857"/>
      <c r="J116" s="4694"/>
      <c r="K116" s="2858"/>
      <c r="L116" s="2448"/>
      <c r="M116" s="2449"/>
      <c r="N116" s="2849"/>
      <c r="O116" s="2850">
        <v>1</v>
      </c>
      <c r="P116" s="2851" t="s">
        <v>65</v>
      </c>
      <c r="Q116" s="4672" t="s">
        <v>1073</v>
      </c>
      <c r="R116" s="4673" t="s">
        <v>1042</v>
      </c>
      <c r="S116" s="4673" t="s">
        <v>1074</v>
      </c>
      <c r="T116" s="4673" t="s">
        <v>1075</v>
      </c>
      <c r="U116" s="4673" t="s">
        <v>1076</v>
      </c>
      <c r="V116" s="4673" t="s">
        <v>1077</v>
      </c>
      <c r="W116" s="4673" t="s">
        <v>1078</v>
      </c>
      <c r="X116" s="4673" t="s">
        <v>1079</v>
      </c>
      <c r="Y116" s="4673" t="s">
        <v>107</v>
      </c>
      <c r="Z116" s="1516"/>
      <c r="AA116" s="1517"/>
      <c r="AB116" s="1517"/>
      <c r="AC116" s="1521"/>
      <c r="AD116" s="1521"/>
      <c r="AE116" s="1522"/>
      <c r="AF116" s="2847"/>
      <c r="AG116" s="2848"/>
      <c r="AH116" s="2848"/>
      <c r="AI116" s="2847"/>
      <c r="AJ116" s="2848"/>
      <c r="AK116" s="2848"/>
      <c r="AL116" s="2329"/>
      <c r="AM116" s="2164"/>
      <c r="AN116" s="2164"/>
      <c r="AO116" s="2164"/>
      <c r="AP116" s="2164"/>
      <c r="AQ116" s="2164"/>
      <c r="AR116" s="2164"/>
      <c r="AS116" s="2164"/>
      <c r="AT116" s="2164"/>
      <c r="AU116" s="2164"/>
      <c r="AV116" s="2164"/>
      <c r="AW116" s="2164"/>
      <c r="AX116" s="2164"/>
      <c r="AY116" s="2164"/>
      <c r="AZ116" s="2164"/>
      <c r="BA116" s="2164"/>
      <c r="BB116" s="2164"/>
      <c r="BC116" s="2164"/>
      <c r="BD116" s="2164"/>
      <c r="BE116" s="2164"/>
      <c r="BF116" s="2164"/>
      <c r="BG116" s="4573"/>
    </row>
    <row customHeight="1" ht="11.25">
      <c r="A117" s="1507" t="s">
        <v>990</v>
      </c>
      <c r="B117" s="1507"/>
      <c r="C117" s="1507"/>
      <c r="D117" s="1501"/>
      <c r="E117" s="1511"/>
      <c r="F117" s="2170"/>
      <c r="G117" s="2171"/>
      <c r="H117" s="2856" t="s">
        <v>1098</v>
      </c>
      <c r="I117" s="2857"/>
      <c r="J117" s="4694"/>
      <c r="K117" s="2858"/>
      <c r="L117" s="2448"/>
      <c r="M117" s="2449"/>
      <c r="N117" s="2849"/>
      <c r="O117" s="2850"/>
      <c r="P117" s="2852"/>
      <c r="Q117" s="4672"/>
      <c r="R117" s="2854"/>
      <c r="S117" s="2855"/>
      <c r="T117" s="2854"/>
      <c r="U117" s="2854"/>
      <c r="V117" s="2854"/>
      <c r="W117" s="2854"/>
      <c r="X117" s="2854"/>
      <c r="Y117" s="2854"/>
      <c r="Z117" s="2169"/>
      <c r="AA117" s="2135">
        <v>1</v>
      </c>
      <c r="AB117" s="1520" t="s">
        <v>1080</v>
      </c>
      <c r="AC117" s="1510">
        <v>23009.33962</v>
      </c>
      <c r="AD117" s="1520" t="str">
        <f>AB117</f>
        <v>  Кредиты</v>
      </c>
      <c r="AE117" s="1510"/>
      <c r="AF117" s="2847"/>
      <c r="AG117" s="2848"/>
      <c r="AH117" s="2848"/>
      <c r="AI117" s="2847"/>
      <c r="AJ117" s="2848"/>
      <c r="AK117" s="2848"/>
      <c r="AL117" s="2329"/>
      <c r="AM117" s="2164"/>
      <c r="AN117" s="2164"/>
      <c r="AO117" s="2164"/>
      <c r="AP117" s="2164"/>
      <c r="AQ117" s="2164"/>
      <c r="AR117" s="2164"/>
      <c r="AS117" s="2164"/>
      <c r="AT117" s="2164"/>
      <c r="AU117" s="2164"/>
      <c r="AV117" s="2164"/>
      <c r="AW117" s="2164"/>
      <c r="AX117" s="2164"/>
      <c r="AY117" s="2164"/>
      <c r="AZ117" s="2164"/>
      <c r="BA117" s="2164"/>
      <c r="BB117" s="2164"/>
      <c r="BC117" s="2164"/>
      <c r="BD117" s="2164"/>
      <c r="BE117" s="2164"/>
      <c r="BF117" s="2164"/>
      <c r="BG117" s="4573"/>
    </row>
    <row customHeight="1" ht="11.25">
      <c r="A118" s="1507" t="s">
        <v>990</v>
      </c>
      <c r="B118" s="1507"/>
      <c r="C118" s="1507"/>
      <c r="D118" s="1501"/>
      <c r="E118" s="1511"/>
      <c r="F118" s="2170"/>
      <c r="G118" s="2171"/>
      <c r="H118" s="2856" t="s">
        <v>1098</v>
      </c>
      <c r="I118" s="2857"/>
      <c r="J118" s="4694"/>
      <c r="K118" s="2858"/>
      <c r="L118" s="2448"/>
      <c r="M118" s="2449"/>
      <c r="N118" s="2849"/>
      <c r="O118" s="2850"/>
      <c r="P118" s="2853"/>
      <c r="Q118" s="4672"/>
      <c r="R118" s="2854"/>
      <c r="S118" s="2855"/>
      <c r="T118" s="2854"/>
      <c r="U118" s="2854"/>
      <c r="V118" s="2854"/>
      <c r="W118" s="2854"/>
      <c r="X118" s="2854"/>
      <c r="Y118" s="2854"/>
      <c r="Z118" s="1516"/>
      <c r="AA118" s="1517"/>
      <c r="AB118" s="1582" t="s">
        <v>1037</v>
      </c>
      <c r="AC118" s="1521"/>
      <c r="AD118" s="1521"/>
      <c r="AE118" s="1523"/>
      <c r="AF118" s="2847"/>
      <c r="AG118" s="2848"/>
      <c r="AH118" s="2848"/>
      <c r="AI118" s="2847"/>
      <c r="AJ118" s="2848"/>
      <c r="AK118" s="2848"/>
      <c r="AL118" s="2329"/>
      <c r="AM118" s="2164"/>
      <c r="AN118" s="2164"/>
      <c r="AO118" s="2164"/>
      <c r="AP118" s="2164"/>
      <c r="AQ118" s="2164"/>
      <c r="AR118" s="2164"/>
      <c r="AS118" s="2164"/>
      <c r="AT118" s="2164"/>
      <c r="AU118" s="2164"/>
      <c r="AV118" s="2164"/>
      <c r="AW118" s="2164"/>
      <c r="AX118" s="2164"/>
      <c r="AY118" s="2164"/>
      <c r="AZ118" s="2164"/>
      <c r="BA118" s="2164"/>
      <c r="BB118" s="2164"/>
      <c r="BC118" s="2164"/>
      <c r="BD118" s="2164"/>
      <c r="BE118" s="2164"/>
      <c r="BF118" s="2164"/>
      <c r="BG118" s="4573"/>
    </row>
    <row customHeight="1" ht="11.25">
      <c r="A119" s="1507" t="s">
        <v>990</v>
      </c>
      <c r="B119" s="1507"/>
      <c r="C119" s="1507"/>
      <c r="D119" s="1501"/>
      <c r="E119" s="1511"/>
      <c r="F119" s="2170"/>
      <c r="G119" s="2171"/>
      <c r="H119" s="2856" t="s">
        <v>1098</v>
      </c>
      <c r="I119" s="2857"/>
      <c r="J119" s="4694"/>
      <c r="K119" s="2858"/>
      <c r="L119" s="2448"/>
      <c r="M119" s="2449"/>
      <c r="N119" s="1516"/>
      <c r="O119" s="1517"/>
      <c r="P119" s="1509" t="s">
        <v>1038</v>
      </c>
      <c r="Q119" s="1517"/>
      <c r="R119" s="1517"/>
      <c r="S119" s="1517"/>
      <c r="T119" s="1517"/>
      <c r="U119" s="1517"/>
      <c r="V119" s="1517"/>
      <c r="W119" s="1517"/>
      <c r="X119" s="1517"/>
      <c r="Y119" s="1517"/>
      <c r="Z119" s="1517"/>
      <c r="AA119" s="1517"/>
      <c r="AB119" s="1517"/>
      <c r="AC119" s="1517"/>
      <c r="AD119" s="1517"/>
      <c r="AE119" s="1524"/>
      <c r="AF119" s="2847"/>
      <c r="AG119" s="2848"/>
      <c r="AH119" s="2848"/>
      <c r="AI119" s="2847"/>
      <c r="AJ119" s="2848"/>
      <c r="AK119" s="2848"/>
      <c r="AL119" s="2329"/>
      <c r="AM119" s="2164"/>
      <c r="AN119" s="2164"/>
      <c r="AO119" s="2164"/>
      <c r="AP119" s="2164"/>
      <c r="AQ119" s="2164"/>
      <c r="AR119" s="2164"/>
      <c r="AS119" s="2164"/>
      <c r="AT119" s="2164"/>
      <c r="AU119" s="2164"/>
      <c r="AV119" s="2164"/>
      <c r="AW119" s="2164"/>
      <c r="AX119" s="2164"/>
      <c r="AY119" s="2164"/>
      <c r="AZ119" s="2164"/>
      <c r="BA119" s="2164"/>
      <c r="BB119" s="2164"/>
      <c r="BC119" s="2164"/>
      <c r="BD119" s="2164"/>
      <c r="BE119" s="2164"/>
      <c r="BF119" s="2164"/>
      <c r="BG119" s="4573"/>
    </row>
    <row customHeight="1" ht="11.25">
      <c r="A120" s="1507" t="s">
        <v>990</v>
      </c>
      <c r="B120" s="1507" t="s">
        <v>1022</v>
      </c>
      <c r="C120" s="1507"/>
      <c r="D120" s="1501"/>
      <c r="E120" s="1511"/>
      <c r="F120" s="2170"/>
      <c r="G120" s="4557" t="s">
        <v>684</v>
      </c>
      <c r="H120" s="2856" t="s">
        <v>1102</v>
      </c>
      <c r="I120" s="2857" t="s">
        <v>1023</v>
      </c>
      <c r="J120" s="2826" t="s">
        <v>1071</v>
      </c>
      <c r="K120" s="2858" t="s">
        <v>1103</v>
      </c>
      <c r="L120" s="2448" t="s">
        <v>19</v>
      </c>
      <c r="M120" s="2449"/>
      <c r="N120" s="2327"/>
      <c r="O120" s="1518" t="s">
        <v>371</v>
      </c>
      <c r="P120" s="1519"/>
      <c r="Q120" s="1519"/>
      <c r="R120" s="1519"/>
      <c r="S120" s="1519"/>
      <c r="T120" s="1519"/>
      <c r="U120" s="1519"/>
      <c r="V120" s="1519"/>
      <c r="W120" s="1519"/>
      <c r="X120" s="1519"/>
      <c r="Y120" s="1519"/>
      <c r="Z120" s="1519"/>
      <c r="AA120" s="1519"/>
      <c r="AB120" s="1519"/>
      <c r="AC120" s="1519"/>
      <c r="AD120" s="1519"/>
      <c r="AE120" s="1519"/>
      <c r="AF120" s="2847">
        <v>6</v>
      </c>
      <c r="AG120" s="2848" t="s">
        <v>1067</v>
      </c>
      <c r="AH120" s="2848" t="s">
        <v>1104</v>
      </c>
      <c r="AI120" s="2847"/>
      <c r="AJ120" s="2848"/>
      <c r="AK120" s="2848"/>
      <c r="AL120" s="2329"/>
      <c r="AM120" s="2164"/>
      <c r="AN120" s="2164"/>
      <c r="AO120" s="2164"/>
      <c r="AP120" s="2164"/>
      <c r="AQ120" s="2164"/>
      <c r="AR120" s="2164"/>
      <c r="AS120" s="2164"/>
      <c r="AT120" s="2164"/>
      <c r="AU120" s="2164"/>
      <c r="AV120" s="2164"/>
      <c r="AW120" s="2164"/>
      <c r="AX120" s="2164"/>
      <c r="AY120" s="2164"/>
      <c r="AZ120" s="2164"/>
      <c r="BA120" s="2164"/>
      <c r="BB120" s="2164"/>
      <c r="BC120" s="2164"/>
      <c r="BD120" s="2164"/>
      <c r="BE120" s="2164"/>
      <c r="BF120" s="2164"/>
      <c r="BG120" s="4573"/>
    </row>
    <row customHeight="1" ht="11.25">
      <c r="A121" s="1507" t="s">
        <v>990</v>
      </c>
      <c r="B121" s="1507"/>
      <c r="C121" s="1507"/>
      <c r="D121" s="1501"/>
      <c r="E121" s="1511"/>
      <c r="F121" s="2170"/>
      <c r="G121" s="2171"/>
      <c r="H121" s="2856" t="s">
        <v>1100</v>
      </c>
      <c r="I121" s="2857"/>
      <c r="J121" s="2826"/>
      <c r="K121" s="2858"/>
      <c r="L121" s="2448"/>
      <c r="M121" s="2449"/>
      <c r="N121" s="2849"/>
      <c r="O121" s="2850">
        <v>1</v>
      </c>
      <c r="P121" s="2851" t="s">
        <v>65</v>
      </c>
      <c r="Q121" s="4672" t="s">
        <v>1105</v>
      </c>
      <c r="R121" s="4673" t="s">
        <v>1083</v>
      </c>
      <c r="S121" s="4673" t="s">
        <v>1030</v>
      </c>
      <c r="T121" s="4673" t="s">
        <v>1030</v>
      </c>
      <c r="U121" s="4673" t="s">
        <v>1031</v>
      </c>
      <c r="V121" s="4673" t="s">
        <v>1032</v>
      </c>
      <c r="W121" s="4673" t="s">
        <v>1033</v>
      </c>
      <c r="X121" s="4673" t="s">
        <v>1106</v>
      </c>
      <c r="Y121" s="4673" t="s">
        <v>1107</v>
      </c>
      <c r="Z121" s="1516"/>
      <c r="AA121" s="1517"/>
      <c r="AB121" s="1517"/>
      <c r="AC121" s="1521"/>
      <c r="AD121" s="1521"/>
      <c r="AE121" s="1522"/>
      <c r="AF121" s="2847"/>
      <c r="AG121" s="2848"/>
      <c r="AH121" s="2848"/>
      <c r="AI121" s="2847"/>
      <c r="AJ121" s="2848"/>
      <c r="AK121" s="2848"/>
      <c r="AL121" s="2329"/>
      <c r="AM121" s="2164"/>
      <c r="AN121" s="2164"/>
      <c r="AO121" s="2164"/>
      <c r="AP121" s="2164"/>
      <c r="AQ121" s="2164"/>
      <c r="AR121" s="2164"/>
      <c r="AS121" s="2164"/>
      <c r="AT121" s="2164"/>
      <c r="AU121" s="2164"/>
      <c r="AV121" s="2164"/>
      <c r="AW121" s="2164"/>
      <c r="AX121" s="2164"/>
      <c r="AY121" s="2164"/>
      <c r="AZ121" s="2164"/>
      <c r="BA121" s="2164"/>
      <c r="BB121" s="2164"/>
      <c r="BC121" s="2164"/>
      <c r="BD121" s="2164"/>
      <c r="BE121" s="2164"/>
      <c r="BF121" s="2164"/>
      <c r="BG121" s="4573"/>
    </row>
    <row customHeight="1" ht="11.25">
      <c r="A122" s="1507" t="s">
        <v>990</v>
      </c>
      <c r="B122" s="1507"/>
      <c r="C122" s="1507"/>
      <c r="D122" s="1501"/>
      <c r="E122" s="1511"/>
      <c r="F122" s="2170"/>
      <c r="G122" s="2171"/>
      <c r="H122" s="2856" t="s">
        <v>1100</v>
      </c>
      <c r="I122" s="2857"/>
      <c r="J122" s="2826"/>
      <c r="K122" s="2858"/>
      <c r="L122" s="2448"/>
      <c r="M122" s="2449"/>
      <c r="N122" s="2849"/>
      <c r="O122" s="2850"/>
      <c r="P122" s="2852"/>
      <c r="Q122" s="4672"/>
      <c r="R122" s="2854"/>
      <c r="S122" s="2855"/>
      <c r="T122" s="2854"/>
      <c r="U122" s="2854"/>
      <c r="V122" s="2854"/>
      <c r="W122" s="2854"/>
      <c r="X122" s="2854"/>
      <c r="Y122" s="2854"/>
      <c r="Z122" s="2169"/>
      <c r="AA122" s="2135">
        <v>1</v>
      </c>
      <c r="AB122" s="1520" t="s">
        <v>1035</v>
      </c>
      <c r="AC122" s="1510">
        <v>407637.19933</v>
      </c>
      <c r="AD122" s="1520" t="str">
        <f>AB122</f>
        <v>      Амортизационные отчисления с выделением результатов переоценки основных средств и нематериальных активов</v>
      </c>
      <c r="AE122" s="1510"/>
      <c r="AF122" s="2847"/>
      <c r="AG122" s="2848"/>
      <c r="AH122" s="2848"/>
      <c r="AI122" s="2847"/>
      <c r="AJ122" s="2848"/>
      <c r="AK122" s="2848"/>
      <c r="AL122" s="2329"/>
      <c r="AM122" s="2164"/>
      <c r="AN122" s="2164"/>
      <c r="AO122" s="2164"/>
      <c r="AP122" s="2164"/>
      <c r="AQ122" s="2164"/>
      <c r="AR122" s="2164"/>
      <c r="AS122" s="2164"/>
      <c r="AT122" s="2164"/>
      <c r="AU122" s="2164"/>
      <c r="AV122" s="2164"/>
      <c r="AW122" s="2164"/>
      <c r="AX122" s="2164"/>
      <c r="AY122" s="2164"/>
      <c r="AZ122" s="2164"/>
      <c r="BA122" s="2164"/>
      <c r="BB122" s="2164"/>
      <c r="BC122" s="2164"/>
      <c r="BD122" s="2164"/>
      <c r="BE122" s="2164"/>
      <c r="BF122" s="2164"/>
      <c r="BG122" s="4573"/>
    </row>
    <row customHeight="1" ht="11.25">
      <c r="A123" s="1507" t="s">
        <v>990</v>
      </c>
      <c r="B123" s="1507"/>
      <c r="C123" s="1507"/>
      <c r="D123" s="1501"/>
      <c r="E123" s="1511"/>
      <c r="F123" s="2171"/>
      <c r="G123" s="2171"/>
      <c r="H123" s="2171"/>
      <c r="I123" s="2171"/>
      <c r="J123" s="2171"/>
      <c r="K123" s="2171"/>
      <c r="L123" s="2171"/>
      <c r="M123" s="2171"/>
      <c r="N123" s="2171"/>
      <c r="O123" s="2171"/>
      <c r="P123" s="2171"/>
      <c r="Q123" s="2171"/>
      <c r="R123" s="2171"/>
      <c r="S123" s="2171"/>
      <c r="T123" s="2171"/>
      <c r="U123" s="2171"/>
      <c r="V123" s="2171"/>
      <c r="W123" s="2171"/>
      <c r="X123" s="2171"/>
      <c r="Y123" s="2171"/>
      <c r="Z123" s="4557" t="s">
        <v>684</v>
      </c>
      <c r="AA123" s="2155" t="s">
        <v>107</v>
      </c>
      <c r="AB123" s="1520" t="s">
        <v>1036</v>
      </c>
      <c r="AC123" s="1510">
        <v>80002.64726</v>
      </c>
      <c r="AD123" s="1520" t="str">
        <f>AB123</f>
        <v>  Прочие собственные средства</v>
      </c>
      <c r="AE123" s="1510"/>
      <c r="AF123" s="2172"/>
      <c r="AG123" s="2100"/>
      <c r="AH123" s="2100"/>
      <c r="AI123" s="2172"/>
      <c r="AJ123" s="2100"/>
      <c r="AK123" s="2328"/>
      <c r="AL123" s="2329"/>
      <c r="AM123" s="2164"/>
      <c r="AN123" s="2164"/>
      <c r="AO123" s="2164"/>
      <c r="AP123" s="2164"/>
      <c r="AQ123" s="2164"/>
      <c r="AR123" s="2164"/>
      <c r="AS123" s="2164"/>
      <c r="AT123" s="2164"/>
      <c r="AU123" s="2164"/>
      <c r="AV123" s="2164"/>
      <c r="AW123" s="2164"/>
      <c r="AX123" s="2164"/>
      <c r="AY123" s="2164"/>
      <c r="AZ123" s="2164"/>
      <c r="BA123" s="2164"/>
      <c r="BB123" s="2164"/>
      <c r="BC123" s="2164"/>
      <c r="BD123" s="2164"/>
      <c r="BE123" s="2164"/>
      <c r="BF123" s="2164"/>
      <c r="BG123" s="4573"/>
    </row>
    <row customHeight="1" ht="11.25">
      <c r="A124" s="1507" t="s">
        <v>990</v>
      </c>
      <c r="B124" s="1507"/>
      <c r="C124" s="1507"/>
      <c r="D124" s="1501"/>
      <c r="E124" s="1511"/>
      <c r="F124" s="2170"/>
      <c r="G124" s="2171"/>
      <c r="H124" s="2856" t="s">
        <v>1100</v>
      </c>
      <c r="I124" s="2857"/>
      <c r="J124" s="2826"/>
      <c r="K124" s="2858"/>
      <c r="L124" s="2448"/>
      <c r="M124" s="2449"/>
      <c r="N124" s="2849"/>
      <c r="O124" s="2850"/>
      <c r="P124" s="2853"/>
      <c r="Q124" s="4672"/>
      <c r="R124" s="2854"/>
      <c r="S124" s="2855"/>
      <c r="T124" s="2854"/>
      <c r="U124" s="2854"/>
      <c r="V124" s="2854"/>
      <c r="W124" s="2854"/>
      <c r="X124" s="2854"/>
      <c r="Y124" s="2854"/>
      <c r="Z124" s="1516"/>
      <c r="AA124" s="1517"/>
      <c r="AB124" s="1582" t="s">
        <v>1037</v>
      </c>
      <c r="AC124" s="1521"/>
      <c r="AD124" s="1521"/>
      <c r="AE124" s="1523"/>
      <c r="AF124" s="2847"/>
      <c r="AG124" s="2848"/>
      <c r="AH124" s="2848"/>
      <c r="AI124" s="2847"/>
      <c r="AJ124" s="2848"/>
      <c r="AK124" s="2848"/>
      <c r="AL124" s="2329"/>
      <c r="AM124" s="2164"/>
      <c r="AN124" s="2164"/>
      <c r="AO124" s="2164"/>
      <c r="AP124" s="2164"/>
      <c r="AQ124" s="2164"/>
      <c r="AR124" s="2164"/>
      <c r="AS124" s="2164"/>
      <c r="AT124" s="2164"/>
      <c r="AU124" s="2164"/>
      <c r="AV124" s="2164"/>
      <c r="AW124" s="2164"/>
      <c r="AX124" s="2164"/>
      <c r="AY124" s="2164"/>
      <c r="AZ124" s="2164"/>
      <c r="BA124" s="2164"/>
      <c r="BB124" s="2164"/>
      <c r="BC124" s="2164"/>
      <c r="BD124" s="2164"/>
      <c r="BE124" s="2164"/>
      <c r="BF124" s="2164"/>
      <c r="BG124" s="4573"/>
    </row>
    <row customHeight="1" ht="11.25">
      <c r="A125" s="1507" t="s">
        <v>990</v>
      </c>
      <c r="B125" s="1507"/>
      <c r="C125" s="1507"/>
      <c r="D125" s="1501"/>
      <c r="E125" s="1511"/>
      <c r="F125" s="2170"/>
      <c r="G125" s="2171"/>
      <c r="H125" s="2856" t="s">
        <v>1100</v>
      </c>
      <c r="I125" s="2857"/>
      <c r="J125" s="2826"/>
      <c r="K125" s="2858"/>
      <c r="L125" s="2448"/>
      <c r="M125" s="2449"/>
      <c r="N125" s="1516"/>
      <c r="O125" s="1517"/>
      <c r="P125" s="1509" t="s">
        <v>1038</v>
      </c>
      <c r="Q125" s="1517"/>
      <c r="R125" s="1517"/>
      <c r="S125" s="1517"/>
      <c r="T125" s="1517"/>
      <c r="U125" s="1517"/>
      <c r="V125" s="1517"/>
      <c r="W125" s="1517"/>
      <c r="X125" s="1517"/>
      <c r="Y125" s="1517"/>
      <c r="Z125" s="1517"/>
      <c r="AA125" s="1517"/>
      <c r="AB125" s="1517"/>
      <c r="AC125" s="1517"/>
      <c r="AD125" s="1517"/>
      <c r="AE125" s="1524"/>
      <c r="AF125" s="2847"/>
      <c r="AG125" s="2848"/>
      <c r="AH125" s="2848"/>
      <c r="AI125" s="2847"/>
      <c r="AJ125" s="2848"/>
      <c r="AK125" s="2848"/>
      <c r="AL125" s="2329"/>
      <c r="AM125" s="2164"/>
      <c r="AN125" s="2164"/>
      <c r="AO125" s="2164"/>
      <c r="AP125" s="2164"/>
      <c r="AQ125" s="2164"/>
      <c r="AR125" s="2164"/>
      <c r="AS125" s="2164"/>
      <c r="AT125" s="2164"/>
      <c r="AU125" s="2164"/>
      <c r="AV125" s="2164"/>
      <c r="AW125" s="2164"/>
      <c r="AX125" s="2164"/>
      <c r="AY125" s="2164"/>
      <c r="AZ125" s="2164"/>
      <c r="BA125" s="2164"/>
      <c r="BB125" s="2164"/>
      <c r="BC125" s="2164"/>
      <c r="BD125" s="2164"/>
      <c r="BE125" s="2164"/>
      <c r="BF125" s="2164"/>
      <c r="BG125" s="4573"/>
    </row>
    <row customHeight="1" ht="11.25">
      <c r="A126" s="1507" t="s">
        <v>990</v>
      </c>
      <c r="B126" s="1507" t="s">
        <v>22</v>
      </c>
      <c r="C126" s="1507"/>
      <c r="D126" s="1501"/>
      <c r="E126" s="1511"/>
      <c r="F126" s="2170"/>
      <c r="G126" s="4557" t="s">
        <v>684</v>
      </c>
      <c r="H126" s="2856" t="s">
        <v>1108</v>
      </c>
      <c r="I126" s="2857" t="s">
        <v>1039</v>
      </c>
      <c r="J126" s="4694" t="s">
        <v>22</v>
      </c>
      <c r="K126" s="2858" t="s">
        <v>1109</v>
      </c>
      <c r="L126" s="2448" t="s">
        <v>19</v>
      </c>
      <c r="M126" s="2449"/>
      <c r="N126" s="2327"/>
      <c r="O126" s="1518" t="s">
        <v>371</v>
      </c>
      <c r="P126" s="1519"/>
      <c r="Q126" s="1519"/>
      <c r="R126" s="1519"/>
      <c r="S126" s="1519"/>
      <c r="T126" s="1519"/>
      <c r="U126" s="1519"/>
      <c r="V126" s="1519"/>
      <c r="W126" s="1519"/>
      <c r="X126" s="1519"/>
      <c r="Y126" s="1519"/>
      <c r="Z126" s="1519"/>
      <c r="AA126" s="1519"/>
      <c r="AB126" s="1519"/>
      <c r="AC126" s="1519"/>
      <c r="AD126" s="1519"/>
      <c r="AE126" s="1519"/>
      <c r="AF126" s="2847">
        <v>1</v>
      </c>
      <c r="AG126" s="2848" t="s">
        <v>1026</v>
      </c>
      <c r="AH126" s="2848" t="s">
        <v>1063</v>
      </c>
      <c r="AI126" s="2847"/>
      <c r="AJ126" s="2848"/>
      <c r="AK126" s="2848"/>
      <c r="AL126" s="2329"/>
      <c r="AM126" s="2164"/>
      <c r="AN126" s="2164"/>
      <c r="AO126" s="2164"/>
      <c r="AP126" s="2164"/>
      <c r="AQ126" s="2164"/>
      <c r="AR126" s="2164"/>
      <c r="AS126" s="2164"/>
      <c r="AT126" s="2164"/>
      <c r="AU126" s="2164"/>
      <c r="AV126" s="2164"/>
      <c r="AW126" s="2164"/>
      <c r="AX126" s="2164"/>
      <c r="AY126" s="2164"/>
      <c r="AZ126" s="2164"/>
      <c r="BA126" s="2164"/>
      <c r="BB126" s="2164"/>
      <c r="BC126" s="2164"/>
      <c r="BD126" s="2164"/>
      <c r="BE126" s="2164"/>
      <c r="BF126" s="2164"/>
      <c r="BG126" s="4573"/>
    </row>
    <row customHeight="1" ht="11.25">
      <c r="A127" s="1507" t="s">
        <v>990</v>
      </c>
      <c r="B127" s="1507"/>
      <c r="C127" s="1507"/>
      <c r="D127" s="1501"/>
      <c r="E127" s="1511"/>
      <c r="F127" s="2170"/>
      <c r="G127" s="2171"/>
      <c r="H127" s="2856" t="s">
        <v>1102</v>
      </c>
      <c r="I127" s="2857"/>
      <c r="J127" s="4694"/>
      <c r="K127" s="2858"/>
      <c r="L127" s="2448"/>
      <c r="M127" s="2449"/>
      <c r="N127" s="2849"/>
      <c r="O127" s="2850">
        <v>1</v>
      </c>
      <c r="P127" s="2851" t="s">
        <v>19</v>
      </c>
      <c r="Q127" s="7507" t="s">
        <v>22</v>
      </c>
      <c r="R127" s="7508" t="s">
        <v>22</v>
      </c>
      <c r="S127" s="7508" t="s">
        <v>22</v>
      </c>
      <c r="T127" s="7508" t="s">
        <v>22</v>
      </c>
      <c r="U127" s="7508" t="s">
        <v>22</v>
      </c>
      <c r="V127" s="7508" t="s">
        <v>22</v>
      </c>
      <c r="W127" s="7508" t="s">
        <v>22</v>
      </c>
      <c r="X127" s="7508" t="s">
        <v>22</v>
      </c>
      <c r="Y127" s="7508" t="s">
        <v>22</v>
      </c>
      <c r="Z127" s="1516"/>
      <c r="AA127" s="1517"/>
      <c r="AB127" s="1517"/>
      <c r="AC127" s="1521"/>
      <c r="AD127" s="1521"/>
      <c r="AE127" s="1522"/>
      <c r="AF127" s="2847"/>
      <c r="AG127" s="2848"/>
      <c r="AH127" s="2848"/>
      <c r="AI127" s="2847"/>
      <c r="AJ127" s="2848"/>
      <c r="AK127" s="2848"/>
      <c r="AL127" s="2329"/>
      <c r="AM127" s="2164"/>
      <c r="AN127" s="2164"/>
      <c r="AO127" s="2164"/>
      <c r="AP127" s="2164"/>
      <c r="AQ127" s="2164"/>
      <c r="AR127" s="2164"/>
      <c r="AS127" s="2164"/>
      <c r="AT127" s="2164"/>
      <c r="AU127" s="2164"/>
      <c r="AV127" s="2164"/>
      <c r="AW127" s="2164"/>
      <c r="AX127" s="2164"/>
      <c r="AY127" s="2164"/>
      <c r="AZ127" s="2164"/>
      <c r="BA127" s="2164"/>
      <c r="BB127" s="2164"/>
      <c r="BC127" s="2164"/>
      <c r="BD127" s="2164"/>
      <c r="BE127" s="2164"/>
      <c r="BF127" s="2164"/>
      <c r="BG127" s="4573"/>
    </row>
    <row customHeight="1" ht="11.25">
      <c r="A128" s="1507" t="s">
        <v>990</v>
      </c>
      <c r="B128" s="1507"/>
      <c r="C128" s="1507"/>
      <c r="D128" s="1501"/>
      <c r="E128" s="1511"/>
      <c r="F128" s="2170"/>
      <c r="G128" s="2171"/>
      <c r="H128" s="2856" t="s">
        <v>1102</v>
      </c>
      <c r="I128" s="2857"/>
      <c r="J128" s="4694"/>
      <c r="K128" s="2858"/>
      <c r="L128" s="2448"/>
      <c r="M128" s="2449"/>
      <c r="N128" s="2849"/>
      <c r="O128" s="2850"/>
      <c r="P128" s="2852"/>
      <c r="Q128" s="4672"/>
      <c r="R128" s="2854"/>
      <c r="S128" s="2855"/>
      <c r="T128" s="2854"/>
      <c r="U128" s="2854"/>
      <c r="V128" s="2854"/>
      <c r="W128" s="2854"/>
      <c r="X128" s="2854"/>
      <c r="Y128" s="2854"/>
      <c r="Z128" s="2169"/>
      <c r="AA128" s="2135">
        <v>1</v>
      </c>
      <c r="AB128" s="1520" t="s">
        <v>1035</v>
      </c>
      <c r="AC128" s="1510">
        <v>27084.523</v>
      </c>
      <c r="AD128" s="1520" t="str">
        <f>AB128</f>
        <v>      Амортизационные отчисления с выделением результатов переоценки основных средств и нематериальных активов</v>
      </c>
      <c r="AE128" s="1510"/>
      <c r="AF128" s="2847"/>
      <c r="AG128" s="2848"/>
      <c r="AH128" s="2848"/>
      <c r="AI128" s="2847"/>
      <c r="AJ128" s="2848"/>
      <c r="AK128" s="2848"/>
      <c r="AL128" s="2329"/>
      <c r="AM128" s="2164"/>
      <c r="AN128" s="2164"/>
      <c r="AO128" s="2164"/>
      <c r="AP128" s="2164"/>
      <c r="AQ128" s="2164"/>
      <c r="AR128" s="2164"/>
      <c r="AS128" s="2164"/>
      <c r="AT128" s="2164"/>
      <c r="AU128" s="2164"/>
      <c r="AV128" s="2164"/>
      <c r="AW128" s="2164"/>
      <c r="AX128" s="2164"/>
      <c r="AY128" s="2164"/>
      <c r="AZ128" s="2164"/>
      <c r="BA128" s="2164"/>
      <c r="BB128" s="2164"/>
      <c r="BC128" s="2164"/>
      <c r="BD128" s="2164"/>
      <c r="BE128" s="2164"/>
      <c r="BF128" s="2164"/>
      <c r="BG128" s="4573"/>
    </row>
    <row customHeight="1" ht="11.25">
      <c r="A129" s="1507" t="s">
        <v>990</v>
      </c>
      <c r="B129" s="1507"/>
      <c r="C129" s="1507"/>
      <c r="D129" s="1501"/>
      <c r="E129" s="1511"/>
      <c r="F129" s="2171"/>
      <c r="G129" s="2171"/>
      <c r="H129" s="2171"/>
      <c r="I129" s="2171"/>
      <c r="J129" s="2171"/>
      <c r="K129" s="2171"/>
      <c r="L129" s="2171"/>
      <c r="M129" s="2171"/>
      <c r="N129" s="2171"/>
      <c r="O129" s="2171"/>
      <c r="P129" s="2171"/>
      <c r="Q129" s="2171"/>
      <c r="R129" s="2171"/>
      <c r="S129" s="2171"/>
      <c r="T129" s="2171"/>
      <c r="U129" s="2171"/>
      <c r="V129" s="2171"/>
      <c r="W129" s="2171"/>
      <c r="X129" s="2171"/>
      <c r="Y129" s="2171"/>
      <c r="Z129" s="4557" t="s">
        <v>684</v>
      </c>
      <c r="AA129" s="2155" t="s">
        <v>107</v>
      </c>
      <c r="AB129" s="1520" t="s">
        <v>1036</v>
      </c>
      <c r="AC129" s="1510">
        <v>57901.74758</v>
      </c>
      <c r="AD129" s="1520" t="str">
        <f>AB129</f>
        <v>  Прочие собственные средства</v>
      </c>
      <c r="AE129" s="1510"/>
      <c r="AF129" s="2172"/>
      <c r="AG129" s="2100"/>
      <c r="AH129" s="2100"/>
      <c r="AI129" s="2172"/>
      <c r="AJ129" s="2100"/>
      <c r="AK129" s="2328"/>
      <c r="AL129" s="2329"/>
      <c r="AM129" s="2164"/>
      <c r="AN129" s="2164"/>
      <c r="AO129" s="2164"/>
      <c r="AP129" s="2164"/>
      <c r="AQ129" s="2164"/>
      <c r="AR129" s="2164"/>
      <c r="AS129" s="2164"/>
      <c r="AT129" s="2164"/>
      <c r="AU129" s="2164"/>
      <c r="AV129" s="2164"/>
      <c r="AW129" s="2164"/>
      <c r="AX129" s="2164"/>
      <c r="AY129" s="2164"/>
      <c r="AZ129" s="2164"/>
      <c r="BA129" s="2164"/>
      <c r="BB129" s="2164"/>
      <c r="BC129" s="2164"/>
      <c r="BD129" s="2164"/>
      <c r="BE129" s="2164"/>
      <c r="BF129" s="2164"/>
      <c r="BG129" s="4573"/>
    </row>
    <row customHeight="1" ht="11.25">
      <c r="A130" s="1507" t="s">
        <v>990</v>
      </c>
      <c r="B130" s="1507"/>
      <c r="C130" s="1507"/>
      <c r="D130" s="1501"/>
      <c r="E130" s="1511"/>
      <c r="F130" s="2170"/>
      <c r="G130" s="2171"/>
      <c r="H130" s="2856" t="s">
        <v>1102</v>
      </c>
      <c r="I130" s="2857"/>
      <c r="J130" s="4694"/>
      <c r="K130" s="2858"/>
      <c r="L130" s="2448"/>
      <c r="M130" s="2449"/>
      <c r="N130" s="2849"/>
      <c r="O130" s="2850"/>
      <c r="P130" s="2853"/>
      <c r="Q130" s="4672"/>
      <c r="R130" s="2854"/>
      <c r="S130" s="2855"/>
      <c r="T130" s="2854"/>
      <c r="U130" s="2854"/>
      <c r="V130" s="2854"/>
      <c r="W130" s="2854"/>
      <c r="X130" s="2854"/>
      <c r="Y130" s="2854"/>
      <c r="Z130" s="1516"/>
      <c r="AA130" s="1517"/>
      <c r="AB130" s="1582" t="s">
        <v>1037</v>
      </c>
      <c r="AC130" s="1521"/>
      <c r="AD130" s="1521"/>
      <c r="AE130" s="1523"/>
      <c r="AF130" s="2847"/>
      <c r="AG130" s="2848"/>
      <c r="AH130" s="2848"/>
      <c r="AI130" s="2847"/>
      <c r="AJ130" s="2848"/>
      <c r="AK130" s="2848"/>
      <c r="AL130" s="2329"/>
      <c r="AM130" s="2164"/>
      <c r="AN130" s="2164"/>
      <c r="AO130" s="2164"/>
      <c r="AP130" s="2164"/>
      <c r="AQ130" s="2164"/>
      <c r="AR130" s="2164"/>
      <c r="AS130" s="2164"/>
      <c r="AT130" s="2164"/>
      <c r="AU130" s="2164"/>
      <c r="AV130" s="2164"/>
      <c r="AW130" s="2164"/>
      <c r="AX130" s="2164"/>
      <c r="AY130" s="2164"/>
      <c r="AZ130" s="2164"/>
      <c r="BA130" s="2164"/>
      <c r="BB130" s="2164"/>
      <c r="BC130" s="2164"/>
      <c r="BD130" s="2164"/>
      <c r="BE130" s="2164"/>
      <c r="BF130" s="2164"/>
      <c r="BG130" s="4573"/>
    </row>
    <row customHeight="1" ht="11.25">
      <c r="A131" s="1507" t="s">
        <v>990</v>
      </c>
      <c r="B131" s="1507"/>
      <c r="C131" s="1507"/>
      <c r="D131" s="1501"/>
      <c r="E131" s="1511"/>
      <c r="F131" s="2170"/>
      <c r="G131" s="2171"/>
      <c r="H131" s="2856" t="s">
        <v>1102</v>
      </c>
      <c r="I131" s="2857"/>
      <c r="J131" s="4694"/>
      <c r="K131" s="2858"/>
      <c r="L131" s="2448"/>
      <c r="M131" s="2449"/>
      <c r="N131" s="1516"/>
      <c r="O131" s="1517"/>
      <c r="P131" s="1509" t="s">
        <v>1038</v>
      </c>
      <c r="Q131" s="1517"/>
      <c r="R131" s="1517"/>
      <c r="S131" s="1517"/>
      <c r="T131" s="1517"/>
      <c r="U131" s="1517"/>
      <c r="V131" s="1517"/>
      <c r="W131" s="1517"/>
      <c r="X131" s="1517"/>
      <c r="Y131" s="1517"/>
      <c r="Z131" s="1517"/>
      <c r="AA131" s="1517"/>
      <c r="AB131" s="1517"/>
      <c r="AC131" s="1517"/>
      <c r="AD131" s="1517"/>
      <c r="AE131" s="1524"/>
      <c r="AF131" s="2847"/>
      <c r="AG131" s="2848"/>
      <c r="AH131" s="2848"/>
      <c r="AI131" s="2847"/>
      <c r="AJ131" s="2848"/>
      <c r="AK131" s="2848"/>
      <c r="AL131" s="2329"/>
      <c r="AM131" s="2164"/>
      <c r="AN131" s="2164"/>
      <c r="AO131" s="2164"/>
      <c r="AP131" s="2164"/>
      <c r="AQ131" s="2164"/>
      <c r="AR131" s="2164"/>
      <c r="AS131" s="2164"/>
      <c r="AT131" s="2164"/>
      <c r="AU131" s="2164"/>
      <c r="AV131" s="2164"/>
      <c r="AW131" s="2164"/>
      <c r="AX131" s="2164"/>
      <c r="AY131" s="2164"/>
      <c r="AZ131" s="2164"/>
      <c r="BA131" s="2164"/>
      <c r="BB131" s="2164"/>
      <c r="BC131" s="2164"/>
      <c r="BD131" s="2164"/>
      <c r="BE131" s="2164"/>
      <c r="BF131" s="2164"/>
      <c r="BG131" s="4573"/>
    </row>
    <row customHeight="1" ht="11.25">
      <c r="A132" s="1507" t="s">
        <v>990</v>
      </c>
      <c r="B132" s="1507" t="s">
        <v>1022</v>
      </c>
      <c r="C132" s="1507"/>
      <c r="D132" s="1501"/>
      <c r="E132" s="1511"/>
      <c r="F132" s="2170"/>
      <c r="G132" s="7510" t="s">
        <v>684</v>
      </c>
      <c r="H132" s="2856" t="s">
        <v>1110</v>
      </c>
      <c r="I132" s="2857" t="s">
        <v>1023</v>
      </c>
      <c r="J132" s="2826" t="s">
        <v>1024</v>
      </c>
      <c r="K132" s="2858" t="s">
        <v>1111</v>
      </c>
      <c r="L132" s="2448" t="s">
        <v>19</v>
      </c>
      <c r="M132" s="2449"/>
      <c r="N132" s="2327"/>
      <c r="O132" s="1518" t="s">
        <v>371</v>
      </c>
      <c r="P132" s="1519"/>
      <c r="Q132" s="1519"/>
      <c r="R132" s="1519"/>
      <c r="S132" s="1519"/>
      <c r="T132" s="1519"/>
      <c r="U132" s="1519"/>
      <c r="V132" s="1519"/>
      <c r="W132" s="1519"/>
      <c r="X132" s="1519"/>
      <c r="Y132" s="1519"/>
      <c r="Z132" s="1519"/>
      <c r="AA132" s="1519"/>
      <c r="AB132" s="1519"/>
      <c r="AC132" s="1519"/>
      <c r="AD132" s="1519"/>
      <c r="AE132" s="1519"/>
      <c r="AF132" s="2847">
        <v>1</v>
      </c>
      <c r="AG132" s="2848" t="s">
        <v>1026</v>
      </c>
      <c r="AH132" s="2848" t="s">
        <v>1063</v>
      </c>
      <c r="AI132" s="2847"/>
      <c r="AJ132" s="2848"/>
      <c r="AK132" s="2848"/>
      <c r="AL132" s="2329"/>
      <c r="AM132" s="2164"/>
      <c r="AN132" s="2164"/>
      <c r="AO132" s="2164"/>
      <c r="AP132" s="2164"/>
      <c r="AQ132" s="2164"/>
      <c r="AR132" s="2164"/>
      <c r="AS132" s="2164"/>
      <c r="AT132" s="2164"/>
      <c r="AU132" s="2164"/>
      <c r="AV132" s="2164"/>
      <c r="AW132" s="2164"/>
      <c r="AX132" s="2164"/>
      <c r="AY132" s="2164"/>
      <c r="AZ132" s="2164"/>
      <c r="BA132" s="2164"/>
      <c r="BB132" s="2164"/>
      <c r="BC132" s="2164"/>
      <c r="BD132" s="2164"/>
      <c r="BE132" s="2164"/>
      <c r="BF132" s="2164"/>
      <c r="BG132" s="7511"/>
    </row>
    <row customHeight="1" ht="11.25">
      <c r="A133" s="1507" t="s">
        <v>990</v>
      </c>
      <c r="B133" s="1507"/>
      <c r="C133" s="1507"/>
      <c r="D133" s="1501"/>
      <c r="E133" s="1511"/>
      <c r="F133" s="2170"/>
      <c r="G133" s="2171"/>
      <c r="H133" s="2856" t="s">
        <v>1108</v>
      </c>
      <c r="I133" s="2857"/>
      <c r="J133" s="2826"/>
      <c r="K133" s="2858"/>
      <c r="L133" s="2448"/>
      <c r="M133" s="2449"/>
      <c r="N133" s="2849"/>
      <c r="O133" s="2850">
        <v>1</v>
      </c>
      <c r="P133" s="2851" t="s">
        <v>65</v>
      </c>
      <c r="Q133" s="7512" t="s">
        <v>1105</v>
      </c>
      <c r="R133" s="7513" t="s">
        <v>1083</v>
      </c>
      <c r="S133" s="7513" t="s">
        <v>1030</v>
      </c>
      <c r="T133" s="7513" t="s">
        <v>1030</v>
      </c>
      <c r="U133" s="7513" t="s">
        <v>1031</v>
      </c>
      <c r="V133" s="7513" t="s">
        <v>1032</v>
      </c>
      <c r="W133" s="7513" t="s">
        <v>1033</v>
      </c>
      <c r="X133" s="7513" t="s">
        <v>1106</v>
      </c>
      <c r="Y133" s="7513" t="s">
        <v>1107</v>
      </c>
      <c r="Z133" s="1516"/>
      <c r="AA133" s="1517"/>
      <c r="AB133" s="1517"/>
      <c r="AC133" s="1521"/>
      <c r="AD133" s="1521"/>
      <c r="AE133" s="1522"/>
      <c r="AF133" s="2847"/>
      <c r="AG133" s="2848"/>
      <c r="AH133" s="2848"/>
      <c r="AI133" s="2847"/>
      <c r="AJ133" s="2848"/>
      <c r="AK133" s="2848"/>
      <c r="AL133" s="2329"/>
      <c r="AM133" s="2164"/>
      <c r="AN133" s="2164"/>
      <c r="AO133" s="2164"/>
      <c r="AP133" s="2164"/>
      <c r="AQ133" s="2164"/>
      <c r="AR133" s="2164"/>
      <c r="AS133" s="2164"/>
      <c r="AT133" s="2164"/>
      <c r="AU133" s="2164"/>
      <c r="AV133" s="2164"/>
      <c r="AW133" s="2164"/>
      <c r="AX133" s="2164"/>
      <c r="AY133" s="2164"/>
      <c r="AZ133" s="2164"/>
      <c r="BA133" s="2164"/>
      <c r="BB133" s="2164"/>
      <c r="BC133" s="2164"/>
      <c r="BD133" s="2164"/>
      <c r="BE133" s="2164"/>
      <c r="BF133" s="2164"/>
      <c r="BG133" s="7511"/>
    </row>
    <row customHeight="1" ht="11.25">
      <c r="A134" s="1507" t="s">
        <v>990</v>
      </c>
      <c r="B134" s="1507"/>
      <c r="C134" s="1507"/>
      <c r="D134" s="1501"/>
      <c r="E134" s="1511"/>
      <c r="F134" s="2170"/>
      <c r="G134" s="2171"/>
      <c r="H134" s="2856" t="s">
        <v>1108</v>
      </c>
      <c r="I134" s="2857"/>
      <c r="J134" s="2826"/>
      <c r="K134" s="2858"/>
      <c r="L134" s="2448"/>
      <c r="M134" s="2449"/>
      <c r="N134" s="2849"/>
      <c r="O134" s="2850"/>
      <c r="P134" s="2852"/>
      <c r="Q134" s="7512"/>
      <c r="R134" s="2854"/>
      <c r="S134" s="2855"/>
      <c r="T134" s="2854"/>
      <c r="U134" s="2854"/>
      <c r="V134" s="2854"/>
      <c r="W134" s="2854"/>
      <c r="X134" s="2854"/>
      <c r="Y134" s="2854"/>
      <c r="Z134" s="2169"/>
      <c r="AA134" s="2135">
        <v>1</v>
      </c>
      <c r="AB134" s="1520" t="s">
        <v>1035</v>
      </c>
      <c r="AC134" s="1510">
        <v>310.54614</v>
      </c>
      <c r="AD134" s="1520" t="str">
        <f>AB134</f>
        <v>      Амортизационные отчисления с выделением результатов переоценки основных средств и нематериальных активов</v>
      </c>
      <c r="AE134" s="1510"/>
      <c r="AF134" s="2847"/>
      <c r="AG134" s="2848"/>
      <c r="AH134" s="2848"/>
      <c r="AI134" s="2847"/>
      <c r="AJ134" s="2848"/>
      <c r="AK134" s="2848"/>
      <c r="AL134" s="2329"/>
      <c r="AM134" s="2164"/>
      <c r="AN134" s="2164"/>
      <c r="AO134" s="2164"/>
      <c r="AP134" s="2164"/>
      <c r="AQ134" s="2164"/>
      <c r="AR134" s="2164"/>
      <c r="AS134" s="2164"/>
      <c r="AT134" s="2164"/>
      <c r="AU134" s="2164"/>
      <c r="AV134" s="2164"/>
      <c r="AW134" s="2164"/>
      <c r="AX134" s="2164"/>
      <c r="AY134" s="2164"/>
      <c r="AZ134" s="2164"/>
      <c r="BA134" s="2164"/>
      <c r="BB134" s="2164"/>
      <c r="BC134" s="2164"/>
      <c r="BD134" s="2164"/>
      <c r="BE134" s="2164"/>
      <c r="BF134" s="2164"/>
      <c r="BG134" s="7511"/>
    </row>
    <row customHeight="1" ht="11.25">
      <c r="A135" s="1507" t="s">
        <v>990</v>
      </c>
      <c r="B135" s="1507"/>
      <c r="C135" s="1507"/>
      <c r="D135" s="1501"/>
      <c r="E135" s="1511"/>
      <c r="F135" s="2171"/>
      <c r="G135" s="2171"/>
      <c r="H135" s="2171"/>
      <c r="I135" s="2171"/>
      <c r="J135" s="2171"/>
      <c r="K135" s="2171"/>
      <c r="L135" s="2171"/>
      <c r="M135" s="2171"/>
      <c r="N135" s="2171"/>
      <c r="O135" s="2171"/>
      <c r="P135" s="2171"/>
      <c r="Q135" s="2171"/>
      <c r="R135" s="2171"/>
      <c r="S135" s="2171"/>
      <c r="T135" s="2171"/>
      <c r="U135" s="2171"/>
      <c r="V135" s="2171"/>
      <c r="W135" s="2171"/>
      <c r="X135" s="2171"/>
      <c r="Y135" s="2171"/>
      <c r="Z135" s="7510" t="s">
        <v>684</v>
      </c>
      <c r="AA135" s="2155" t="s">
        <v>107</v>
      </c>
      <c r="AB135" s="1520" t="s">
        <v>1036</v>
      </c>
      <c r="AC135" s="1510">
        <v>62.10923</v>
      </c>
      <c r="AD135" s="1520" t="str">
        <f>AB135</f>
        <v>  Прочие собственные средства</v>
      </c>
      <c r="AE135" s="1510"/>
      <c r="AF135" s="2172"/>
      <c r="AG135" s="2100"/>
      <c r="AH135" s="2100"/>
      <c r="AI135" s="2172"/>
      <c r="AJ135" s="2100"/>
      <c r="AK135" s="2328"/>
      <c r="AL135" s="2329"/>
      <c r="AM135" s="2164"/>
      <c r="AN135" s="2164"/>
      <c r="AO135" s="2164"/>
      <c r="AP135" s="2164"/>
      <c r="AQ135" s="2164"/>
      <c r="AR135" s="2164"/>
      <c r="AS135" s="2164"/>
      <c r="AT135" s="2164"/>
      <c r="AU135" s="2164"/>
      <c r="AV135" s="2164"/>
      <c r="AW135" s="2164"/>
      <c r="AX135" s="2164"/>
      <c r="AY135" s="2164"/>
      <c r="AZ135" s="2164"/>
      <c r="BA135" s="2164"/>
      <c r="BB135" s="2164"/>
      <c r="BC135" s="2164"/>
      <c r="BD135" s="2164"/>
      <c r="BE135" s="2164"/>
      <c r="BF135" s="2164"/>
      <c r="BG135" s="7511"/>
    </row>
    <row customHeight="1" ht="11.25">
      <c r="A136" s="1507" t="s">
        <v>990</v>
      </c>
      <c r="B136" s="1507"/>
      <c r="C136" s="1507"/>
      <c r="D136" s="1501"/>
      <c r="E136" s="1511"/>
      <c r="F136" s="2170"/>
      <c r="G136" s="2171"/>
      <c r="H136" s="2856" t="s">
        <v>1108</v>
      </c>
      <c r="I136" s="2857"/>
      <c r="J136" s="2826"/>
      <c r="K136" s="2858"/>
      <c r="L136" s="2448"/>
      <c r="M136" s="2449"/>
      <c r="N136" s="2849"/>
      <c r="O136" s="2850"/>
      <c r="P136" s="2853"/>
      <c r="Q136" s="7512"/>
      <c r="R136" s="2854"/>
      <c r="S136" s="2855"/>
      <c r="T136" s="2854"/>
      <c r="U136" s="2854"/>
      <c r="V136" s="2854"/>
      <c r="W136" s="2854"/>
      <c r="X136" s="2854"/>
      <c r="Y136" s="2854"/>
      <c r="Z136" s="1516"/>
      <c r="AA136" s="1517"/>
      <c r="AB136" s="1582" t="s">
        <v>1037</v>
      </c>
      <c r="AC136" s="1521"/>
      <c r="AD136" s="1521"/>
      <c r="AE136" s="1523"/>
      <c r="AF136" s="2847"/>
      <c r="AG136" s="2848"/>
      <c r="AH136" s="2848"/>
      <c r="AI136" s="2847"/>
      <c r="AJ136" s="2848"/>
      <c r="AK136" s="2848"/>
      <c r="AL136" s="2329"/>
      <c r="AM136" s="2164"/>
      <c r="AN136" s="2164"/>
      <c r="AO136" s="2164"/>
      <c r="AP136" s="2164"/>
      <c r="AQ136" s="2164"/>
      <c r="AR136" s="2164"/>
      <c r="AS136" s="2164"/>
      <c r="AT136" s="2164"/>
      <c r="AU136" s="2164"/>
      <c r="AV136" s="2164"/>
      <c r="AW136" s="2164"/>
      <c r="AX136" s="2164"/>
      <c r="AY136" s="2164"/>
      <c r="AZ136" s="2164"/>
      <c r="BA136" s="2164"/>
      <c r="BB136" s="2164"/>
      <c r="BC136" s="2164"/>
      <c r="BD136" s="2164"/>
      <c r="BE136" s="2164"/>
      <c r="BF136" s="2164"/>
      <c r="BG136" s="7511"/>
    </row>
    <row customHeight="1" ht="11.25">
      <c r="A137" s="1507" t="s">
        <v>990</v>
      </c>
      <c r="B137" s="1507"/>
      <c r="C137" s="1507"/>
      <c r="D137" s="1501"/>
      <c r="E137" s="1511"/>
      <c r="F137" s="2170"/>
      <c r="G137" s="2171"/>
      <c r="H137" s="2856" t="s">
        <v>1108</v>
      </c>
      <c r="I137" s="2857"/>
      <c r="J137" s="2826"/>
      <c r="K137" s="2858"/>
      <c r="L137" s="2448"/>
      <c r="M137" s="2449"/>
      <c r="N137" s="1516"/>
      <c r="O137" s="1517"/>
      <c r="P137" s="1509" t="s">
        <v>1038</v>
      </c>
      <c r="Q137" s="1517"/>
      <c r="R137" s="1517"/>
      <c r="S137" s="1517"/>
      <c r="T137" s="1517"/>
      <c r="U137" s="1517"/>
      <c r="V137" s="1517"/>
      <c r="W137" s="1517"/>
      <c r="X137" s="1517"/>
      <c r="Y137" s="1517"/>
      <c r="Z137" s="1517"/>
      <c r="AA137" s="1517"/>
      <c r="AB137" s="1517"/>
      <c r="AC137" s="1517"/>
      <c r="AD137" s="1517"/>
      <c r="AE137" s="1524"/>
      <c r="AF137" s="2847"/>
      <c r="AG137" s="2848"/>
      <c r="AH137" s="2848"/>
      <c r="AI137" s="2847"/>
      <c r="AJ137" s="2848"/>
      <c r="AK137" s="2848"/>
      <c r="AL137" s="2329"/>
      <c r="AM137" s="2164"/>
      <c r="AN137" s="2164"/>
      <c r="AO137" s="2164"/>
      <c r="AP137" s="2164"/>
      <c r="AQ137" s="2164"/>
      <c r="AR137" s="2164"/>
      <c r="AS137" s="2164"/>
      <c r="AT137" s="2164"/>
      <c r="AU137" s="2164"/>
      <c r="AV137" s="2164"/>
      <c r="AW137" s="2164"/>
      <c r="AX137" s="2164"/>
      <c r="AY137" s="2164"/>
      <c r="AZ137" s="2164"/>
      <c r="BA137" s="2164"/>
      <c r="BB137" s="2164"/>
      <c r="BC137" s="2164"/>
      <c r="BD137" s="2164"/>
      <c r="BE137" s="2164"/>
      <c r="BF137" s="2164"/>
      <c r="BG137" s="7511"/>
    </row>
    <row customHeight="1" ht="11.25">
      <c r="A138" s="1507" t="s">
        <v>990</v>
      </c>
      <c r="B138" s="1507" t="s">
        <v>1022</v>
      </c>
      <c r="C138" s="1507"/>
      <c r="D138" s="1501"/>
      <c r="E138" s="1511"/>
      <c r="F138" s="2170"/>
      <c r="G138" s="7510" t="s">
        <v>684</v>
      </c>
      <c r="H138" s="2856" t="s">
        <v>1112</v>
      </c>
      <c r="I138" s="2857" t="s">
        <v>1023</v>
      </c>
      <c r="J138" s="2826" t="s">
        <v>1071</v>
      </c>
      <c r="K138" s="2858" t="s">
        <v>1113</v>
      </c>
      <c r="L138" s="2448" t="s">
        <v>19</v>
      </c>
      <c r="M138" s="2449"/>
      <c r="N138" s="2327"/>
      <c r="O138" s="1518" t="s">
        <v>371</v>
      </c>
      <c r="P138" s="1519"/>
      <c r="Q138" s="1519"/>
      <c r="R138" s="1519"/>
      <c r="S138" s="1519"/>
      <c r="T138" s="1519"/>
      <c r="U138" s="1519"/>
      <c r="V138" s="1519"/>
      <c r="W138" s="1519"/>
      <c r="X138" s="1519"/>
      <c r="Y138" s="1519"/>
      <c r="Z138" s="1519"/>
      <c r="AA138" s="1519"/>
      <c r="AB138" s="1519"/>
      <c r="AC138" s="1519"/>
      <c r="AD138" s="1519"/>
      <c r="AE138" s="1519"/>
      <c r="AF138" s="2847">
        <v>6</v>
      </c>
      <c r="AG138" s="2848" t="s">
        <v>1067</v>
      </c>
      <c r="AH138" s="2848" t="s">
        <v>1104</v>
      </c>
      <c r="AI138" s="2847"/>
      <c r="AJ138" s="2848"/>
      <c r="AK138" s="2848"/>
      <c r="AL138" s="2329"/>
      <c r="AM138" s="2164"/>
      <c r="AN138" s="2164"/>
      <c r="AO138" s="2164"/>
      <c r="AP138" s="2164"/>
      <c r="AQ138" s="2164"/>
      <c r="AR138" s="2164"/>
      <c r="AS138" s="2164"/>
      <c r="AT138" s="2164"/>
      <c r="AU138" s="2164"/>
      <c r="AV138" s="2164"/>
      <c r="AW138" s="2164"/>
      <c r="AX138" s="2164"/>
      <c r="AY138" s="2164"/>
      <c r="AZ138" s="2164"/>
      <c r="BA138" s="2164"/>
      <c r="BB138" s="2164"/>
      <c r="BC138" s="2164"/>
      <c r="BD138" s="2164"/>
      <c r="BE138" s="2164"/>
      <c r="BF138" s="2164"/>
      <c r="BG138" s="7511"/>
    </row>
    <row customHeight="1" ht="11.25">
      <c r="A139" s="1507" t="s">
        <v>990</v>
      </c>
      <c r="B139" s="1507"/>
      <c r="C139" s="1507"/>
      <c r="D139" s="1501"/>
      <c r="E139" s="1511"/>
      <c r="F139" s="2170"/>
      <c r="G139" s="2171"/>
      <c r="H139" s="2856" t="s">
        <v>1110</v>
      </c>
      <c r="I139" s="2857"/>
      <c r="J139" s="2826"/>
      <c r="K139" s="2858"/>
      <c r="L139" s="2448"/>
      <c r="M139" s="2449"/>
      <c r="N139" s="2849"/>
      <c r="O139" s="2850">
        <v>1</v>
      </c>
      <c r="P139" s="2851" t="s">
        <v>65</v>
      </c>
      <c r="Q139" s="7512" t="s">
        <v>1105</v>
      </c>
      <c r="R139" s="7513" t="s">
        <v>1083</v>
      </c>
      <c r="S139" s="7513" t="s">
        <v>1030</v>
      </c>
      <c r="T139" s="7513" t="s">
        <v>1030</v>
      </c>
      <c r="U139" s="7513" t="s">
        <v>1031</v>
      </c>
      <c r="V139" s="7513" t="s">
        <v>1032</v>
      </c>
      <c r="W139" s="7513" t="s">
        <v>1033</v>
      </c>
      <c r="X139" s="7513" t="s">
        <v>1106</v>
      </c>
      <c r="Y139" s="7513" t="s">
        <v>1107</v>
      </c>
      <c r="Z139" s="1516"/>
      <c r="AA139" s="1517"/>
      <c r="AB139" s="1517"/>
      <c r="AC139" s="1521"/>
      <c r="AD139" s="1521"/>
      <c r="AE139" s="1522"/>
      <c r="AF139" s="2847"/>
      <c r="AG139" s="2848"/>
      <c r="AH139" s="2848"/>
      <c r="AI139" s="2847"/>
      <c r="AJ139" s="2848"/>
      <c r="AK139" s="2848"/>
      <c r="AL139" s="2329"/>
      <c r="AM139" s="2164"/>
      <c r="AN139" s="2164"/>
      <c r="AO139" s="2164"/>
      <c r="AP139" s="2164"/>
      <c r="AQ139" s="2164"/>
      <c r="AR139" s="2164"/>
      <c r="AS139" s="2164"/>
      <c r="AT139" s="2164"/>
      <c r="AU139" s="2164"/>
      <c r="AV139" s="2164"/>
      <c r="AW139" s="2164"/>
      <c r="AX139" s="2164"/>
      <c r="AY139" s="2164"/>
      <c r="AZ139" s="2164"/>
      <c r="BA139" s="2164"/>
      <c r="BB139" s="2164"/>
      <c r="BC139" s="2164"/>
      <c r="BD139" s="2164"/>
      <c r="BE139" s="2164"/>
      <c r="BF139" s="2164"/>
      <c r="BG139" s="7511"/>
    </row>
    <row customHeight="1" ht="11.25">
      <c r="A140" s="1507" t="s">
        <v>990</v>
      </c>
      <c r="B140" s="1507"/>
      <c r="C140" s="1507"/>
      <c r="D140" s="1501"/>
      <c r="E140" s="1511"/>
      <c r="F140" s="2170"/>
      <c r="G140" s="2171"/>
      <c r="H140" s="2856" t="s">
        <v>1110</v>
      </c>
      <c r="I140" s="2857"/>
      <c r="J140" s="2826"/>
      <c r="K140" s="2858"/>
      <c r="L140" s="2448"/>
      <c r="M140" s="2449"/>
      <c r="N140" s="2849"/>
      <c r="O140" s="2850"/>
      <c r="P140" s="2852"/>
      <c r="Q140" s="7512"/>
      <c r="R140" s="2854"/>
      <c r="S140" s="2855"/>
      <c r="T140" s="2854"/>
      <c r="U140" s="2854"/>
      <c r="V140" s="2854"/>
      <c r="W140" s="2854"/>
      <c r="X140" s="2854"/>
      <c r="Y140" s="2854"/>
      <c r="Z140" s="2169"/>
      <c r="AA140" s="2135">
        <v>1</v>
      </c>
      <c r="AB140" s="1520" t="s">
        <v>1036</v>
      </c>
      <c r="AC140" s="1510">
        <v>6388.95</v>
      </c>
      <c r="AD140" s="1520" t="str">
        <f>AB140</f>
        <v>  Прочие собственные средства</v>
      </c>
      <c r="AE140" s="1510"/>
      <c r="AF140" s="2847"/>
      <c r="AG140" s="2848"/>
      <c r="AH140" s="2848"/>
      <c r="AI140" s="2847"/>
      <c r="AJ140" s="2848"/>
      <c r="AK140" s="2848"/>
      <c r="AL140" s="2329"/>
      <c r="AM140" s="2164"/>
      <c r="AN140" s="2164"/>
      <c r="AO140" s="2164"/>
      <c r="AP140" s="2164"/>
      <c r="AQ140" s="2164"/>
      <c r="AR140" s="2164"/>
      <c r="AS140" s="2164"/>
      <c r="AT140" s="2164"/>
      <c r="AU140" s="2164"/>
      <c r="AV140" s="2164"/>
      <c r="AW140" s="2164"/>
      <c r="AX140" s="2164"/>
      <c r="AY140" s="2164"/>
      <c r="AZ140" s="2164"/>
      <c r="BA140" s="2164"/>
      <c r="BB140" s="2164"/>
      <c r="BC140" s="2164"/>
      <c r="BD140" s="2164"/>
      <c r="BE140" s="2164"/>
      <c r="BF140" s="2164"/>
      <c r="BG140" s="7511"/>
    </row>
    <row customHeight="1" ht="11.25">
      <c r="A141" s="1507" t="s">
        <v>990</v>
      </c>
      <c r="B141" s="1507"/>
      <c r="C141" s="1507"/>
      <c r="D141" s="1501"/>
      <c r="E141" s="1511"/>
      <c r="F141" s="2170"/>
      <c r="G141" s="2171"/>
      <c r="H141" s="2856" t="s">
        <v>1110</v>
      </c>
      <c r="I141" s="2857"/>
      <c r="J141" s="2826"/>
      <c r="K141" s="2858"/>
      <c r="L141" s="2448"/>
      <c r="M141" s="2449"/>
      <c r="N141" s="2849"/>
      <c r="O141" s="2850"/>
      <c r="P141" s="2853"/>
      <c r="Q141" s="7512"/>
      <c r="R141" s="2854"/>
      <c r="S141" s="2855"/>
      <c r="T141" s="2854"/>
      <c r="U141" s="2854"/>
      <c r="V141" s="2854"/>
      <c r="W141" s="2854"/>
      <c r="X141" s="2854"/>
      <c r="Y141" s="2854"/>
      <c r="Z141" s="1516"/>
      <c r="AA141" s="1517"/>
      <c r="AB141" s="1582" t="s">
        <v>1037</v>
      </c>
      <c r="AC141" s="1521"/>
      <c r="AD141" s="1521"/>
      <c r="AE141" s="1523"/>
      <c r="AF141" s="2847"/>
      <c r="AG141" s="2848"/>
      <c r="AH141" s="2848"/>
      <c r="AI141" s="2847"/>
      <c r="AJ141" s="2848"/>
      <c r="AK141" s="2848"/>
      <c r="AL141" s="2329"/>
      <c r="AM141" s="2164"/>
      <c r="AN141" s="2164"/>
      <c r="AO141" s="2164"/>
      <c r="AP141" s="2164"/>
      <c r="AQ141" s="2164"/>
      <c r="AR141" s="2164"/>
      <c r="AS141" s="2164"/>
      <c r="AT141" s="2164"/>
      <c r="AU141" s="2164"/>
      <c r="AV141" s="2164"/>
      <c r="AW141" s="2164"/>
      <c r="AX141" s="2164"/>
      <c r="AY141" s="2164"/>
      <c r="AZ141" s="2164"/>
      <c r="BA141" s="2164"/>
      <c r="BB141" s="2164"/>
      <c r="BC141" s="2164"/>
      <c r="BD141" s="2164"/>
      <c r="BE141" s="2164"/>
      <c r="BF141" s="2164"/>
      <c r="BG141" s="7511"/>
    </row>
    <row customHeight="1" ht="11.25">
      <c r="A142" s="1507" t="s">
        <v>990</v>
      </c>
      <c r="B142" s="1507"/>
      <c r="C142" s="1507"/>
      <c r="D142" s="1501"/>
      <c r="E142" s="1511"/>
      <c r="F142" s="2170"/>
      <c r="G142" s="2171"/>
      <c r="H142" s="2856" t="s">
        <v>1110</v>
      </c>
      <c r="I142" s="2857"/>
      <c r="J142" s="2826"/>
      <c r="K142" s="2858"/>
      <c r="L142" s="2448"/>
      <c r="M142" s="2449"/>
      <c r="N142" s="1516"/>
      <c r="O142" s="1517"/>
      <c r="P142" s="1509" t="s">
        <v>1038</v>
      </c>
      <c r="Q142" s="1517"/>
      <c r="R142" s="1517"/>
      <c r="S142" s="1517"/>
      <c r="T142" s="1517"/>
      <c r="U142" s="1517"/>
      <c r="V142" s="1517"/>
      <c r="W142" s="1517"/>
      <c r="X142" s="1517"/>
      <c r="Y142" s="1517"/>
      <c r="Z142" s="1517"/>
      <c r="AA142" s="1517"/>
      <c r="AB142" s="1517"/>
      <c r="AC142" s="1517"/>
      <c r="AD142" s="1517"/>
      <c r="AE142" s="1524"/>
      <c r="AF142" s="2847"/>
      <c r="AG142" s="2848"/>
      <c r="AH142" s="2848"/>
      <c r="AI142" s="2847"/>
      <c r="AJ142" s="2848"/>
      <c r="AK142" s="2848"/>
      <c r="AL142" s="2329"/>
      <c r="AM142" s="2164"/>
      <c r="AN142" s="2164"/>
      <c r="AO142" s="2164"/>
      <c r="AP142" s="2164"/>
      <c r="AQ142" s="2164"/>
      <c r="AR142" s="2164"/>
      <c r="AS142" s="2164"/>
      <c r="AT142" s="2164"/>
      <c r="AU142" s="2164"/>
      <c r="AV142" s="2164"/>
      <c r="AW142" s="2164"/>
      <c r="AX142" s="2164"/>
      <c r="AY142" s="2164"/>
      <c r="AZ142" s="2164"/>
      <c r="BA142" s="2164"/>
      <c r="BB142" s="2164"/>
      <c r="BC142" s="2164"/>
      <c r="BD142" s="2164"/>
      <c r="BE142" s="2164"/>
      <c r="BF142" s="2164"/>
      <c r="BG142" s="7511"/>
    </row>
    <row customHeight="1" ht="11.25">
      <c r="A143" s="1507" t="s">
        <v>990</v>
      </c>
      <c r="B143" s="1507" t="s">
        <v>1022</v>
      </c>
      <c r="C143" s="1507"/>
      <c r="D143" s="1501"/>
      <c r="E143" s="1511"/>
      <c r="F143" s="2170"/>
      <c r="G143" s="7510" t="s">
        <v>684</v>
      </c>
      <c r="H143" s="2856" t="s">
        <v>1114</v>
      </c>
      <c r="I143" s="2857" t="s">
        <v>1023</v>
      </c>
      <c r="J143" s="2826" t="s">
        <v>1071</v>
      </c>
      <c r="K143" s="2858" t="s">
        <v>1115</v>
      </c>
      <c r="L143" s="2448" t="s">
        <v>19</v>
      </c>
      <c r="M143" s="2449"/>
      <c r="N143" s="2327"/>
      <c r="O143" s="1518" t="s">
        <v>371</v>
      </c>
      <c r="P143" s="1519"/>
      <c r="Q143" s="1519"/>
      <c r="R143" s="1519"/>
      <c r="S143" s="1519"/>
      <c r="T143" s="1519"/>
      <c r="U143" s="1519"/>
      <c r="V143" s="1519"/>
      <c r="W143" s="1519"/>
      <c r="X143" s="1519"/>
      <c r="Y143" s="1519"/>
      <c r="Z143" s="1519"/>
      <c r="AA143" s="1519"/>
      <c r="AB143" s="1519"/>
      <c r="AC143" s="1519"/>
      <c r="AD143" s="1519"/>
      <c r="AE143" s="1519"/>
      <c r="AF143" s="2847">
        <v>1</v>
      </c>
      <c r="AG143" s="2848" t="s">
        <v>1067</v>
      </c>
      <c r="AH143" s="2848" t="s">
        <v>1063</v>
      </c>
      <c r="AI143" s="2847"/>
      <c r="AJ143" s="2848"/>
      <c r="AK143" s="2848"/>
      <c r="AL143" s="2329"/>
      <c r="AM143" s="2164"/>
      <c r="AN143" s="2164"/>
      <c r="AO143" s="2164"/>
      <c r="AP143" s="2164"/>
      <c r="AQ143" s="2164"/>
      <c r="AR143" s="2164"/>
      <c r="AS143" s="2164"/>
      <c r="AT143" s="2164"/>
      <c r="AU143" s="2164"/>
      <c r="AV143" s="2164"/>
      <c r="AW143" s="2164"/>
      <c r="AX143" s="2164"/>
      <c r="AY143" s="2164"/>
      <c r="AZ143" s="2164"/>
      <c r="BA143" s="2164"/>
      <c r="BB143" s="2164"/>
      <c r="BC143" s="2164"/>
      <c r="BD143" s="2164"/>
      <c r="BE143" s="2164"/>
      <c r="BF143" s="2164"/>
      <c r="BG143" s="7511"/>
    </row>
    <row customHeight="1" ht="11.25">
      <c r="A144" s="1507" t="s">
        <v>990</v>
      </c>
      <c r="B144" s="1507"/>
      <c r="C144" s="1507"/>
      <c r="D144" s="1501"/>
      <c r="E144" s="1511"/>
      <c r="F144" s="2170"/>
      <c r="G144" s="2171"/>
      <c r="H144" s="2856" t="s">
        <v>1112</v>
      </c>
      <c r="I144" s="2857"/>
      <c r="J144" s="2826"/>
      <c r="K144" s="2858"/>
      <c r="L144" s="2448"/>
      <c r="M144" s="2449"/>
      <c r="N144" s="2849"/>
      <c r="O144" s="2850">
        <v>1</v>
      </c>
      <c r="P144" s="2851" t="s">
        <v>65</v>
      </c>
      <c r="Q144" s="7512" t="s">
        <v>1105</v>
      </c>
      <c r="R144" s="7513" t="s">
        <v>1083</v>
      </c>
      <c r="S144" s="7513" t="s">
        <v>1030</v>
      </c>
      <c r="T144" s="7513" t="s">
        <v>1030</v>
      </c>
      <c r="U144" s="7513" t="s">
        <v>1031</v>
      </c>
      <c r="V144" s="7513" t="s">
        <v>1032</v>
      </c>
      <c r="W144" s="7513" t="s">
        <v>1033</v>
      </c>
      <c r="X144" s="7513" t="s">
        <v>1106</v>
      </c>
      <c r="Y144" s="7513" t="s">
        <v>1107</v>
      </c>
      <c r="Z144" s="1516"/>
      <c r="AA144" s="1517"/>
      <c r="AB144" s="1517"/>
      <c r="AC144" s="1521"/>
      <c r="AD144" s="1521"/>
      <c r="AE144" s="1522"/>
      <c r="AF144" s="2847"/>
      <c r="AG144" s="2848"/>
      <c r="AH144" s="2848"/>
      <c r="AI144" s="2847"/>
      <c r="AJ144" s="2848"/>
      <c r="AK144" s="2848"/>
      <c r="AL144" s="2329"/>
      <c r="AM144" s="2164"/>
      <c r="AN144" s="2164"/>
      <c r="AO144" s="2164"/>
      <c r="AP144" s="2164"/>
      <c r="AQ144" s="2164"/>
      <c r="AR144" s="2164"/>
      <c r="AS144" s="2164"/>
      <c r="AT144" s="2164"/>
      <c r="AU144" s="2164"/>
      <c r="AV144" s="2164"/>
      <c r="AW144" s="2164"/>
      <c r="AX144" s="2164"/>
      <c r="AY144" s="2164"/>
      <c r="AZ144" s="2164"/>
      <c r="BA144" s="2164"/>
      <c r="BB144" s="2164"/>
      <c r="BC144" s="2164"/>
      <c r="BD144" s="2164"/>
      <c r="BE144" s="2164"/>
      <c r="BF144" s="2164"/>
      <c r="BG144" s="7511"/>
    </row>
    <row customHeight="1" ht="11.25">
      <c r="A145" s="1507" t="s">
        <v>990</v>
      </c>
      <c r="B145" s="1507"/>
      <c r="C145" s="1507"/>
      <c r="D145" s="1501"/>
      <c r="E145" s="1511"/>
      <c r="F145" s="2170"/>
      <c r="G145" s="2171"/>
      <c r="H145" s="2856" t="s">
        <v>1112</v>
      </c>
      <c r="I145" s="2857"/>
      <c r="J145" s="2826"/>
      <c r="K145" s="2858"/>
      <c r="L145" s="2448"/>
      <c r="M145" s="2449"/>
      <c r="N145" s="2849"/>
      <c r="O145" s="2850"/>
      <c r="P145" s="2852"/>
      <c r="Q145" s="7512"/>
      <c r="R145" s="2854"/>
      <c r="S145" s="2855"/>
      <c r="T145" s="2854"/>
      <c r="U145" s="2854"/>
      <c r="V145" s="2854"/>
      <c r="W145" s="2854"/>
      <c r="X145" s="2854"/>
      <c r="Y145" s="2854"/>
      <c r="Z145" s="2169"/>
      <c r="AA145" s="2135">
        <v>1</v>
      </c>
      <c r="AB145" s="1520" t="s">
        <v>1036</v>
      </c>
      <c r="AC145" s="1510">
        <v>2804.144026</v>
      </c>
      <c r="AD145" s="1520" t="str">
        <f>AB145</f>
        <v>  Прочие собственные средства</v>
      </c>
      <c r="AE145" s="1510"/>
      <c r="AF145" s="2847"/>
      <c r="AG145" s="2848"/>
      <c r="AH145" s="2848"/>
      <c r="AI145" s="2847"/>
      <c r="AJ145" s="2848"/>
      <c r="AK145" s="2848"/>
      <c r="AL145" s="2329"/>
      <c r="AM145" s="2164"/>
      <c r="AN145" s="2164"/>
      <c r="AO145" s="2164"/>
      <c r="AP145" s="2164"/>
      <c r="AQ145" s="2164"/>
      <c r="AR145" s="2164"/>
      <c r="AS145" s="2164"/>
      <c r="AT145" s="2164"/>
      <c r="AU145" s="2164"/>
      <c r="AV145" s="2164"/>
      <c r="AW145" s="2164"/>
      <c r="AX145" s="2164"/>
      <c r="AY145" s="2164"/>
      <c r="AZ145" s="2164"/>
      <c r="BA145" s="2164"/>
      <c r="BB145" s="2164"/>
      <c r="BC145" s="2164"/>
      <c r="BD145" s="2164"/>
      <c r="BE145" s="2164"/>
      <c r="BF145" s="2164"/>
      <c r="BG145" s="7511"/>
    </row>
    <row customHeight="1" ht="11.25">
      <c r="A146" s="1507" t="s">
        <v>990</v>
      </c>
      <c r="B146" s="1507"/>
      <c r="C146" s="1507"/>
      <c r="D146" s="1501"/>
      <c r="E146" s="1511"/>
      <c r="F146" s="2170"/>
      <c r="G146" s="2171"/>
      <c r="H146" s="2856" t="s">
        <v>1112</v>
      </c>
      <c r="I146" s="2857"/>
      <c r="J146" s="2826"/>
      <c r="K146" s="2858"/>
      <c r="L146" s="2448"/>
      <c r="M146" s="2449"/>
      <c r="N146" s="2849"/>
      <c r="O146" s="2850"/>
      <c r="P146" s="2853"/>
      <c r="Q146" s="7512"/>
      <c r="R146" s="2854"/>
      <c r="S146" s="2855"/>
      <c r="T146" s="2854"/>
      <c r="U146" s="2854"/>
      <c r="V146" s="2854"/>
      <c r="W146" s="2854"/>
      <c r="X146" s="2854"/>
      <c r="Y146" s="2854"/>
      <c r="Z146" s="1516"/>
      <c r="AA146" s="1517"/>
      <c r="AB146" s="1582" t="s">
        <v>1037</v>
      </c>
      <c r="AC146" s="1521"/>
      <c r="AD146" s="1521"/>
      <c r="AE146" s="1523"/>
      <c r="AF146" s="2847"/>
      <c r="AG146" s="2848"/>
      <c r="AH146" s="2848"/>
      <c r="AI146" s="2847"/>
      <c r="AJ146" s="2848"/>
      <c r="AK146" s="2848"/>
      <c r="AL146" s="2329"/>
      <c r="AM146" s="2164"/>
      <c r="AN146" s="2164"/>
      <c r="AO146" s="2164"/>
      <c r="AP146" s="2164"/>
      <c r="AQ146" s="2164"/>
      <c r="AR146" s="2164"/>
      <c r="AS146" s="2164"/>
      <c r="AT146" s="2164"/>
      <c r="AU146" s="2164"/>
      <c r="AV146" s="2164"/>
      <c r="AW146" s="2164"/>
      <c r="AX146" s="2164"/>
      <c r="AY146" s="2164"/>
      <c r="AZ146" s="2164"/>
      <c r="BA146" s="2164"/>
      <c r="BB146" s="2164"/>
      <c r="BC146" s="2164"/>
      <c r="BD146" s="2164"/>
      <c r="BE146" s="2164"/>
      <c r="BF146" s="2164"/>
      <c r="BG146" s="7511"/>
    </row>
    <row customHeight="1" ht="11.25">
      <c r="A147" s="1507" t="s">
        <v>990</v>
      </c>
      <c r="B147" s="1507"/>
      <c r="C147" s="1507"/>
      <c r="D147" s="1501"/>
      <c r="E147" s="1511"/>
      <c r="F147" s="2170"/>
      <c r="G147" s="2171"/>
      <c r="H147" s="2856" t="s">
        <v>1112</v>
      </c>
      <c r="I147" s="2857"/>
      <c r="J147" s="2826"/>
      <c r="K147" s="2858"/>
      <c r="L147" s="2448"/>
      <c r="M147" s="2449"/>
      <c r="N147" s="1516"/>
      <c r="O147" s="1517"/>
      <c r="P147" s="1509" t="s">
        <v>1038</v>
      </c>
      <c r="Q147" s="1517"/>
      <c r="R147" s="1517"/>
      <c r="S147" s="1517"/>
      <c r="T147" s="1517"/>
      <c r="U147" s="1517"/>
      <c r="V147" s="1517"/>
      <c r="W147" s="1517"/>
      <c r="X147" s="1517"/>
      <c r="Y147" s="1517"/>
      <c r="Z147" s="1517"/>
      <c r="AA147" s="1517"/>
      <c r="AB147" s="1517"/>
      <c r="AC147" s="1517"/>
      <c r="AD147" s="1517"/>
      <c r="AE147" s="1524"/>
      <c r="AF147" s="2847"/>
      <c r="AG147" s="2848"/>
      <c r="AH147" s="2848"/>
      <c r="AI147" s="2847"/>
      <c r="AJ147" s="2848"/>
      <c r="AK147" s="2848"/>
      <c r="AL147" s="2329"/>
      <c r="AM147" s="2164"/>
      <c r="AN147" s="2164"/>
      <c r="AO147" s="2164"/>
      <c r="AP147" s="2164"/>
      <c r="AQ147" s="2164"/>
      <c r="AR147" s="2164"/>
      <c r="AS147" s="2164"/>
      <c r="AT147" s="2164"/>
      <c r="AU147" s="2164"/>
      <c r="AV147" s="2164"/>
      <c r="AW147" s="2164"/>
      <c r="AX147" s="2164"/>
      <c r="AY147" s="2164"/>
      <c r="AZ147" s="2164"/>
      <c r="BA147" s="2164"/>
      <c r="BB147" s="2164"/>
      <c r="BC147" s="2164"/>
      <c r="BD147" s="2164"/>
      <c r="BE147" s="2164"/>
      <c r="BF147" s="2164"/>
      <c r="BG147" s="7511"/>
    </row>
    <row customHeight="1" ht="11.25">
      <c r="A148" s="1507" t="s">
        <v>990</v>
      </c>
      <c r="B148" s="1507" t="s">
        <v>1022</v>
      </c>
      <c r="C148" s="1507"/>
      <c r="D148" s="1501"/>
      <c r="E148" s="1511"/>
      <c r="F148" s="2170"/>
      <c r="G148" s="7510" t="s">
        <v>684</v>
      </c>
      <c r="H148" s="2856" t="s">
        <v>1116</v>
      </c>
      <c r="I148" s="2857" t="s">
        <v>1023</v>
      </c>
      <c r="J148" s="2826" t="s">
        <v>1071</v>
      </c>
      <c r="K148" s="2858" t="s">
        <v>1117</v>
      </c>
      <c r="L148" s="2448" t="s">
        <v>19</v>
      </c>
      <c r="M148" s="2449"/>
      <c r="N148" s="2327"/>
      <c r="O148" s="1518" t="s">
        <v>371</v>
      </c>
      <c r="P148" s="1519"/>
      <c r="Q148" s="1519"/>
      <c r="R148" s="1519"/>
      <c r="S148" s="1519"/>
      <c r="T148" s="1519"/>
      <c r="U148" s="1519"/>
      <c r="V148" s="1519"/>
      <c r="W148" s="1519"/>
      <c r="X148" s="1519"/>
      <c r="Y148" s="1519"/>
      <c r="Z148" s="1519"/>
      <c r="AA148" s="1519"/>
      <c r="AB148" s="1519"/>
      <c r="AC148" s="1519"/>
      <c r="AD148" s="1519"/>
      <c r="AE148" s="1519"/>
      <c r="AF148" s="2847">
        <v>1</v>
      </c>
      <c r="AG148" s="2848" t="s">
        <v>1067</v>
      </c>
      <c r="AH148" s="2848" t="s">
        <v>1063</v>
      </c>
      <c r="AI148" s="2847"/>
      <c r="AJ148" s="2848"/>
      <c r="AK148" s="2848"/>
      <c r="AL148" s="2329"/>
      <c r="AM148" s="2164"/>
      <c r="AN148" s="2164"/>
      <c r="AO148" s="2164"/>
      <c r="AP148" s="2164"/>
      <c r="AQ148" s="2164"/>
      <c r="AR148" s="2164"/>
      <c r="AS148" s="2164"/>
      <c r="AT148" s="2164"/>
      <c r="AU148" s="2164"/>
      <c r="AV148" s="2164"/>
      <c r="AW148" s="2164"/>
      <c r="AX148" s="2164"/>
      <c r="AY148" s="2164"/>
      <c r="AZ148" s="2164"/>
      <c r="BA148" s="2164"/>
      <c r="BB148" s="2164"/>
      <c r="BC148" s="2164"/>
      <c r="BD148" s="2164"/>
      <c r="BE148" s="2164"/>
      <c r="BF148" s="2164"/>
      <c r="BG148" s="7511"/>
    </row>
    <row customHeight="1" ht="11.25">
      <c r="A149" s="1507" t="s">
        <v>990</v>
      </c>
      <c r="B149" s="1507"/>
      <c r="C149" s="1507"/>
      <c r="D149" s="1501"/>
      <c r="E149" s="1511"/>
      <c r="F149" s="2170"/>
      <c r="G149" s="2171"/>
      <c r="H149" s="2856" t="s">
        <v>1114</v>
      </c>
      <c r="I149" s="2857"/>
      <c r="J149" s="2826"/>
      <c r="K149" s="2858"/>
      <c r="L149" s="2448"/>
      <c r="M149" s="2449"/>
      <c r="N149" s="2849"/>
      <c r="O149" s="2850">
        <v>1</v>
      </c>
      <c r="P149" s="2851" t="s">
        <v>65</v>
      </c>
      <c r="Q149" s="7512" t="s">
        <v>1105</v>
      </c>
      <c r="R149" s="7513" t="s">
        <v>1083</v>
      </c>
      <c r="S149" s="7513" t="s">
        <v>1030</v>
      </c>
      <c r="T149" s="7513" t="s">
        <v>1030</v>
      </c>
      <c r="U149" s="7513" t="s">
        <v>1031</v>
      </c>
      <c r="V149" s="7513" t="s">
        <v>1032</v>
      </c>
      <c r="W149" s="7513" t="s">
        <v>1033</v>
      </c>
      <c r="X149" s="7513" t="s">
        <v>1106</v>
      </c>
      <c r="Y149" s="7513" t="s">
        <v>1107</v>
      </c>
      <c r="Z149" s="1516"/>
      <c r="AA149" s="1517"/>
      <c r="AB149" s="1517"/>
      <c r="AC149" s="1521"/>
      <c r="AD149" s="1521"/>
      <c r="AE149" s="1522"/>
      <c r="AF149" s="2847"/>
      <c r="AG149" s="2848"/>
      <c r="AH149" s="2848"/>
      <c r="AI149" s="2847"/>
      <c r="AJ149" s="2848"/>
      <c r="AK149" s="2848"/>
      <c r="AL149" s="2329"/>
      <c r="AM149" s="2164"/>
      <c r="AN149" s="2164"/>
      <c r="AO149" s="2164"/>
      <c r="AP149" s="2164"/>
      <c r="AQ149" s="2164"/>
      <c r="AR149" s="2164"/>
      <c r="AS149" s="2164"/>
      <c r="AT149" s="2164"/>
      <c r="AU149" s="2164"/>
      <c r="AV149" s="2164"/>
      <c r="AW149" s="2164"/>
      <c r="AX149" s="2164"/>
      <c r="AY149" s="2164"/>
      <c r="AZ149" s="2164"/>
      <c r="BA149" s="2164"/>
      <c r="BB149" s="2164"/>
      <c r="BC149" s="2164"/>
      <c r="BD149" s="2164"/>
      <c r="BE149" s="2164"/>
      <c r="BF149" s="2164"/>
      <c r="BG149" s="7511"/>
    </row>
    <row customHeight="1" ht="11.25">
      <c r="A150" s="1507" t="s">
        <v>990</v>
      </c>
      <c r="B150" s="1507"/>
      <c r="C150" s="1507"/>
      <c r="D150" s="1501"/>
      <c r="E150" s="1511"/>
      <c r="F150" s="2170"/>
      <c r="G150" s="2171"/>
      <c r="H150" s="2856" t="s">
        <v>1114</v>
      </c>
      <c r="I150" s="2857"/>
      <c r="J150" s="2826"/>
      <c r="K150" s="2858"/>
      <c r="L150" s="2448"/>
      <c r="M150" s="2449"/>
      <c r="N150" s="2849"/>
      <c r="O150" s="2850"/>
      <c r="P150" s="2852"/>
      <c r="Q150" s="7512"/>
      <c r="R150" s="2854"/>
      <c r="S150" s="2855"/>
      <c r="T150" s="2854"/>
      <c r="U150" s="2854"/>
      <c r="V150" s="2854"/>
      <c r="W150" s="2854"/>
      <c r="X150" s="2854"/>
      <c r="Y150" s="2854"/>
      <c r="Z150" s="2169"/>
      <c r="AA150" s="2135">
        <v>1</v>
      </c>
      <c r="AB150" s="1520" t="s">
        <v>1036</v>
      </c>
      <c r="AC150" s="1510">
        <v>6058.81531</v>
      </c>
      <c r="AD150" s="1520" t="str">
        <f>AB150</f>
        <v>  Прочие собственные средства</v>
      </c>
      <c r="AE150" s="1510"/>
      <c r="AF150" s="2847"/>
      <c r="AG150" s="2848"/>
      <c r="AH150" s="2848"/>
      <c r="AI150" s="2847"/>
      <c r="AJ150" s="2848"/>
      <c r="AK150" s="2848"/>
      <c r="AL150" s="2329"/>
      <c r="AM150" s="2164"/>
      <c r="AN150" s="2164"/>
      <c r="AO150" s="2164"/>
      <c r="AP150" s="2164"/>
      <c r="AQ150" s="2164"/>
      <c r="AR150" s="2164"/>
      <c r="AS150" s="2164"/>
      <c r="AT150" s="2164"/>
      <c r="AU150" s="2164"/>
      <c r="AV150" s="2164"/>
      <c r="AW150" s="2164"/>
      <c r="AX150" s="2164"/>
      <c r="AY150" s="2164"/>
      <c r="AZ150" s="2164"/>
      <c r="BA150" s="2164"/>
      <c r="BB150" s="2164"/>
      <c r="BC150" s="2164"/>
      <c r="BD150" s="2164"/>
      <c r="BE150" s="2164"/>
      <c r="BF150" s="2164"/>
      <c r="BG150" s="7511"/>
    </row>
    <row customHeight="1" ht="11.25">
      <c r="A151" s="1507" t="s">
        <v>990</v>
      </c>
      <c r="B151" s="1507"/>
      <c r="C151" s="1507"/>
      <c r="D151" s="1501"/>
      <c r="E151" s="1511"/>
      <c r="F151" s="2170"/>
      <c r="G151" s="2171"/>
      <c r="H151" s="2856" t="s">
        <v>1114</v>
      </c>
      <c r="I151" s="2857"/>
      <c r="J151" s="2826"/>
      <c r="K151" s="2858"/>
      <c r="L151" s="2448"/>
      <c r="M151" s="2449"/>
      <c r="N151" s="2849"/>
      <c r="O151" s="2850"/>
      <c r="P151" s="2853"/>
      <c r="Q151" s="7512"/>
      <c r="R151" s="2854"/>
      <c r="S151" s="2855"/>
      <c r="T151" s="2854"/>
      <c r="U151" s="2854"/>
      <c r="V151" s="2854"/>
      <c r="W151" s="2854"/>
      <c r="X151" s="2854"/>
      <c r="Y151" s="2854"/>
      <c r="Z151" s="1516"/>
      <c r="AA151" s="1517"/>
      <c r="AB151" s="1582" t="s">
        <v>1037</v>
      </c>
      <c r="AC151" s="1521"/>
      <c r="AD151" s="1521"/>
      <c r="AE151" s="1523"/>
      <c r="AF151" s="2847"/>
      <c r="AG151" s="2848"/>
      <c r="AH151" s="2848"/>
      <c r="AI151" s="2847"/>
      <c r="AJ151" s="2848"/>
      <c r="AK151" s="2848"/>
      <c r="AL151" s="2329"/>
      <c r="AM151" s="2164"/>
      <c r="AN151" s="2164"/>
      <c r="AO151" s="2164"/>
      <c r="AP151" s="2164"/>
      <c r="AQ151" s="2164"/>
      <c r="AR151" s="2164"/>
      <c r="AS151" s="2164"/>
      <c r="AT151" s="2164"/>
      <c r="AU151" s="2164"/>
      <c r="AV151" s="2164"/>
      <c r="AW151" s="2164"/>
      <c r="AX151" s="2164"/>
      <c r="AY151" s="2164"/>
      <c r="AZ151" s="2164"/>
      <c r="BA151" s="2164"/>
      <c r="BB151" s="2164"/>
      <c r="BC151" s="2164"/>
      <c r="BD151" s="2164"/>
      <c r="BE151" s="2164"/>
      <c r="BF151" s="2164"/>
      <c r="BG151" s="7511"/>
    </row>
    <row customHeight="1" ht="11.25">
      <c r="A152" s="1507" t="s">
        <v>990</v>
      </c>
      <c r="B152" s="1507"/>
      <c r="C152" s="1507"/>
      <c r="D152" s="1501"/>
      <c r="E152" s="1511"/>
      <c r="F152" s="2170"/>
      <c r="G152" s="2171"/>
      <c r="H152" s="2856" t="s">
        <v>1114</v>
      </c>
      <c r="I152" s="2857"/>
      <c r="J152" s="2826"/>
      <c r="K152" s="2858"/>
      <c r="L152" s="2448"/>
      <c r="M152" s="2449"/>
      <c r="N152" s="1516"/>
      <c r="O152" s="1517"/>
      <c r="P152" s="1509" t="s">
        <v>1038</v>
      </c>
      <c r="Q152" s="1517"/>
      <c r="R152" s="1517"/>
      <c r="S152" s="1517"/>
      <c r="T152" s="1517"/>
      <c r="U152" s="1517"/>
      <c r="V152" s="1517"/>
      <c r="W152" s="1517"/>
      <c r="X152" s="1517"/>
      <c r="Y152" s="1517"/>
      <c r="Z152" s="1517"/>
      <c r="AA152" s="1517"/>
      <c r="AB152" s="1517"/>
      <c r="AC152" s="1517"/>
      <c r="AD152" s="1517"/>
      <c r="AE152" s="1524"/>
      <c r="AF152" s="2847"/>
      <c r="AG152" s="2848"/>
      <c r="AH152" s="2848"/>
      <c r="AI152" s="2847"/>
      <c r="AJ152" s="2848"/>
      <c r="AK152" s="2848"/>
      <c r="AL152" s="2329"/>
      <c r="AM152" s="2164"/>
      <c r="AN152" s="2164"/>
      <c r="AO152" s="2164"/>
      <c r="AP152" s="2164"/>
      <c r="AQ152" s="2164"/>
      <c r="AR152" s="2164"/>
      <c r="AS152" s="2164"/>
      <c r="AT152" s="2164"/>
      <c r="AU152" s="2164"/>
      <c r="AV152" s="2164"/>
      <c r="AW152" s="2164"/>
      <c r="AX152" s="2164"/>
      <c r="AY152" s="2164"/>
      <c r="AZ152" s="2164"/>
      <c r="BA152" s="2164"/>
      <c r="BB152" s="2164"/>
      <c r="BC152" s="2164"/>
      <c r="BD152" s="2164"/>
      <c r="BE152" s="2164"/>
      <c r="BF152" s="2164"/>
      <c r="BG152" s="7511"/>
    </row>
    <row customHeight="1" ht="11.25">
      <c r="A153" s="1507" t="s">
        <v>990</v>
      </c>
      <c r="B153" s="1507" t="s">
        <v>22</v>
      </c>
      <c r="C153" s="1507"/>
      <c r="D153" s="1501"/>
      <c r="E153" s="1511"/>
      <c r="F153" s="2170"/>
      <c r="G153" s="7510" t="s">
        <v>684</v>
      </c>
      <c r="H153" s="2856" t="s">
        <v>1118</v>
      </c>
      <c r="I153" s="2857" t="s">
        <v>1119</v>
      </c>
      <c r="J153" s="7514" t="s">
        <v>22</v>
      </c>
      <c r="K153" s="2858" t="s">
        <v>1120</v>
      </c>
      <c r="L153" s="2448" t="s">
        <v>19</v>
      </c>
      <c r="M153" s="2449"/>
      <c r="N153" s="2327"/>
      <c r="O153" s="1518" t="s">
        <v>371</v>
      </c>
      <c r="P153" s="1519"/>
      <c r="Q153" s="1519"/>
      <c r="R153" s="1519"/>
      <c r="S153" s="1519"/>
      <c r="T153" s="1519"/>
      <c r="U153" s="1519"/>
      <c r="V153" s="1519"/>
      <c r="W153" s="1519"/>
      <c r="X153" s="1519"/>
      <c r="Y153" s="1519"/>
      <c r="Z153" s="1519"/>
      <c r="AA153" s="1519"/>
      <c r="AB153" s="1519"/>
      <c r="AC153" s="1519"/>
      <c r="AD153" s="1519"/>
      <c r="AE153" s="1519"/>
      <c r="AF153" s="2847">
        <v>6</v>
      </c>
      <c r="AG153" s="2848" t="s">
        <v>1026</v>
      </c>
      <c r="AH153" s="2848" t="s">
        <v>1104</v>
      </c>
      <c r="AI153" s="2847"/>
      <c r="AJ153" s="2848"/>
      <c r="AK153" s="2848"/>
      <c r="AL153" s="2329"/>
      <c r="AM153" s="2164"/>
      <c r="AN153" s="2164"/>
      <c r="AO153" s="2164"/>
      <c r="AP153" s="2164"/>
      <c r="AQ153" s="2164"/>
      <c r="AR153" s="2164"/>
      <c r="AS153" s="2164"/>
      <c r="AT153" s="2164"/>
      <c r="AU153" s="2164"/>
      <c r="AV153" s="2164"/>
      <c r="AW153" s="2164"/>
      <c r="AX153" s="2164"/>
      <c r="AY153" s="2164"/>
      <c r="AZ153" s="2164"/>
      <c r="BA153" s="2164"/>
      <c r="BB153" s="2164"/>
      <c r="BC153" s="2164"/>
      <c r="BD153" s="2164"/>
      <c r="BE153" s="2164"/>
      <c r="BF153" s="2164"/>
      <c r="BG153" s="7511"/>
    </row>
    <row customHeight="1" ht="11.25">
      <c r="A154" s="1507" t="s">
        <v>990</v>
      </c>
      <c r="B154" s="1507"/>
      <c r="C154" s="1507"/>
      <c r="D154" s="1501"/>
      <c r="E154" s="1511"/>
      <c r="F154" s="2170"/>
      <c r="G154" s="2171"/>
      <c r="H154" s="2856" t="s">
        <v>1116</v>
      </c>
      <c r="I154" s="2857"/>
      <c r="J154" s="7514"/>
      <c r="K154" s="2858"/>
      <c r="L154" s="2448"/>
      <c r="M154" s="2449"/>
      <c r="N154" s="2849"/>
      <c r="O154" s="2850">
        <v>1</v>
      </c>
      <c r="P154" s="2851" t="s">
        <v>65</v>
      </c>
      <c r="Q154" s="7512" t="s">
        <v>1105</v>
      </c>
      <c r="R154" s="7513" t="s">
        <v>1083</v>
      </c>
      <c r="S154" s="7513" t="s">
        <v>1030</v>
      </c>
      <c r="T154" s="7513" t="s">
        <v>1030</v>
      </c>
      <c r="U154" s="7513" t="s">
        <v>1031</v>
      </c>
      <c r="V154" s="7513" t="s">
        <v>1032</v>
      </c>
      <c r="W154" s="7513" t="s">
        <v>1033</v>
      </c>
      <c r="X154" s="7513" t="s">
        <v>1106</v>
      </c>
      <c r="Y154" s="7513" t="s">
        <v>1107</v>
      </c>
      <c r="Z154" s="1516"/>
      <c r="AA154" s="1517"/>
      <c r="AB154" s="1517"/>
      <c r="AC154" s="1521"/>
      <c r="AD154" s="1521"/>
      <c r="AE154" s="1522"/>
      <c r="AF154" s="2847"/>
      <c r="AG154" s="2848"/>
      <c r="AH154" s="2848"/>
      <c r="AI154" s="2847"/>
      <c r="AJ154" s="2848"/>
      <c r="AK154" s="2848"/>
      <c r="AL154" s="2329"/>
      <c r="AM154" s="2164"/>
      <c r="AN154" s="2164"/>
      <c r="AO154" s="2164"/>
      <c r="AP154" s="2164"/>
      <c r="AQ154" s="2164"/>
      <c r="AR154" s="2164"/>
      <c r="AS154" s="2164"/>
      <c r="AT154" s="2164"/>
      <c r="AU154" s="2164"/>
      <c r="AV154" s="2164"/>
      <c r="AW154" s="2164"/>
      <c r="AX154" s="2164"/>
      <c r="AY154" s="2164"/>
      <c r="AZ154" s="2164"/>
      <c r="BA154" s="2164"/>
      <c r="BB154" s="2164"/>
      <c r="BC154" s="2164"/>
      <c r="BD154" s="2164"/>
      <c r="BE154" s="2164"/>
      <c r="BF154" s="2164"/>
      <c r="BG154" s="7511"/>
    </row>
    <row customHeight="1" ht="11.25">
      <c r="A155" s="1507" t="s">
        <v>990</v>
      </c>
      <c r="B155" s="1507"/>
      <c r="C155" s="1507"/>
      <c r="D155" s="1501"/>
      <c r="E155" s="1511"/>
      <c r="F155" s="2170"/>
      <c r="G155" s="2171"/>
      <c r="H155" s="2856" t="s">
        <v>1116</v>
      </c>
      <c r="I155" s="2857"/>
      <c r="J155" s="7514"/>
      <c r="K155" s="2858"/>
      <c r="L155" s="2448"/>
      <c r="M155" s="2449"/>
      <c r="N155" s="2849"/>
      <c r="O155" s="2850"/>
      <c r="P155" s="2852"/>
      <c r="Q155" s="7512"/>
      <c r="R155" s="2854"/>
      <c r="S155" s="2855"/>
      <c r="T155" s="2854"/>
      <c r="U155" s="2854"/>
      <c r="V155" s="2854"/>
      <c r="W155" s="2854"/>
      <c r="X155" s="2854"/>
      <c r="Y155" s="2854"/>
      <c r="Z155" s="2169"/>
      <c r="AA155" s="2135">
        <v>1</v>
      </c>
      <c r="AB155" s="1520" t="s">
        <v>1035</v>
      </c>
      <c r="AC155" s="1510">
        <v>24565.71938</v>
      </c>
      <c r="AD155" s="1520" t="str">
        <f>AB155</f>
        <v>      Амортизационные отчисления с выделением результатов переоценки основных средств и нематериальных активов</v>
      </c>
      <c r="AE155" s="1510"/>
      <c r="AF155" s="2847"/>
      <c r="AG155" s="2848"/>
      <c r="AH155" s="2848"/>
      <c r="AI155" s="2847"/>
      <c r="AJ155" s="2848"/>
      <c r="AK155" s="2848"/>
      <c r="AL155" s="2329"/>
      <c r="AM155" s="2164"/>
      <c r="AN155" s="2164"/>
      <c r="AO155" s="2164"/>
      <c r="AP155" s="2164"/>
      <c r="AQ155" s="2164"/>
      <c r="AR155" s="2164"/>
      <c r="AS155" s="2164"/>
      <c r="AT155" s="2164"/>
      <c r="AU155" s="2164"/>
      <c r="AV155" s="2164"/>
      <c r="AW155" s="2164"/>
      <c r="AX155" s="2164"/>
      <c r="AY155" s="2164"/>
      <c r="AZ155" s="2164"/>
      <c r="BA155" s="2164"/>
      <c r="BB155" s="2164"/>
      <c r="BC155" s="2164"/>
      <c r="BD155" s="2164"/>
      <c r="BE155" s="2164"/>
      <c r="BF155" s="2164"/>
      <c r="BG155" s="7511"/>
    </row>
    <row customHeight="1" ht="11.25">
      <c r="A156" s="1507" t="s">
        <v>990</v>
      </c>
      <c r="B156" s="1507"/>
      <c r="C156" s="1507"/>
      <c r="D156" s="1501"/>
      <c r="E156" s="1511"/>
      <c r="F156" s="2171"/>
      <c r="G156" s="2171"/>
      <c r="H156" s="2171"/>
      <c r="I156" s="2171"/>
      <c r="J156" s="2171"/>
      <c r="K156" s="2171"/>
      <c r="L156" s="2171"/>
      <c r="M156" s="2171"/>
      <c r="N156" s="2171"/>
      <c r="O156" s="2171"/>
      <c r="P156" s="2171"/>
      <c r="Q156" s="2171"/>
      <c r="R156" s="2171"/>
      <c r="S156" s="2171"/>
      <c r="T156" s="2171"/>
      <c r="U156" s="2171"/>
      <c r="V156" s="2171"/>
      <c r="W156" s="2171"/>
      <c r="X156" s="2171"/>
      <c r="Y156" s="2171"/>
      <c r="Z156" s="7510" t="s">
        <v>684</v>
      </c>
      <c r="AA156" s="2155" t="s">
        <v>107</v>
      </c>
      <c r="AB156" s="1520" t="s">
        <v>1036</v>
      </c>
      <c r="AC156" s="1510">
        <v>4790.37893</v>
      </c>
      <c r="AD156" s="1520" t="str">
        <f>AB156</f>
        <v>  Прочие собственные средства</v>
      </c>
      <c r="AE156" s="1510"/>
      <c r="AF156" s="2172"/>
      <c r="AG156" s="2100"/>
      <c r="AH156" s="2100"/>
      <c r="AI156" s="2172"/>
      <c r="AJ156" s="2100"/>
      <c r="AK156" s="2328"/>
      <c r="AL156" s="2329"/>
      <c r="AM156" s="2164"/>
      <c r="AN156" s="2164"/>
      <c r="AO156" s="2164"/>
      <c r="AP156" s="2164"/>
      <c r="AQ156" s="2164"/>
      <c r="AR156" s="2164"/>
      <c r="AS156" s="2164"/>
      <c r="AT156" s="2164"/>
      <c r="AU156" s="2164"/>
      <c r="AV156" s="2164"/>
      <c r="AW156" s="2164"/>
      <c r="AX156" s="2164"/>
      <c r="AY156" s="2164"/>
      <c r="AZ156" s="2164"/>
      <c r="BA156" s="2164"/>
      <c r="BB156" s="2164"/>
      <c r="BC156" s="2164"/>
      <c r="BD156" s="2164"/>
      <c r="BE156" s="2164"/>
      <c r="BF156" s="2164"/>
      <c r="BG156" s="7511"/>
    </row>
    <row customHeight="1" ht="11.25">
      <c r="A157" s="1507" t="s">
        <v>990</v>
      </c>
      <c r="B157" s="1507"/>
      <c r="C157" s="1507"/>
      <c r="D157" s="1501"/>
      <c r="E157" s="1511"/>
      <c r="F157" s="2170"/>
      <c r="G157" s="2171"/>
      <c r="H157" s="2856" t="s">
        <v>1116</v>
      </c>
      <c r="I157" s="2857"/>
      <c r="J157" s="7514"/>
      <c r="K157" s="2858"/>
      <c r="L157" s="2448"/>
      <c r="M157" s="2449"/>
      <c r="N157" s="2849"/>
      <c r="O157" s="2850"/>
      <c r="P157" s="2853"/>
      <c r="Q157" s="7512"/>
      <c r="R157" s="2854"/>
      <c r="S157" s="2855"/>
      <c r="T157" s="2854"/>
      <c r="U157" s="2854"/>
      <c r="V157" s="2854"/>
      <c r="W157" s="2854"/>
      <c r="X157" s="2854"/>
      <c r="Y157" s="2854"/>
      <c r="Z157" s="1516"/>
      <c r="AA157" s="1517"/>
      <c r="AB157" s="1582" t="s">
        <v>1037</v>
      </c>
      <c r="AC157" s="1521"/>
      <c r="AD157" s="1521"/>
      <c r="AE157" s="1523"/>
      <c r="AF157" s="2847"/>
      <c r="AG157" s="2848"/>
      <c r="AH157" s="2848"/>
      <c r="AI157" s="2847"/>
      <c r="AJ157" s="2848"/>
      <c r="AK157" s="2848"/>
      <c r="AL157" s="2329"/>
      <c r="AM157" s="2164"/>
      <c r="AN157" s="2164"/>
      <c r="AO157" s="2164"/>
      <c r="AP157" s="2164"/>
      <c r="AQ157" s="2164"/>
      <c r="AR157" s="2164"/>
      <c r="AS157" s="2164"/>
      <c r="AT157" s="2164"/>
      <c r="AU157" s="2164"/>
      <c r="AV157" s="2164"/>
      <c r="AW157" s="2164"/>
      <c r="AX157" s="2164"/>
      <c r="AY157" s="2164"/>
      <c r="AZ157" s="2164"/>
      <c r="BA157" s="2164"/>
      <c r="BB157" s="2164"/>
      <c r="BC157" s="2164"/>
      <c r="BD157" s="2164"/>
      <c r="BE157" s="2164"/>
      <c r="BF157" s="2164"/>
      <c r="BG157" s="7511"/>
    </row>
    <row customHeight="1" ht="11.25">
      <c r="A158" s="1507" t="s">
        <v>990</v>
      </c>
      <c r="B158" s="1507"/>
      <c r="C158" s="1507"/>
      <c r="D158" s="1501"/>
      <c r="E158" s="1511"/>
      <c r="F158" s="2170"/>
      <c r="G158" s="2171"/>
      <c r="H158" s="2856" t="s">
        <v>1116</v>
      </c>
      <c r="I158" s="2857"/>
      <c r="J158" s="7514"/>
      <c r="K158" s="2858"/>
      <c r="L158" s="2448"/>
      <c r="M158" s="2449"/>
      <c r="N158" s="1516"/>
      <c r="O158" s="1517"/>
      <c r="P158" s="1509" t="s">
        <v>1038</v>
      </c>
      <c r="Q158" s="1517"/>
      <c r="R158" s="1517"/>
      <c r="S158" s="1517"/>
      <c r="T158" s="1517"/>
      <c r="U158" s="1517"/>
      <c r="V158" s="1517"/>
      <c r="W158" s="1517"/>
      <c r="X158" s="1517"/>
      <c r="Y158" s="1517"/>
      <c r="Z158" s="1517"/>
      <c r="AA158" s="1517"/>
      <c r="AB158" s="1517"/>
      <c r="AC158" s="1517"/>
      <c r="AD158" s="1517"/>
      <c r="AE158" s="1524"/>
      <c r="AF158" s="2847"/>
      <c r="AG158" s="2848"/>
      <c r="AH158" s="2848"/>
      <c r="AI158" s="2847"/>
      <c r="AJ158" s="2848"/>
      <c r="AK158" s="2848"/>
      <c r="AL158" s="2329"/>
      <c r="AM158" s="2164"/>
      <c r="AN158" s="2164"/>
      <c r="AO158" s="2164"/>
      <c r="AP158" s="2164"/>
      <c r="AQ158" s="2164"/>
      <c r="AR158" s="2164"/>
      <c r="AS158" s="2164"/>
      <c r="AT158" s="2164"/>
      <c r="AU158" s="2164"/>
      <c r="AV158" s="2164"/>
      <c r="AW158" s="2164"/>
      <c r="AX158" s="2164"/>
      <c r="AY158" s="2164"/>
      <c r="AZ158" s="2164"/>
      <c r="BA158" s="2164"/>
      <c r="BB158" s="2164"/>
      <c r="BC158" s="2164"/>
      <c r="BD158" s="2164"/>
      <c r="BE158" s="2164"/>
      <c r="BF158" s="2164"/>
      <c r="BG158" s="7511"/>
    </row>
    <row customHeight="1" ht="11.25">
      <c r="A159" s="1507" t="s">
        <v>990</v>
      </c>
      <c r="B159" s="1507" t="s">
        <v>1022</v>
      </c>
      <c r="C159" s="1507"/>
      <c r="D159" s="1501"/>
      <c r="E159" s="1511"/>
      <c r="F159" s="2170"/>
      <c r="G159" s="7510" t="s">
        <v>684</v>
      </c>
      <c r="H159" s="2856" t="s">
        <v>1121</v>
      </c>
      <c r="I159" s="2857" t="s">
        <v>1023</v>
      </c>
      <c r="J159" s="2826" t="s">
        <v>1024</v>
      </c>
      <c r="K159" s="2858" t="s">
        <v>1122</v>
      </c>
      <c r="L159" s="2448" t="s">
        <v>19</v>
      </c>
      <c r="M159" s="2449"/>
      <c r="N159" s="2327"/>
      <c r="O159" s="1518" t="s">
        <v>371</v>
      </c>
      <c r="P159" s="1519"/>
      <c r="Q159" s="1519"/>
      <c r="R159" s="1519"/>
      <c r="S159" s="1519"/>
      <c r="T159" s="1519"/>
      <c r="U159" s="1519"/>
      <c r="V159" s="1519"/>
      <c r="W159" s="1519"/>
      <c r="X159" s="1519"/>
      <c r="Y159" s="1519"/>
      <c r="Z159" s="1519"/>
      <c r="AA159" s="1519"/>
      <c r="AB159" s="1519"/>
      <c r="AC159" s="1519"/>
      <c r="AD159" s="1519"/>
      <c r="AE159" s="1519"/>
      <c r="AF159" s="2847">
        <v>1</v>
      </c>
      <c r="AG159" s="2848" t="s">
        <v>1026</v>
      </c>
      <c r="AH159" s="2848" t="s">
        <v>1063</v>
      </c>
      <c r="AI159" s="2847"/>
      <c r="AJ159" s="2848"/>
      <c r="AK159" s="2848"/>
      <c r="AL159" s="2329"/>
      <c r="AM159" s="2164"/>
      <c r="AN159" s="2164"/>
      <c r="AO159" s="2164"/>
      <c r="AP159" s="2164"/>
      <c r="AQ159" s="2164"/>
      <c r="AR159" s="2164"/>
      <c r="AS159" s="2164"/>
      <c r="AT159" s="2164"/>
      <c r="AU159" s="2164"/>
      <c r="AV159" s="2164"/>
      <c r="AW159" s="2164"/>
      <c r="AX159" s="2164"/>
      <c r="AY159" s="2164"/>
      <c r="AZ159" s="2164"/>
      <c r="BA159" s="2164"/>
      <c r="BB159" s="2164"/>
      <c r="BC159" s="2164"/>
      <c r="BD159" s="2164"/>
      <c r="BE159" s="2164"/>
      <c r="BF159" s="2164"/>
      <c r="BG159" s="7511"/>
    </row>
    <row customHeight="1" ht="11.25">
      <c r="A160" s="1507" t="s">
        <v>990</v>
      </c>
      <c r="B160" s="1507"/>
      <c r="C160" s="1507"/>
      <c r="D160" s="1501"/>
      <c r="E160" s="1511"/>
      <c r="F160" s="2170"/>
      <c r="G160" s="2171"/>
      <c r="H160" s="2856" t="s">
        <v>1118</v>
      </c>
      <c r="I160" s="2857"/>
      <c r="J160" s="2826"/>
      <c r="K160" s="2858"/>
      <c r="L160" s="2448"/>
      <c r="M160" s="2449"/>
      <c r="N160" s="2849"/>
      <c r="O160" s="2850">
        <v>1</v>
      </c>
      <c r="P160" s="2851" t="s">
        <v>65</v>
      </c>
      <c r="Q160" s="7512" t="s">
        <v>1105</v>
      </c>
      <c r="R160" s="7513" t="s">
        <v>1083</v>
      </c>
      <c r="S160" s="7513" t="s">
        <v>1030</v>
      </c>
      <c r="T160" s="7513" t="s">
        <v>1030</v>
      </c>
      <c r="U160" s="7513" t="s">
        <v>1031</v>
      </c>
      <c r="V160" s="7513" t="s">
        <v>1032</v>
      </c>
      <c r="W160" s="7513" t="s">
        <v>1033</v>
      </c>
      <c r="X160" s="7513" t="s">
        <v>1106</v>
      </c>
      <c r="Y160" s="7513" t="s">
        <v>1107</v>
      </c>
      <c r="Z160" s="1516"/>
      <c r="AA160" s="1517"/>
      <c r="AB160" s="1517"/>
      <c r="AC160" s="1521"/>
      <c r="AD160" s="1521"/>
      <c r="AE160" s="1522"/>
      <c r="AF160" s="2847"/>
      <c r="AG160" s="2848"/>
      <c r="AH160" s="2848"/>
      <c r="AI160" s="2847"/>
      <c r="AJ160" s="2848"/>
      <c r="AK160" s="2848"/>
      <c r="AL160" s="2329"/>
      <c r="AM160" s="2164"/>
      <c r="AN160" s="2164"/>
      <c r="AO160" s="2164"/>
      <c r="AP160" s="2164"/>
      <c r="AQ160" s="2164"/>
      <c r="AR160" s="2164"/>
      <c r="AS160" s="2164"/>
      <c r="AT160" s="2164"/>
      <c r="AU160" s="2164"/>
      <c r="AV160" s="2164"/>
      <c r="AW160" s="2164"/>
      <c r="AX160" s="2164"/>
      <c r="AY160" s="2164"/>
      <c r="AZ160" s="2164"/>
      <c r="BA160" s="2164"/>
      <c r="BB160" s="2164"/>
      <c r="BC160" s="2164"/>
      <c r="BD160" s="2164"/>
      <c r="BE160" s="2164"/>
      <c r="BF160" s="2164"/>
      <c r="BG160" s="7511"/>
    </row>
    <row customHeight="1" ht="11.25">
      <c r="A161" s="1507" t="s">
        <v>990</v>
      </c>
      <c r="B161" s="1507"/>
      <c r="C161" s="1507"/>
      <c r="D161" s="1501"/>
      <c r="E161" s="1511"/>
      <c r="F161" s="2170"/>
      <c r="G161" s="2171"/>
      <c r="H161" s="2856" t="s">
        <v>1118</v>
      </c>
      <c r="I161" s="2857"/>
      <c r="J161" s="2826"/>
      <c r="K161" s="2858"/>
      <c r="L161" s="2448"/>
      <c r="M161" s="2449"/>
      <c r="N161" s="2849"/>
      <c r="O161" s="2850"/>
      <c r="P161" s="2852"/>
      <c r="Q161" s="7512"/>
      <c r="R161" s="2854"/>
      <c r="S161" s="2855"/>
      <c r="T161" s="2854"/>
      <c r="U161" s="2854"/>
      <c r="V161" s="2854"/>
      <c r="W161" s="2854"/>
      <c r="X161" s="2854"/>
      <c r="Y161" s="2854"/>
      <c r="Z161" s="2169"/>
      <c r="AA161" s="2135">
        <v>1</v>
      </c>
      <c r="AB161" s="1520" t="s">
        <v>1035</v>
      </c>
      <c r="AC161" s="1510">
        <v>313.7995</v>
      </c>
      <c r="AD161" s="1520" t="str">
        <f>AB161</f>
        <v>      Амортизационные отчисления с выделением результатов переоценки основных средств и нематериальных активов</v>
      </c>
      <c r="AE161" s="1510"/>
      <c r="AF161" s="2847"/>
      <c r="AG161" s="2848"/>
      <c r="AH161" s="2848"/>
      <c r="AI161" s="2847"/>
      <c r="AJ161" s="2848"/>
      <c r="AK161" s="2848"/>
      <c r="AL161" s="2329"/>
      <c r="AM161" s="2164"/>
      <c r="AN161" s="2164"/>
      <c r="AO161" s="2164"/>
      <c r="AP161" s="2164"/>
      <c r="AQ161" s="2164"/>
      <c r="AR161" s="2164"/>
      <c r="AS161" s="2164"/>
      <c r="AT161" s="2164"/>
      <c r="AU161" s="2164"/>
      <c r="AV161" s="2164"/>
      <c r="AW161" s="2164"/>
      <c r="AX161" s="2164"/>
      <c r="AY161" s="2164"/>
      <c r="AZ161" s="2164"/>
      <c r="BA161" s="2164"/>
      <c r="BB161" s="2164"/>
      <c r="BC161" s="2164"/>
      <c r="BD161" s="2164"/>
      <c r="BE161" s="2164"/>
      <c r="BF161" s="2164"/>
      <c r="BG161" s="7511"/>
    </row>
    <row customHeight="1" ht="11.25">
      <c r="A162" s="1507" t="s">
        <v>990</v>
      </c>
      <c r="B162" s="1507"/>
      <c r="C162" s="1507"/>
      <c r="D162" s="1501"/>
      <c r="E162" s="1511"/>
      <c r="F162" s="2171"/>
      <c r="G162" s="2171"/>
      <c r="H162" s="2171"/>
      <c r="I162" s="2171"/>
      <c r="J162" s="2171"/>
      <c r="K162" s="2171"/>
      <c r="L162" s="2171"/>
      <c r="M162" s="2171"/>
      <c r="N162" s="2171"/>
      <c r="O162" s="2171"/>
      <c r="P162" s="2171"/>
      <c r="Q162" s="2171"/>
      <c r="R162" s="2171"/>
      <c r="S162" s="2171"/>
      <c r="T162" s="2171"/>
      <c r="U162" s="2171"/>
      <c r="V162" s="2171"/>
      <c r="W162" s="2171"/>
      <c r="X162" s="2171"/>
      <c r="Y162" s="2171"/>
      <c r="Z162" s="7510" t="s">
        <v>684</v>
      </c>
      <c r="AA162" s="2155" t="s">
        <v>107</v>
      </c>
      <c r="AB162" s="1520" t="s">
        <v>1036</v>
      </c>
      <c r="AC162" s="1510">
        <v>3708.641</v>
      </c>
      <c r="AD162" s="1520" t="str">
        <f>AB162</f>
        <v>  Прочие собственные средства</v>
      </c>
      <c r="AE162" s="1510"/>
      <c r="AF162" s="2172"/>
      <c r="AG162" s="2100"/>
      <c r="AH162" s="2100"/>
      <c r="AI162" s="2172"/>
      <c r="AJ162" s="2100"/>
      <c r="AK162" s="2328"/>
      <c r="AL162" s="2329"/>
      <c r="AM162" s="2164"/>
      <c r="AN162" s="2164"/>
      <c r="AO162" s="2164"/>
      <c r="AP162" s="2164"/>
      <c r="AQ162" s="2164"/>
      <c r="AR162" s="2164"/>
      <c r="AS162" s="2164"/>
      <c r="AT162" s="2164"/>
      <c r="AU162" s="2164"/>
      <c r="AV162" s="2164"/>
      <c r="AW162" s="2164"/>
      <c r="AX162" s="2164"/>
      <c r="AY162" s="2164"/>
      <c r="AZ162" s="2164"/>
      <c r="BA162" s="2164"/>
      <c r="BB162" s="2164"/>
      <c r="BC162" s="2164"/>
      <c r="BD162" s="2164"/>
      <c r="BE162" s="2164"/>
      <c r="BF162" s="2164"/>
      <c r="BG162" s="7511"/>
    </row>
    <row customHeight="1" ht="11.25">
      <c r="A163" s="1507" t="s">
        <v>990</v>
      </c>
      <c r="B163" s="1507"/>
      <c r="C163" s="1507"/>
      <c r="D163" s="1501"/>
      <c r="E163" s="1511"/>
      <c r="F163" s="2170"/>
      <c r="G163" s="2171"/>
      <c r="H163" s="2856" t="s">
        <v>1118</v>
      </c>
      <c r="I163" s="2857"/>
      <c r="J163" s="2826"/>
      <c r="K163" s="2858"/>
      <c r="L163" s="2448"/>
      <c r="M163" s="2449"/>
      <c r="N163" s="2849"/>
      <c r="O163" s="2850"/>
      <c r="P163" s="2853"/>
      <c r="Q163" s="7512"/>
      <c r="R163" s="2854"/>
      <c r="S163" s="2855"/>
      <c r="T163" s="2854"/>
      <c r="U163" s="2854"/>
      <c r="V163" s="2854"/>
      <c r="W163" s="2854"/>
      <c r="X163" s="2854"/>
      <c r="Y163" s="2854"/>
      <c r="Z163" s="1516"/>
      <c r="AA163" s="1517"/>
      <c r="AB163" s="1582" t="s">
        <v>1037</v>
      </c>
      <c r="AC163" s="1521"/>
      <c r="AD163" s="1521"/>
      <c r="AE163" s="1523"/>
      <c r="AF163" s="2847"/>
      <c r="AG163" s="2848"/>
      <c r="AH163" s="2848"/>
      <c r="AI163" s="2847"/>
      <c r="AJ163" s="2848"/>
      <c r="AK163" s="2848"/>
      <c r="AL163" s="2329"/>
      <c r="AM163" s="2164"/>
      <c r="AN163" s="2164"/>
      <c r="AO163" s="2164"/>
      <c r="AP163" s="2164"/>
      <c r="AQ163" s="2164"/>
      <c r="AR163" s="2164"/>
      <c r="AS163" s="2164"/>
      <c r="AT163" s="2164"/>
      <c r="AU163" s="2164"/>
      <c r="AV163" s="2164"/>
      <c r="AW163" s="2164"/>
      <c r="AX163" s="2164"/>
      <c r="AY163" s="2164"/>
      <c r="AZ163" s="2164"/>
      <c r="BA163" s="2164"/>
      <c r="BB163" s="2164"/>
      <c r="BC163" s="2164"/>
      <c r="BD163" s="2164"/>
      <c r="BE163" s="2164"/>
      <c r="BF163" s="2164"/>
      <c r="BG163" s="7511"/>
    </row>
    <row customHeight="1" ht="11.25">
      <c r="A164" s="1507" t="s">
        <v>990</v>
      </c>
      <c r="B164" s="1507"/>
      <c r="C164" s="1507"/>
      <c r="D164" s="1501"/>
      <c r="E164" s="1511"/>
      <c r="F164" s="2170"/>
      <c r="G164" s="2171"/>
      <c r="H164" s="2856" t="s">
        <v>1118</v>
      </c>
      <c r="I164" s="2857"/>
      <c r="J164" s="2826"/>
      <c r="K164" s="2858"/>
      <c r="L164" s="2448"/>
      <c r="M164" s="2449"/>
      <c r="N164" s="1516"/>
      <c r="O164" s="1517"/>
      <c r="P164" s="1509" t="s">
        <v>1038</v>
      </c>
      <c r="Q164" s="1517"/>
      <c r="R164" s="1517"/>
      <c r="S164" s="1517"/>
      <c r="T164" s="1517"/>
      <c r="U164" s="1517"/>
      <c r="V164" s="1517"/>
      <c r="W164" s="1517"/>
      <c r="X164" s="1517"/>
      <c r="Y164" s="1517"/>
      <c r="Z164" s="1517"/>
      <c r="AA164" s="1517"/>
      <c r="AB164" s="1517"/>
      <c r="AC164" s="1517"/>
      <c r="AD164" s="1517"/>
      <c r="AE164" s="1524"/>
      <c r="AF164" s="2847"/>
      <c r="AG164" s="2848"/>
      <c r="AH164" s="2848"/>
      <c r="AI164" s="2847"/>
      <c r="AJ164" s="2848"/>
      <c r="AK164" s="2848"/>
      <c r="AL164" s="2329"/>
      <c r="AM164" s="2164"/>
      <c r="AN164" s="2164"/>
      <c r="AO164" s="2164"/>
      <c r="AP164" s="2164"/>
      <c r="AQ164" s="2164"/>
      <c r="AR164" s="2164"/>
      <c r="AS164" s="2164"/>
      <c r="AT164" s="2164"/>
      <c r="AU164" s="2164"/>
      <c r="AV164" s="2164"/>
      <c r="AW164" s="2164"/>
      <c r="AX164" s="2164"/>
      <c r="AY164" s="2164"/>
      <c r="AZ164" s="2164"/>
      <c r="BA164" s="2164"/>
      <c r="BB164" s="2164"/>
      <c r="BC164" s="2164"/>
      <c r="BD164" s="2164"/>
      <c r="BE164" s="2164"/>
      <c r="BF164" s="2164"/>
      <c r="BG164" s="7511"/>
    </row>
    <row customHeight="1" ht="11.25">
      <c r="A165" s="1507" t="s">
        <v>990</v>
      </c>
      <c r="B165" s="1507" t="s">
        <v>1022</v>
      </c>
      <c r="C165" s="1507"/>
      <c r="D165" s="1501"/>
      <c r="E165" s="1511"/>
      <c r="F165" s="2170"/>
      <c r="G165" s="7510" t="s">
        <v>684</v>
      </c>
      <c r="H165" s="2856" t="s">
        <v>1123</v>
      </c>
      <c r="I165" s="2857" t="s">
        <v>1023</v>
      </c>
      <c r="J165" s="2826" t="s">
        <v>1071</v>
      </c>
      <c r="K165" s="2858" t="s">
        <v>1124</v>
      </c>
      <c r="L165" s="2448" t="s">
        <v>19</v>
      </c>
      <c r="M165" s="2449"/>
      <c r="N165" s="2327"/>
      <c r="O165" s="1518" t="s">
        <v>371</v>
      </c>
      <c r="P165" s="1519"/>
      <c r="Q165" s="1519"/>
      <c r="R165" s="1519"/>
      <c r="S165" s="1519"/>
      <c r="T165" s="1519"/>
      <c r="U165" s="1519"/>
      <c r="V165" s="1519"/>
      <c r="W165" s="1519"/>
      <c r="X165" s="1519"/>
      <c r="Y165" s="1519"/>
      <c r="Z165" s="1519"/>
      <c r="AA165" s="1519"/>
      <c r="AB165" s="1519"/>
      <c r="AC165" s="1519"/>
      <c r="AD165" s="1519"/>
      <c r="AE165" s="1519"/>
      <c r="AF165" s="2847">
        <v>6</v>
      </c>
      <c r="AG165" s="2848" t="s">
        <v>1067</v>
      </c>
      <c r="AH165" s="2848" t="s">
        <v>1104</v>
      </c>
      <c r="AI165" s="2847"/>
      <c r="AJ165" s="2848"/>
      <c r="AK165" s="2848"/>
      <c r="AL165" s="2329"/>
      <c r="AM165" s="2164"/>
      <c r="AN165" s="2164"/>
      <c r="AO165" s="2164"/>
      <c r="AP165" s="2164"/>
      <c r="AQ165" s="2164"/>
      <c r="AR165" s="2164"/>
      <c r="AS165" s="2164"/>
      <c r="AT165" s="2164"/>
      <c r="AU165" s="2164"/>
      <c r="AV165" s="2164"/>
      <c r="AW165" s="2164"/>
      <c r="AX165" s="2164"/>
      <c r="AY165" s="2164"/>
      <c r="AZ165" s="2164"/>
      <c r="BA165" s="2164"/>
      <c r="BB165" s="2164"/>
      <c r="BC165" s="2164"/>
      <c r="BD165" s="2164"/>
      <c r="BE165" s="2164"/>
      <c r="BF165" s="2164"/>
      <c r="BG165" s="7511"/>
    </row>
    <row customHeight="1" ht="11.25">
      <c r="A166" s="1507" t="s">
        <v>990</v>
      </c>
      <c r="B166" s="1507"/>
      <c r="C166" s="1507"/>
      <c r="D166" s="1501"/>
      <c r="E166" s="1511"/>
      <c r="F166" s="2170"/>
      <c r="G166" s="2171"/>
      <c r="H166" s="2856" t="s">
        <v>1121</v>
      </c>
      <c r="I166" s="2857"/>
      <c r="J166" s="2826"/>
      <c r="K166" s="2858"/>
      <c r="L166" s="2448"/>
      <c r="M166" s="2449"/>
      <c r="N166" s="2849"/>
      <c r="O166" s="2850">
        <v>1</v>
      </c>
      <c r="P166" s="2851" t="s">
        <v>65</v>
      </c>
      <c r="Q166" s="7512" t="s">
        <v>1105</v>
      </c>
      <c r="R166" s="7513" t="s">
        <v>1083</v>
      </c>
      <c r="S166" s="7513" t="s">
        <v>1030</v>
      </c>
      <c r="T166" s="7513" t="s">
        <v>1030</v>
      </c>
      <c r="U166" s="7513" t="s">
        <v>1031</v>
      </c>
      <c r="V166" s="7513" t="s">
        <v>1032</v>
      </c>
      <c r="W166" s="7513" t="s">
        <v>1033</v>
      </c>
      <c r="X166" s="7513" t="s">
        <v>1106</v>
      </c>
      <c r="Y166" s="7513" t="s">
        <v>1107</v>
      </c>
      <c r="Z166" s="1516"/>
      <c r="AA166" s="1517"/>
      <c r="AB166" s="1517"/>
      <c r="AC166" s="1521"/>
      <c r="AD166" s="1521"/>
      <c r="AE166" s="1522"/>
      <c r="AF166" s="2847"/>
      <c r="AG166" s="2848"/>
      <c r="AH166" s="2848"/>
      <c r="AI166" s="2847"/>
      <c r="AJ166" s="2848"/>
      <c r="AK166" s="2848"/>
      <c r="AL166" s="2329"/>
      <c r="AM166" s="2164"/>
      <c r="AN166" s="2164"/>
      <c r="AO166" s="2164"/>
      <c r="AP166" s="2164"/>
      <c r="AQ166" s="2164"/>
      <c r="AR166" s="2164"/>
      <c r="AS166" s="2164"/>
      <c r="AT166" s="2164"/>
      <c r="AU166" s="2164"/>
      <c r="AV166" s="2164"/>
      <c r="AW166" s="2164"/>
      <c r="AX166" s="2164"/>
      <c r="AY166" s="2164"/>
      <c r="AZ166" s="2164"/>
      <c r="BA166" s="2164"/>
      <c r="BB166" s="2164"/>
      <c r="BC166" s="2164"/>
      <c r="BD166" s="2164"/>
      <c r="BE166" s="2164"/>
      <c r="BF166" s="2164"/>
      <c r="BG166" s="7511"/>
    </row>
    <row customHeight="1" ht="11.25">
      <c r="A167" s="1507" t="s">
        <v>990</v>
      </c>
      <c r="B167" s="1507"/>
      <c r="C167" s="1507"/>
      <c r="D167" s="1501"/>
      <c r="E167" s="1511"/>
      <c r="F167" s="2170"/>
      <c r="G167" s="2171"/>
      <c r="H167" s="2856" t="s">
        <v>1121</v>
      </c>
      <c r="I167" s="2857"/>
      <c r="J167" s="2826"/>
      <c r="K167" s="2858"/>
      <c r="L167" s="2448"/>
      <c r="M167" s="2449"/>
      <c r="N167" s="2849"/>
      <c r="O167" s="2850"/>
      <c r="P167" s="2852"/>
      <c r="Q167" s="7512"/>
      <c r="R167" s="2854"/>
      <c r="S167" s="2855"/>
      <c r="T167" s="2854"/>
      <c r="U167" s="2854"/>
      <c r="V167" s="2854"/>
      <c r="W167" s="2854"/>
      <c r="X167" s="2854"/>
      <c r="Y167" s="2854"/>
      <c r="Z167" s="2169"/>
      <c r="AA167" s="2135">
        <v>1</v>
      </c>
      <c r="AB167" s="1520" t="s">
        <v>1070</v>
      </c>
      <c r="AC167" s="1510">
        <v>94161.38728</v>
      </c>
      <c r="AD167" s="1520" t="str">
        <f>AB167</f>
        <v>  За счет платы за технологическое присоединение</v>
      </c>
      <c r="AE167" s="1510"/>
      <c r="AF167" s="2847"/>
      <c r="AG167" s="2848"/>
      <c r="AH167" s="2848"/>
      <c r="AI167" s="2847"/>
      <c r="AJ167" s="2848"/>
      <c r="AK167" s="2848"/>
      <c r="AL167" s="2329"/>
      <c r="AM167" s="2164"/>
      <c r="AN167" s="2164"/>
      <c r="AO167" s="2164"/>
      <c r="AP167" s="2164"/>
      <c r="AQ167" s="2164"/>
      <c r="AR167" s="2164"/>
      <c r="AS167" s="2164"/>
      <c r="AT167" s="2164"/>
      <c r="AU167" s="2164"/>
      <c r="AV167" s="2164"/>
      <c r="AW167" s="2164"/>
      <c r="AX167" s="2164"/>
      <c r="AY167" s="2164"/>
      <c r="AZ167" s="2164"/>
      <c r="BA167" s="2164"/>
      <c r="BB167" s="2164"/>
      <c r="BC167" s="2164"/>
      <c r="BD167" s="2164"/>
      <c r="BE167" s="2164"/>
      <c r="BF167" s="2164"/>
      <c r="BG167" s="7511"/>
    </row>
    <row customHeight="1" ht="11.25">
      <c r="A168" s="1507" t="s">
        <v>990</v>
      </c>
      <c r="B168" s="1507"/>
      <c r="C168" s="1507"/>
      <c r="D168" s="1501"/>
      <c r="E168" s="1511"/>
      <c r="F168" s="2171"/>
      <c r="G168" s="2171"/>
      <c r="H168" s="2171"/>
      <c r="I168" s="2171"/>
      <c r="J168" s="2171"/>
      <c r="K168" s="2171"/>
      <c r="L168" s="2171"/>
      <c r="M168" s="2171"/>
      <c r="N168" s="2171"/>
      <c r="O168" s="2171"/>
      <c r="P168" s="2171"/>
      <c r="Q168" s="2171"/>
      <c r="R168" s="2171"/>
      <c r="S168" s="2171"/>
      <c r="T168" s="2171"/>
      <c r="U168" s="2171"/>
      <c r="V168" s="2171"/>
      <c r="W168" s="2171"/>
      <c r="X168" s="2171"/>
      <c r="Y168" s="2171"/>
      <c r="Z168" s="7510" t="s">
        <v>684</v>
      </c>
      <c r="AA168" s="2155" t="s">
        <v>107</v>
      </c>
      <c r="AB168" s="1520" t="s">
        <v>1036</v>
      </c>
      <c r="AC168" s="1510">
        <v>18832.27746</v>
      </c>
      <c r="AD168" s="1520" t="str">
        <f>AB168</f>
        <v>  Прочие собственные средства</v>
      </c>
      <c r="AE168" s="1510"/>
      <c r="AF168" s="2172"/>
      <c r="AG168" s="2100"/>
      <c r="AH168" s="2100"/>
      <c r="AI168" s="2172"/>
      <c r="AJ168" s="2100"/>
      <c r="AK168" s="2328"/>
      <c r="AL168" s="2329"/>
      <c r="AM168" s="2164"/>
      <c r="AN168" s="2164"/>
      <c r="AO168" s="2164"/>
      <c r="AP168" s="2164"/>
      <c r="AQ168" s="2164"/>
      <c r="AR168" s="2164"/>
      <c r="AS168" s="2164"/>
      <c r="AT168" s="2164"/>
      <c r="AU168" s="2164"/>
      <c r="AV168" s="2164"/>
      <c r="AW168" s="2164"/>
      <c r="AX168" s="2164"/>
      <c r="AY168" s="2164"/>
      <c r="AZ168" s="2164"/>
      <c r="BA168" s="2164"/>
      <c r="BB168" s="2164"/>
      <c r="BC168" s="2164"/>
      <c r="BD168" s="2164"/>
      <c r="BE168" s="2164"/>
      <c r="BF168" s="2164"/>
      <c r="BG168" s="7511"/>
    </row>
    <row customHeight="1" ht="11.25">
      <c r="A169" s="1507" t="s">
        <v>990</v>
      </c>
      <c r="B169" s="1507"/>
      <c r="C169" s="1507"/>
      <c r="D169" s="1501"/>
      <c r="E169" s="1511"/>
      <c r="F169" s="2170"/>
      <c r="G169" s="2171"/>
      <c r="H169" s="2856" t="s">
        <v>1121</v>
      </c>
      <c r="I169" s="2857"/>
      <c r="J169" s="2826"/>
      <c r="K169" s="2858"/>
      <c r="L169" s="2448"/>
      <c r="M169" s="2449"/>
      <c r="N169" s="2849"/>
      <c r="O169" s="2850"/>
      <c r="P169" s="2853"/>
      <c r="Q169" s="7512"/>
      <c r="R169" s="2854"/>
      <c r="S169" s="2855"/>
      <c r="T169" s="2854"/>
      <c r="U169" s="2854"/>
      <c r="V169" s="2854"/>
      <c r="W169" s="2854"/>
      <c r="X169" s="2854"/>
      <c r="Y169" s="2854"/>
      <c r="Z169" s="1516"/>
      <c r="AA169" s="1517"/>
      <c r="AB169" s="1582" t="s">
        <v>1037</v>
      </c>
      <c r="AC169" s="1521"/>
      <c r="AD169" s="1521"/>
      <c r="AE169" s="1523"/>
      <c r="AF169" s="2847"/>
      <c r="AG169" s="2848"/>
      <c r="AH169" s="2848"/>
      <c r="AI169" s="2847"/>
      <c r="AJ169" s="2848"/>
      <c r="AK169" s="2848"/>
      <c r="AL169" s="2329"/>
      <c r="AM169" s="2164"/>
      <c r="AN169" s="2164"/>
      <c r="AO169" s="2164"/>
      <c r="AP169" s="2164"/>
      <c r="AQ169" s="2164"/>
      <c r="AR169" s="2164"/>
      <c r="AS169" s="2164"/>
      <c r="AT169" s="2164"/>
      <c r="AU169" s="2164"/>
      <c r="AV169" s="2164"/>
      <c r="AW169" s="2164"/>
      <c r="AX169" s="2164"/>
      <c r="AY169" s="2164"/>
      <c r="AZ169" s="2164"/>
      <c r="BA169" s="2164"/>
      <c r="BB169" s="2164"/>
      <c r="BC169" s="2164"/>
      <c r="BD169" s="2164"/>
      <c r="BE169" s="2164"/>
      <c r="BF169" s="2164"/>
      <c r="BG169" s="7511"/>
    </row>
    <row customHeight="1" ht="11.25">
      <c r="A170" s="1507" t="s">
        <v>990</v>
      </c>
      <c r="B170" s="1507"/>
      <c r="C170" s="1507"/>
      <c r="D170" s="1501"/>
      <c r="E170" s="1511"/>
      <c r="F170" s="2170"/>
      <c r="G170" s="2171"/>
      <c r="H170" s="2856" t="s">
        <v>1121</v>
      </c>
      <c r="I170" s="2857"/>
      <c r="J170" s="2826"/>
      <c r="K170" s="2858"/>
      <c r="L170" s="2448"/>
      <c r="M170" s="2449"/>
      <c r="N170" s="1516"/>
      <c r="O170" s="1517"/>
      <c r="P170" s="1509" t="s">
        <v>1038</v>
      </c>
      <c r="Q170" s="1517"/>
      <c r="R170" s="1517"/>
      <c r="S170" s="1517"/>
      <c r="T170" s="1517"/>
      <c r="U170" s="1517"/>
      <c r="V170" s="1517"/>
      <c r="W170" s="1517"/>
      <c r="X170" s="1517"/>
      <c r="Y170" s="1517"/>
      <c r="Z170" s="1517"/>
      <c r="AA170" s="1517"/>
      <c r="AB170" s="1517"/>
      <c r="AC170" s="1517"/>
      <c r="AD170" s="1517"/>
      <c r="AE170" s="1524"/>
      <c r="AF170" s="2847"/>
      <c r="AG170" s="2848"/>
      <c r="AH170" s="2848"/>
      <c r="AI170" s="2847"/>
      <c r="AJ170" s="2848"/>
      <c r="AK170" s="2848"/>
      <c r="AL170" s="2329"/>
      <c r="AM170" s="2164"/>
      <c r="AN170" s="2164"/>
      <c r="AO170" s="2164"/>
      <c r="AP170" s="2164"/>
      <c r="AQ170" s="2164"/>
      <c r="AR170" s="2164"/>
      <c r="AS170" s="2164"/>
      <c r="AT170" s="2164"/>
      <c r="AU170" s="2164"/>
      <c r="AV170" s="2164"/>
      <c r="AW170" s="2164"/>
      <c r="AX170" s="2164"/>
      <c r="AY170" s="2164"/>
      <c r="AZ170" s="2164"/>
      <c r="BA170" s="2164"/>
      <c r="BB170" s="2164"/>
      <c r="BC170" s="2164"/>
      <c r="BD170" s="2164"/>
      <c r="BE170" s="2164"/>
      <c r="BF170" s="2164"/>
      <c r="BG170" s="7511"/>
    </row>
    <row customHeight="1" ht="11.25">
      <c r="A171" s="1507" t="s">
        <v>990</v>
      </c>
      <c r="B171" s="1507" t="s">
        <v>1022</v>
      </c>
      <c r="C171" s="1507"/>
      <c r="D171" s="1501"/>
      <c r="E171" s="1511"/>
      <c r="F171" s="2170"/>
      <c r="G171" s="7510" t="s">
        <v>684</v>
      </c>
      <c r="H171" s="2856" t="s">
        <v>1125</v>
      </c>
      <c r="I171" s="2857" t="s">
        <v>1023</v>
      </c>
      <c r="J171" s="2826" t="s">
        <v>1071</v>
      </c>
      <c r="K171" s="2858" t="s">
        <v>1126</v>
      </c>
      <c r="L171" s="2448" t="s">
        <v>19</v>
      </c>
      <c r="M171" s="2449"/>
      <c r="N171" s="2327"/>
      <c r="O171" s="1518" t="s">
        <v>371</v>
      </c>
      <c r="P171" s="1519"/>
      <c r="Q171" s="1519"/>
      <c r="R171" s="1519"/>
      <c r="S171" s="1519"/>
      <c r="T171" s="1519"/>
      <c r="U171" s="1519"/>
      <c r="V171" s="1519"/>
      <c r="W171" s="1519"/>
      <c r="X171" s="1519"/>
      <c r="Y171" s="1519"/>
      <c r="Z171" s="1519"/>
      <c r="AA171" s="1519"/>
      <c r="AB171" s="1519"/>
      <c r="AC171" s="1519"/>
      <c r="AD171" s="1519"/>
      <c r="AE171" s="1519"/>
      <c r="AF171" s="2847">
        <v>6</v>
      </c>
      <c r="AG171" s="2848" t="s">
        <v>1067</v>
      </c>
      <c r="AH171" s="2848" t="s">
        <v>1104</v>
      </c>
      <c r="AI171" s="2847"/>
      <c r="AJ171" s="2848"/>
      <c r="AK171" s="2848"/>
      <c r="AL171" s="2329"/>
      <c r="AM171" s="2164"/>
      <c r="AN171" s="2164"/>
      <c r="AO171" s="2164"/>
      <c r="AP171" s="2164"/>
      <c r="AQ171" s="2164"/>
      <c r="AR171" s="2164"/>
      <c r="AS171" s="2164"/>
      <c r="AT171" s="2164"/>
      <c r="AU171" s="2164"/>
      <c r="AV171" s="2164"/>
      <c r="AW171" s="2164"/>
      <c r="AX171" s="2164"/>
      <c r="AY171" s="2164"/>
      <c r="AZ171" s="2164"/>
      <c r="BA171" s="2164"/>
      <c r="BB171" s="2164"/>
      <c r="BC171" s="2164"/>
      <c r="BD171" s="2164"/>
      <c r="BE171" s="2164"/>
      <c r="BF171" s="2164"/>
      <c r="BG171" s="7511"/>
    </row>
    <row customHeight="1" ht="11.25">
      <c r="A172" s="1507" t="s">
        <v>990</v>
      </c>
      <c r="B172" s="1507"/>
      <c r="C172" s="1507"/>
      <c r="D172" s="1501"/>
      <c r="E172" s="1511"/>
      <c r="F172" s="2170"/>
      <c r="G172" s="2171"/>
      <c r="H172" s="2856" t="s">
        <v>1123</v>
      </c>
      <c r="I172" s="2857"/>
      <c r="J172" s="2826"/>
      <c r="K172" s="2858"/>
      <c r="L172" s="2448"/>
      <c r="M172" s="2449"/>
      <c r="N172" s="2849"/>
      <c r="O172" s="2850">
        <v>1</v>
      </c>
      <c r="P172" s="2851" t="s">
        <v>65</v>
      </c>
      <c r="Q172" s="7512" t="s">
        <v>1105</v>
      </c>
      <c r="R172" s="7513" t="s">
        <v>1083</v>
      </c>
      <c r="S172" s="7513" t="s">
        <v>1030</v>
      </c>
      <c r="T172" s="7513" t="s">
        <v>1030</v>
      </c>
      <c r="U172" s="7513" t="s">
        <v>1031</v>
      </c>
      <c r="V172" s="7513" t="s">
        <v>1032</v>
      </c>
      <c r="W172" s="7513" t="s">
        <v>1033</v>
      </c>
      <c r="X172" s="7513" t="s">
        <v>1106</v>
      </c>
      <c r="Y172" s="7513" t="s">
        <v>1107</v>
      </c>
      <c r="Z172" s="1516"/>
      <c r="AA172" s="1517"/>
      <c r="AB172" s="1517"/>
      <c r="AC172" s="1521"/>
      <c r="AD172" s="1521"/>
      <c r="AE172" s="1522"/>
      <c r="AF172" s="2847"/>
      <c r="AG172" s="2848"/>
      <c r="AH172" s="2848"/>
      <c r="AI172" s="2847"/>
      <c r="AJ172" s="2848"/>
      <c r="AK172" s="2848"/>
      <c r="AL172" s="2329"/>
      <c r="AM172" s="2164"/>
      <c r="AN172" s="2164"/>
      <c r="AO172" s="2164"/>
      <c r="AP172" s="2164"/>
      <c r="AQ172" s="2164"/>
      <c r="AR172" s="2164"/>
      <c r="AS172" s="2164"/>
      <c r="AT172" s="2164"/>
      <c r="AU172" s="2164"/>
      <c r="AV172" s="2164"/>
      <c r="AW172" s="2164"/>
      <c r="AX172" s="2164"/>
      <c r="AY172" s="2164"/>
      <c r="AZ172" s="2164"/>
      <c r="BA172" s="2164"/>
      <c r="BB172" s="2164"/>
      <c r="BC172" s="2164"/>
      <c r="BD172" s="2164"/>
      <c r="BE172" s="2164"/>
      <c r="BF172" s="2164"/>
      <c r="BG172" s="7511"/>
    </row>
    <row customHeight="1" ht="11.25">
      <c r="A173" s="1507" t="s">
        <v>990</v>
      </c>
      <c r="B173" s="1507"/>
      <c r="C173" s="1507"/>
      <c r="D173" s="1501"/>
      <c r="E173" s="1511"/>
      <c r="F173" s="2170"/>
      <c r="G173" s="2171"/>
      <c r="H173" s="2856" t="s">
        <v>1123</v>
      </c>
      <c r="I173" s="2857"/>
      <c r="J173" s="2826"/>
      <c r="K173" s="2858"/>
      <c r="L173" s="2448"/>
      <c r="M173" s="2449"/>
      <c r="N173" s="2849"/>
      <c r="O173" s="2850"/>
      <c r="P173" s="2852"/>
      <c r="Q173" s="7512"/>
      <c r="R173" s="2854"/>
      <c r="S173" s="2855"/>
      <c r="T173" s="2854"/>
      <c r="U173" s="2854"/>
      <c r="V173" s="2854"/>
      <c r="W173" s="2854"/>
      <c r="X173" s="2854"/>
      <c r="Y173" s="2854"/>
      <c r="Z173" s="2169"/>
      <c r="AA173" s="2135">
        <v>1</v>
      </c>
      <c r="AB173" s="1520" t="s">
        <v>1070</v>
      </c>
      <c r="AC173" s="1510">
        <v>34571.89429</v>
      </c>
      <c r="AD173" s="1520" t="str">
        <f>AB173</f>
        <v>  За счет платы за технологическое присоединение</v>
      </c>
      <c r="AE173" s="1510"/>
      <c r="AF173" s="2847"/>
      <c r="AG173" s="2848"/>
      <c r="AH173" s="2848"/>
      <c r="AI173" s="2847"/>
      <c r="AJ173" s="2848"/>
      <c r="AK173" s="2848"/>
      <c r="AL173" s="2329"/>
      <c r="AM173" s="2164"/>
      <c r="AN173" s="2164"/>
      <c r="AO173" s="2164"/>
      <c r="AP173" s="2164"/>
      <c r="AQ173" s="2164"/>
      <c r="AR173" s="2164"/>
      <c r="AS173" s="2164"/>
      <c r="AT173" s="2164"/>
      <c r="AU173" s="2164"/>
      <c r="AV173" s="2164"/>
      <c r="AW173" s="2164"/>
      <c r="AX173" s="2164"/>
      <c r="AY173" s="2164"/>
      <c r="AZ173" s="2164"/>
      <c r="BA173" s="2164"/>
      <c r="BB173" s="2164"/>
      <c r="BC173" s="2164"/>
      <c r="BD173" s="2164"/>
      <c r="BE173" s="2164"/>
      <c r="BF173" s="2164"/>
      <c r="BG173" s="7511"/>
    </row>
    <row customHeight="1" ht="11.25">
      <c r="A174" s="1507" t="s">
        <v>990</v>
      </c>
      <c r="B174" s="1507"/>
      <c r="C174" s="1507"/>
      <c r="D174" s="1501"/>
      <c r="E174" s="1511"/>
      <c r="F174" s="2171"/>
      <c r="G174" s="2171"/>
      <c r="H174" s="2171"/>
      <c r="I174" s="2171"/>
      <c r="J174" s="7515"/>
      <c r="K174" s="2171"/>
      <c r="L174" s="2171"/>
      <c r="M174" s="2171"/>
      <c r="N174" s="2171"/>
      <c r="O174" s="2171"/>
      <c r="P174" s="2171"/>
      <c r="Q174" s="2171"/>
      <c r="R174" s="2171"/>
      <c r="S174" s="2171"/>
      <c r="T174" s="2171"/>
      <c r="U174" s="2171"/>
      <c r="V174" s="2171"/>
      <c r="W174" s="2171"/>
      <c r="X174" s="2171"/>
      <c r="Y174" s="2171"/>
      <c r="Z174" s="7510" t="s">
        <v>684</v>
      </c>
      <c r="AA174" s="2155" t="s">
        <v>107</v>
      </c>
      <c r="AB174" s="1520" t="s">
        <v>1036</v>
      </c>
      <c r="AC174" s="1510">
        <v>6914.37886</v>
      </c>
      <c r="AD174" s="1520" t="str">
        <f>AB174</f>
        <v>  Прочие собственные средства</v>
      </c>
      <c r="AE174" s="1510"/>
      <c r="AF174" s="2172"/>
      <c r="AG174" s="2100"/>
      <c r="AH174" s="2100"/>
      <c r="AI174" s="2172"/>
      <c r="AJ174" s="2100"/>
      <c r="AK174" s="2328"/>
      <c r="AL174" s="2329"/>
      <c r="AM174" s="2164"/>
      <c r="AN174" s="2164"/>
      <c r="AO174" s="2164"/>
      <c r="AP174" s="2164"/>
      <c r="AQ174" s="2164"/>
      <c r="AR174" s="2164"/>
      <c r="AS174" s="2164"/>
      <c r="AT174" s="2164"/>
      <c r="AU174" s="2164"/>
      <c r="AV174" s="2164"/>
      <c r="AW174" s="2164"/>
      <c r="AX174" s="2164"/>
      <c r="AY174" s="2164"/>
      <c r="AZ174" s="2164"/>
      <c r="BA174" s="2164"/>
      <c r="BB174" s="2164"/>
      <c r="BC174" s="2164"/>
      <c r="BD174" s="2164"/>
      <c r="BE174" s="2164"/>
      <c r="BF174" s="2164"/>
      <c r="BG174" s="7511"/>
    </row>
    <row customHeight="1" ht="11.25">
      <c r="A175" s="1507" t="s">
        <v>990</v>
      </c>
      <c r="B175" s="1507"/>
      <c r="C175" s="1507"/>
      <c r="D175" s="1501"/>
      <c r="E175" s="1511"/>
      <c r="F175" s="2170"/>
      <c r="G175" s="2171"/>
      <c r="H175" s="2856" t="s">
        <v>1123</v>
      </c>
      <c r="I175" s="2857"/>
      <c r="J175" s="2826"/>
      <c r="K175" s="2858"/>
      <c r="L175" s="2448"/>
      <c r="M175" s="2449"/>
      <c r="N175" s="2849"/>
      <c r="O175" s="2850"/>
      <c r="P175" s="2853"/>
      <c r="Q175" s="7512"/>
      <c r="R175" s="2854"/>
      <c r="S175" s="2855"/>
      <c r="T175" s="2854"/>
      <c r="U175" s="2854"/>
      <c r="V175" s="2854"/>
      <c r="W175" s="2854"/>
      <c r="X175" s="2854"/>
      <c r="Y175" s="2854"/>
      <c r="Z175" s="1516"/>
      <c r="AA175" s="1517"/>
      <c r="AB175" s="1582" t="s">
        <v>1037</v>
      </c>
      <c r="AC175" s="1521"/>
      <c r="AD175" s="1521"/>
      <c r="AE175" s="1523"/>
      <c r="AF175" s="2847"/>
      <c r="AG175" s="2848"/>
      <c r="AH175" s="2848"/>
      <c r="AI175" s="2847"/>
      <c r="AJ175" s="2848"/>
      <c r="AK175" s="2848"/>
      <c r="AL175" s="2329"/>
      <c r="AM175" s="2164"/>
      <c r="AN175" s="2164"/>
      <c r="AO175" s="2164"/>
      <c r="AP175" s="2164"/>
      <c r="AQ175" s="2164"/>
      <c r="AR175" s="2164"/>
      <c r="AS175" s="2164"/>
      <c r="AT175" s="2164"/>
      <c r="AU175" s="2164"/>
      <c r="AV175" s="2164"/>
      <c r="AW175" s="2164"/>
      <c r="AX175" s="2164"/>
      <c r="AY175" s="2164"/>
      <c r="AZ175" s="2164"/>
      <c r="BA175" s="2164"/>
      <c r="BB175" s="2164"/>
      <c r="BC175" s="2164"/>
      <c r="BD175" s="2164"/>
      <c r="BE175" s="2164"/>
      <c r="BF175" s="2164"/>
      <c r="BG175" s="7511"/>
    </row>
    <row customHeight="1" ht="11.25">
      <c r="A176" s="1507" t="s">
        <v>990</v>
      </c>
      <c r="B176" s="1507"/>
      <c r="C176" s="1507"/>
      <c r="D176" s="1501"/>
      <c r="E176" s="1511"/>
      <c r="F176" s="2170"/>
      <c r="G176" s="2171"/>
      <c r="H176" s="2856" t="s">
        <v>1123</v>
      </c>
      <c r="I176" s="2857"/>
      <c r="J176" s="2826"/>
      <c r="K176" s="2858"/>
      <c r="L176" s="2448"/>
      <c r="M176" s="2449"/>
      <c r="N176" s="1516"/>
      <c r="O176" s="1517"/>
      <c r="P176" s="1509" t="s">
        <v>1038</v>
      </c>
      <c r="Q176" s="1517"/>
      <c r="R176" s="1517"/>
      <c r="S176" s="1517"/>
      <c r="T176" s="1517"/>
      <c r="U176" s="1517"/>
      <c r="V176" s="1517"/>
      <c r="W176" s="1517"/>
      <c r="X176" s="1517"/>
      <c r="Y176" s="1517"/>
      <c r="Z176" s="1517"/>
      <c r="AA176" s="1517"/>
      <c r="AB176" s="1517"/>
      <c r="AC176" s="1517"/>
      <c r="AD176" s="1517"/>
      <c r="AE176" s="1524"/>
      <c r="AF176" s="2847"/>
      <c r="AG176" s="2848"/>
      <c r="AH176" s="2848"/>
      <c r="AI176" s="2847"/>
      <c r="AJ176" s="2848"/>
      <c r="AK176" s="2848"/>
      <c r="AL176" s="2329"/>
      <c r="AM176" s="2164"/>
      <c r="AN176" s="2164"/>
      <c r="AO176" s="2164"/>
      <c r="AP176" s="2164"/>
      <c r="AQ176" s="2164"/>
      <c r="AR176" s="2164"/>
      <c r="AS176" s="2164"/>
      <c r="AT176" s="2164"/>
      <c r="AU176" s="2164"/>
      <c r="AV176" s="2164"/>
      <c r="AW176" s="2164"/>
      <c r="AX176" s="2164"/>
      <c r="AY176" s="2164"/>
      <c r="AZ176" s="2164"/>
      <c r="BA176" s="2164"/>
      <c r="BB176" s="2164"/>
      <c r="BC176" s="2164"/>
      <c r="BD176" s="2164"/>
      <c r="BE176" s="2164"/>
      <c r="BF176" s="2164"/>
      <c r="BG176" s="7511"/>
    </row>
    <row customHeight="1" ht="11.25">
      <c r="A177" s="1507" t="s">
        <v>990</v>
      </c>
      <c r="B177" s="1507" t="s">
        <v>1022</v>
      </c>
      <c r="C177" s="1507"/>
      <c r="D177" s="1501"/>
      <c r="E177" s="1511"/>
      <c r="F177" s="2170"/>
      <c r="G177" s="7510" t="s">
        <v>684</v>
      </c>
      <c r="H177" s="2856" t="s">
        <v>1127</v>
      </c>
      <c r="I177" s="2857" t="s">
        <v>1023</v>
      </c>
      <c r="J177" s="2826" t="s">
        <v>1071</v>
      </c>
      <c r="K177" s="2858" t="s">
        <v>1128</v>
      </c>
      <c r="L177" s="2448" t="s">
        <v>19</v>
      </c>
      <c r="M177" s="2449"/>
      <c r="N177" s="2327"/>
      <c r="O177" s="1518" t="s">
        <v>371</v>
      </c>
      <c r="P177" s="1519"/>
      <c r="Q177" s="1519"/>
      <c r="R177" s="1519"/>
      <c r="S177" s="1519"/>
      <c r="T177" s="1519"/>
      <c r="U177" s="1519"/>
      <c r="V177" s="1519"/>
      <c r="W177" s="1519"/>
      <c r="X177" s="1519"/>
      <c r="Y177" s="1519"/>
      <c r="Z177" s="1519"/>
      <c r="AA177" s="1519"/>
      <c r="AB177" s="1519"/>
      <c r="AC177" s="1519"/>
      <c r="AD177" s="1519"/>
      <c r="AE177" s="1519"/>
      <c r="AF177" s="2847">
        <v>6</v>
      </c>
      <c r="AG177" s="2848" t="s">
        <v>1067</v>
      </c>
      <c r="AH177" s="2848" t="s">
        <v>1104</v>
      </c>
      <c r="AI177" s="2847"/>
      <c r="AJ177" s="2848"/>
      <c r="AK177" s="2848"/>
      <c r="AL177" s="2329"/>
      <c r="AM177" s="2164"/>
      <c r="AN177" s="2164"/>
      <c r="AO177" s="2164"/>
      <c r="AP177" s="2164"/>
      <c r="AQ177" s="2164"/>
      <c r="AR177" s="2164"/>
      <c r="AS177" s="2164"/>
      <c r="AT177" s="2164"/>
      <c r="AU177" s="2164"/>
      <c r="AV177" s="2164"/>
      <c r="AW177" s="2164"/>
      <c r="AX177" s="2164"/>
      <c r="AY177" s="2164"/>
      <c r="AZ177" s="2164"/>
      <c r="BA177" s="2164"/>
      <c r="BB177" s="2164"/>
      <c r="BC177" s="2164"/>
      <c r="BD177" s="2164"/>
      <c r="BE177" s="2164"/>
      <c r="BF177" s="2164"/>
      <c r="BG177" s="7511"/>
    </row>
    <row customHeight="1" ht="11.25">
      <c r="A178" s="1507" t="s">
        <v>990</v>
      </c>
      <c r="B178" s="1507"/>
      <c r="C178" s="1507"/>
      <c r="D178" s="1501"/>
      <c r="E178" s="1511"/>
      <c r="F178" s="2170"/>
      <c r="G178" s="2171"/>
      <c r="H178" s="2856" t="s">
        <v>1125</v>
      </c>
      <c r="I178" s="2857"/>
      <c r="J178" s="2826"/>
      <c r="K178" s="2858"/>
      <c r="L178" s="2448"/>
      <c r="M178" s="2449"/>
      <c r="N178" s="2849"/>
      <c r="O178" s="2850">
        <v>1</v>
      </c>
      <c r="P178" s="2851" t="s">
        <v>65</v>
      </c>
      <c r="Q178" s="7512" t="s">
        <v>1105</v>
      </c>
      <c r="R178" s="7513" t="s">
        <v>1083</v>
      </c>
      <c r="S178" s="7513" t="s">
        <v>1030</v>
      </c>
      <c r="T178" s="7513" t="s">
        <v>1030</v>
      </c>
      <c r="U178" s="7513" t="s">
        <v>1031</v>
      </c>
      <c r="V178" s="7513" t="s">
        <v>1032</v>
      </c>
      <c r="W178" s="7513" t="s">
        <v>1033</v>
      </c>
      <c r="X178" s="7513" t="s">
        <v>1106</v>
      </c>
      <c r="Y178" s="7513" t="s">
        <v>1107</v>
      </c>
      <c r="Z178" s="1516"/>
      <c r="AA178" s="1517"/>
      <c r="AB178" s="1517"/>
      <c r="AC178" s="1521"/>
      <c r="AD178" s="1521"/>
      <c r="AE178" s="1522"/>
      <c r="AF178" s="2847"/>
      <c r="AG178" s="2848"/>
      <c r="AH178" s="2848"/>
      <c r="AI178" s="2847"/>
      <c r="AJ178" s="2848"/>
      <c r="AK178" s="2848"/>
      <c r="AL178" s="2329"/>
      <c r="AM178" s="2164"/>
      <c r="AN178" s="2164"/>
      <c r="AO178" s="2164"/>
      <c r="AP178" s="2164"/>
      <c r="AQ178" s="2164"/>
      <c r="AR178" s="2164"/>
      <c r="AS178" s="2164"/>
      <c r="AT178" s="2164"/>
      <c r="AU178" s="2164"/>
      <c r="AV178" s="2164"/>
      <c r="AW178" s="2164"/>
      <c r="AX178" s="2164"/>
      <c r="AY178" s="2164"/>
      <c r="AZ178" s="2164"/>
      <c r="BA178" s="2164"/>
      <c r="BB178" s="2164"/>
      <c r="BC178" s="2164"/>
      <c r="BD178" s="2164"/>
      <c r="BE178" s="2164"/>
      <c r="BF178" s="2164"/>
      <c r="BG178" s="7511"/>
    </row>
    <row customHeight="1" ht="11.25">
      <c r="A179" s="1507" t="s">
        <v>990</v>
      </c>
      <c r="B179" s="1507"/>
      <c r="C179" s="1507"/>
      <c r="D179" s="1501"/>
      <c r="E179" s="1511"/>
      <c r="F179" s="2170"/>
      <c r="G179" s="2171"/>
      <c r="H179" s="2856" t="s">
        <v>1125</v>
      </c>
      <c r="I179" s="2857"/>
      <c r="J179" s="2826"/>
      <c r="K179" s="2858"/>
      <c r="L179" s="2448"/>
      <c r="M179" s="2449"/>
      <c r="N179" s="2849"/>
      <c r="O179" s="2850"/>
      <c r="P179" s="2852"/>
      <c r="Q179" s="7512"/>
      <c r="R179" s="2854"/>
      <c r="S179" s="2855"/>
      <c r="T179" s="2854"/>
      <c r="U179" s="2854"/>
      <c r="V179" s="2854"/>
      <c r="W179" s="2854"/>
      <c r="X179" s="2854"/>
      <c r="Y179" s="2854"/>
      <c r="Z179" s="2169"/>
      <c r="AA179" s="2135">
        <v>1</v>
      </c>
      <c r="AB179" s="1520" t="s">
        <v>1070</v>
      </c>
      <c r="AC179" s="1510">
        <v>35544.2674</v>
      </c>
      <c r="AD179" s="1520" t="str">
        <f>AB179</f>
        <v>  За счет платы за технологическое присоединение</v>
      </c>
      <c r="AE179" s="1510"/>
      <c r="AF179" s="2847"/>
      <c r="AG179" s="2848"/>
      <c r="AH179" s="2848"/>
      <c r="AI179" s="2847"/>
      <c r="AJ179" s="2848"/>
      <c r="AK179" s="2848"/>
      <c r="AL179" s="2329"/>
      <c r="AM179" s="2164"/>
      <c r="AN179" s="2164"/>
      <c r="AO179" s="2164"/>
      <c r="AP179" s="2164"/>
      <c r="AQ179" s="2164"/>
      <c r="AR179" s="2164"/>
      <c r="AS179" s="2164"/>
      <c r="AT179" s="2164"/>
      <c r="AU179" s="2164"/>
      <c r="AV179" s="2164"/>
      <c r="AW179" s="2164"/>
      <c r="AX179" s="2164"/>
      <c r="AY179" s="2164"/>
      <c r="AZ179" s="2164"/>
      <c r="BA179" s="2164"/>
      <c r="BB179" s="2164"/>
      <c r="BC179" s="2164"/>
      <c r="BD179" s="2164"/>
      <c r="BE179" s="2164"/>
      <c r="BF179" s="2164"/>
      <c r="BG179" s="7511"/>
    </row>
    <row customHeight="1" ht="11.25">
      <c r="A180" s="1507" t="s">
        <v>990</v>
      </c>
      <c r="B180" s="1507"/>
      <c r="C180" s="1507"/>
      <c r="D180" s="1501"/>
      <c r="E180" s="1511"/>
      <c r="F180" s="2171"/>
      <c r="G180" s="2171"/>
      <c r="H180" s="2171"/>
      <c r="I180" s="2171"/>
      <c r="J180" s="2171"/>
      <c r="K180" s="2171"/>
      <c r="L180" s="2171"/>
      <c r="M180" s="2171"/>
      <c r="N180" s="2171"/>
      <c r="O180" s="2171"/>
      <c r="P180" s="2171"/>
      <c r="Q180" s="2171"/>
      <c r="R180" s="2171"/>
      <c r="S180" s="2171"/>
      <c r="T180" s="2171"/>
      <c r="U180" s="2171"/>
      <c r="V180" s="2171"/>
      <c r="W180" s="2171"/>
      <c r="X180" s="2171"/>
      <c r="Y180" s="2171"/>
      <c r="Z180" s="7510" t="s">
        <v>684</v>
      </c>
      <c r="AA180" s="2155" t="s">
        <v>107</v>
      </c>
      <c r="AB180" s="1520" t="s">
        <v>1036</v>
      </c>
      <c r="AC180" s="1510">
        <v>7108.85348</v>
      </c>
      <c r="AD180" s="1520" t="str">
        <f>AB180</f>
        <v>  Прочие собственные средства</v>
      </c>
      <c r="AE180" s="1510"/>
      <c r="AF180" s="2172"/>
      <c r="AG180" s="2100"/>
      <c r="AH180" s="2100"/>
      <c r="AI180" s="2172"/>
      <c r="AJ180" s="2100"/>
      <c r="AK180" s="2328"/>
      <c r="AL180" s="2329"/>
      <c r="AM180" s="2164"/>
      <c r="AN180" s="2164"/>
      <c r="AO180" s="2164"/>
      <c r="AP180" s="2164"/>
      <c r="AQ180" s="2164"/>
      <c r="AR180" s="2164"/>
      <c r="AS180" s="2164"/>
      <c r="AT180" s="2164"/>
      <c r="AU180" s="2164"/>
      <c r="AV180" s="2164"/>
      <c r="AW180" s="2164"/>
      <c r="AX180" s="2164"/>
      <c r="AY180" s="2164"/>
      <c r="AZ180" s="2164"/>
      <c r="BA180" s="2164"/>
      <c r="BB180" s="2164"/>
      <c r="BC180" s="2164"/>
      <c r="BD180" s="2164"/>
      <c r="BE180" s="2164"/>
      <c r="BF180" s="2164"/>
      <c r="BG180" s="7511"/>
    </row>
    <row customHeight="1" ht="11.25">
      <c r="A181" s="1507" t="s">
        <v>990</v>
      </c>
      <c r="B181" s="1507"/>
      <c r="C181" s="1507"/>
      <c r="D181" s="1501"/>
      <c r="E181" s="1511"/>
      <c r="F181" s="2170"/>
      <c r="G181" s="2171"/>
      <c r="H181" s="2856" t="s">
        <v>1125</v>
      </c>
      <c r="I181" s="2857"/>
      <c r="J181" s="2826"/>
      <c r="K181" s="2858"/>
      <c r="L181" s="2448"/>
      <c r="M181" s="2449"/>
      <c r="N181" s="2849"/>
      <c r="O181" s="2850"/>
      <c r="P181" s="2853"/>
      <c r="Q181" s="7512"/>
      <c r="R181" s="2854"/>
      <c r="S181" s="2855"/>
      <c r="T181" s="2854"/>
      <c r="U181" s="2854"/>
      <c r="V181" s="2854"/>
      <c r="W181" s="2854"/>
      <c r="X181" s="2854"/>
      <c r="Y181" s="2854"/>
      <c r="Z181" s="1516"/>
      <c r="AA181" s="1517"/>
      <c r="AB181" s="1582" t="s">
        <v>1037</v>
      </c>
      <c r="AC181" s="1521"/>
      <c r="AD181" s="1521"/>
      <c r="AE181" s="1523"/>
      <c r="AF181" s="2847"/>
      <c r="AG181" s="2848"/>
      <c r="AH181" s="2848"/>
      <c r="AI181" s="2847"/>
      <c r="AJ181" s="2848"/>
      <c r="AK181" s="2848"/>
      <c r="AL181" s="2329"/>
      <c r="AM181" s="2164"/>
      <c r="AN181" s="2164"/>
      <c r="AO181" s="2164"/>
      <c r="AP181" s="2164"/>
      <c r="AQ181" s="2164"/>
      <c r="AR181" s="2164"/>
      <c r="AS181" s="2164"/>
      <c r="AT181" s="2164"/>
      <c r="AU181" s="2164"/>
      <c r="AV181" s="2164"/>
      <c r="AW181" s="2164"/>
      <c r="AX181" s="2164"/>
      <c r="AY181" s="2164"/>
      <c r="AZ181" s="2164"/>
      <c r="BA181" s="2164"/>
      <c r="BB181" s="2164"/>
      <c r="BC181" s="2164"/>
      <c r="BD181" s="2164"/>
      <c r="BE181" s="2164"/>
      <c r="BF181" s="2164"/>
      <c r="BG181" s="7511"/>
    </row>
    <row customHeight="1" ht="11.25">
      <c r="A182" s="1507" t="s">
        <v>990</v>
      </c>
      <c r="B182" s="1507"/>
      <c r="C182" s="1507"/>
      <c r="D182" s="1501"/>
      <c r="E182" s="1511"/>
      <c r="F182" s="2170"/>
      <c r="G182" s="2171"/>
      <c r="H182" s="2856" t="s">
        <v>1125</v>
      </c>
      <c r="I182" s="2857"/>
      <c r="J182" s="2826"/>
      <c r="K182" s="2858"/>
      <c r="L182" s="2448"/>
      <c r="M182" s="2449"/>
      <c r="N182" s="1516"/>
      <c r="O182" s="1517"/>
      <c r="P182" s="1509" t="s">
        <v>1038</v>
      </c>
      <c r="Q182" s="1517"/>
      <c r="R182" s="1517"/>
      <c r="S182" s="1517"/>
      <c r="T182" s="1517"/>
      <c r="U182" s="1517"/>
      <c r="V182" s="1517"/>
      <c r="W182" s="1517"/>
      <c r="X182" s="1517"/>
      <c r="Y182" s="1517"/>
      <c r="Z182" s="1517"/>
      <c r="AA182" s="1517"/>
      <c r="AB182" s="1517"/>
      <c r="AC182" s="1517"/>
      <c r="AD182" s="1517"/>
      <c r="AE182" s="1524"/>
      <c r="AF182" s="2847"/>
      <c r="AG182" s="2848"/>
      <c r="AH182" s="2848"/>
      <c r="AI182" s="2847"/>
      <c r="AJ182" s="2848"/>
      <c r="AK182" s="2848"/>
      <c r="AL182" s="2329"/>
      <c r="AM182" s="2164"/>
      <c r="AN182" s="2164"/>
      <c r="AO182" s="2164"/>
      <c r="AP182" s="2164"/>
      <c r="AQ182" s="2164"/>
      <c r="AR182" s="2164"/>
      <c r="AS182" s="2164"/>
      <c r="AT182" s="2164"/>
      <c r="AU182" s="2164"/>
      <c r="AV182" s="2164"/>
      <c r="AW182" s="2164"/>
      <c r="AX182" s="2164"/>
      <c r="AY182" s="2164"/>
      <c r="AZ182" s="2164"/>
      <c r="BA182" s="2164"/>
      <c r="BB182" s="2164"/>
      <c r="BC182" s="2164"/>
      <c r="BD182" s="2164"/>
      <c r="BE182" s="2164"/>
      <c r="BF182" s="2164"/>
      <c r="BG182" s="7511"/>
    </row>
    <row customHeight="1" ht="11.25">
      <c r="A183" s="1507" t="s">
        <v>990</v>
      </c>
      <c r="B183" s="1507" t="s">
        <v>1022</v>
      </c>
      <c r="C183" s="1507"/>
      <c r="D183" s="1501"/>
      <c r="E183" s="1511"/>
      <c r="F183" s="2170"/>
      <c r="G183" s="7510" t="s">
        <v>684</v>
      </c>
      <c r="H183" s="2856" t="s">
        <v>1129</v>
      </c>
      <c r="I183" s="2857" t="s">
        <v>1023</v>
      </c>
      <c r="J183" s="2826" t="s">
        <v>1071</v>
      </c>
      <c r="K183" s="2858" t="s">
        <v>1130</v>
      </c>
      <c r="L183" s="2448" t="s">
        <v>19</v>
      </c>
      <c r="M183" s="2449"/>
      <c r="N183" s="2327"/>
      <c r="O183" s="1518" t="s">
        <v>371</v>
      </c>
      <c r="P183" s="1519"/>
      <c r="Q183" s="1519"/>
      <c r="R183" s="1519"/>
      <c r="S183" s="1519"/>
      <c r="T183" s="1519"/>
      <c r="U183" s="1519"/>
      <c r="V183" s="1519"/>
      <c r="W183" s="1519"/>
      <c r="X183" s="1519"/>
      <c r="Y183" s="1519"/>
      <c r="Z183" s="1519"/>
      <c r="AA183" s="1519"/>
      <c r="AB183" s="1519"/>
      <c r="AC183" s="1519"/>
      <c r="AD183" s="1519"/>
      <c r="AE183" s="1519"/>
      <c r="AF183" s="2847">
        <v>6</v>
      </c>
      <c r="AG183" s="2848" t="s">
        <v>1067</v>
      </c>
      <c r="AH183" s="2848" t="s">
        <v>1104</v>
      </c>
      <c r="AI183" s="2847"/>
      <c r="AJ183" s="2848"/>
      <c r="AK183" s="2848"/>
      <c r="AL183" s="2329"/>
      <c r="AM183" s="2164"/>
      <c r="AN183" s="2164"/>
      <c r="AO183" s="2164"/>
      <c r="AP183" s="2164"/>
      <c r="AQ183" s="2164"/>
      <c r="AR183" s="2164"/>
      <c r="AS183" s="2164"/>
      <c r="AT183" s="2164"/>
      <c r="AU183" s="2164"/>
      <c r="AV183" s="2164"/>
      <c r="AW183" s="2164"/>
      <c r="AX183" s="2164"/>
      <c r="AY183" s="2164"/>
      <c r="AZ183" s="2164"/>
      <c r="BA183" s="2164"/>
      <c r="BB183" s="2164"/>
      <c r="BC183" s="2164"/>
      <c r="BD183" s="2164"/>
      <c r="BE183" s="2164"/>
      <c r="BF183" s="2164"/>
      <c r="BG183" s="7511"/>
    </row>
    <row customHeight="1" ht="11.25">
      <c r="A184" s="1507" t="s">
        <v>990</v>
      </c>
      <c r="B184" s="1507"/>
      <c r="C184" s="1507"/>
      <c r="D184" s="1501"/>
      <c r="E184" s="1511"/>
      <c r="F184" s="2170"/>
      <c r="G184" s="2171"/>
      <c r="H184" s="2856" t="s">
        <v>1127</v>
      </c>
      <c r="I184" s="2857"/>
      <c r="J184" s="2826"/>
      <c r="K184" s="2858"/>
      <c r="L184" s="2448"/>
      <c r="M184" s="2449"/>
      <c r="N184" s="2849"/>
      <c r="O184" s="2850">
        <v>1</v>
      </c>
      <c r="P184" s="2851" t="s">
        <v>65</v>
      </c>
      <c r="Q184" s="7512" t="s">
        <v>1105</v>
      </c>
      <c r="R184" s="7513" t="s">
        <v>1083</v>
      </c>
      <c r="S184" s="7513" t="s">
        <v>1030</v>
      </c>
      <c r="T184" s="7513" t="s">
        <v>1030</v>
      </c>
      <c r="U184" s="7513" t="s">
        <v>1031</v>
      </c>
      <c r="V184" s="7513" t="s">
        <v>1032</v>
      </c>
      <c r="W184" s="7513" t="s">
        <v>1033</v>
      </c>
      <c r="X184" s="7513" t="s">
        <v>1106</v>
      </c>
      <c r="Y184" s="7513" t="s">
        <v>1107</v>
      </c>
      <c r="Z184" s="1516"/>
      <c r="AA184" s="1517"/>
      <c r="AB184" s="1517"/>
      <c r="AC184" s="1521"/>
      <c r="AD184" s="1521"/>
      <c r="AE184" s="1522"/>
      <c r="AF184" s="2847"/>
      <c r="AG184" s="2848"/>
      <c r="AH184" s="2848"/>
      <c r="AI184" s="2847"/>
      <c r="AJ184" s="2848"/>
      <c r="AK184" s="2848"/>
      <c r="AL184" s="2329"/>
      <c r="AM184" s="2164"/>
      <c r="AN184" s="2164"/>
      <c r="AO184" s="2164"/>
      <c r="AP184" s="2164"/>
      <c r="AQ184" s="2164"/>
      <c r="AR184" s="2164"/>
      <c r="AS184" s="2164"/>
      <c r="AT184" s="2164"/>
      <c r="AU184" s="2164"/>
      <c r="AV184" s="2164"/>
      <c r="AW184" s="2164"/>
      <c r="AX184" s="2164"/>
      <c r="AY184" s="2164"/>
      <c r="AZ184" s="2164"/>
      <c r="BA184" s="2164"/>
      <c r="BB184" s="2164"/>
      <c r="BC184" s="2164"/>
      <c r="BD184" s="2164"/>
      <c r="BE184" s="2164"/>
      <c r="BF184" s="2164"/>
      <c r="BG184" s="7511"/>
    </row>
    <row customHeight="1" ht="11.25">
      <c r="A185" s="1507" t="s">
        <v>990</v>
      </c>
      <c r="B185" s="1507"/>
      <c r="C185" s="1507"/>
      <c r="D185" s="1501"/>
      <c r="E185" s="1511"/>
      <c r="F185" s="2170"/>
      <c r="G185" s="2171"/>
      <c r="H185" s="2856" t="s">
        <v>1127</v>
      </c>
      <c r="I185" s="2857"/>
      <c r="J185" s="2826"/>
      <c r="K185" s="2858"/>
      <c r="L185" s="2448"/>
      <c r="M185" s="2449"/>
      <c r="N185" s="2849"/>
      <c r="O185" s="2850"/>
      <c r="P185" s="2852"/>
      <c r="Q185" s="7512"/>
      <c r="R185" s="2854"/>
      <c r="S185" s="2855"/>
      <c r="T185" s="2854"/>
      <c r="U185" s="2854"/>
      <c r="V185" s="2854"/>
      <c r="W185" s="2854"/>
      <c r="X185" s="2854"/>
      <c r="Y185" s="2854"/>
      <c r="Z185" s="2169"/>
      <c r="AA185" s="2135">
        <v>1</v>
      </c>
      <c r="AB185" s="1520" t="s">
        <v>1070</v>
      </c>
      <c r="AC185" s="1510">
        <v>13264.40146</v>
      </c>
      <c r="AD185" s="1520" t="str">
        <f>AB185</f>
        <v>  За счет платы за технологическое присоединение</v>
      </c>
      <c r="AE185" s="1510"/>
      <c r="AF185" s="2847"/>
      <c r="AG185" s="2848"/>
      <c r="AH185" s="2848"/>
      <c r="AI185" s="2847"/>
      <c r="AJ185" s="2848"/>
      <c r="AK185" s="2848"/>
      <c r="AL185" s="2329"/>
      <c r="AM185" s="2164"/>
      <c r="AN185" s="2164"/>
      <c r="AO185" s="2164"/>
      <c r="AP185" s="2164"/>
      <c r="AQ185" s="2164"/>
      <c r="AR185" s="2164"/>
      <c r="AS185" s="2164"/>
      <c r="AT185" s="2164"/>
      <c r="AU185" s="2164"/>
      <c r="AV185" s="2164"/>
      <c r="AW185" s="2164"/>
      <c r="AX185" s="2164"/>
      <c r="AY185" s="2164"/>
      <c r="AZ185" s="2164"/>
      <c r="BA185" s="2164"/>
      <c r="BB185" s="2164"/>
      <c r="BC185" s="2164"/>
      <c r="BD185" s="2164"/>
      <c r="BE185" s="2164"/>
      <c r="BF185" s="2164"/>
      <c r="BG185" s="7511"/>
    </row>
    <row customHeight="1" ht="11.25">
      <c r="A186" s="1507" t="s">
        <v>990</v>
      </c>
      <c r="B186" s="1507"/>
      <c r="C186" s="1507"/>
      <c r="D186" s="1501"/>
      <c r="E186" s="1511"/>
      <c r="F186" s="2171"/>
      <c r="G186" s="2171"/>
      <c r="H186" s="2171"/>
      <c r="I186" s="2171"/>
      <c r="J186" s="2171"/>
      <c r="K186" s="2171"/>
      <c r="L186" s="2171"/>
      <c r="M186" s="2171"/>
      <c r="N186" s="2171"/>
      <c r="O186" s="2171"/>
      <c r="P186" s="2171"/>
      <c r="Q186" s="2171"/>
      <c r="R186" s="2171"/>
      <c r="S186" s="2171"/>
      <c r="T186" s="2171"/>
      <c r="U186" s="2171"/>
      <c r="V186" s="2171"/>
      <c r="W186" s="2171"/>
      <c r="X186" s="2171"/>
      <c r="Y186" s="2171"/>
      <c r="Z186" s="7510" t="s">
        <v>684</v>
      </c>
      <c r="AA186" s="2155" t="s">
        <v>107</v>
      </c>
      <c r="AB186" s="1520" t="s">
        <v>1036</v>
      </c>
      <c r="AC186" s="1510">
        <v>2652.88029</v>
      </c>
      <c r="AD186" s="1520" t="str">
        <f>AB186</f>
        <v>  Прочие собственные средства</v>
      </c>
      <c r="AE186" s="1510"/>
      <c r="AF186" s="2172"/>
      <c r="AG186" s="2100"/>
      <c r="AH186" s="2100"/>
      <c r="AI186" s="2172"/>
      <c r="AJ186" s="2100"/>
      <c r="AK186" s="2328"/>
      <c r="AL186" s="2329"/>
      <c r="AM186" s="2164"/>
      <c r="AN186" s="2164"/>
      <c r="AO186" s="2164"/>
      <c r="AP186" s="2164"/>
      <c r="AQ186" s="2164"/>
      <c r="AR186" s="2164"/>
      <c r="AS186" s="2164"/>
      <c r="AT186" s="2164"/>
      <c r="AU186" s="2164"/>
      <c r="AV186" s="2164"/>
      <c r="AW186" s="2164"/>
      <c r="AX186" s="2164"/>
      <c r="AY186" s="2164"/>
      <c r="AZ186" s="2164"/>
      <c r="BA186" s="2164"/>
      <c r="BB186" s="2164"/>
      <c r="BC186" s="2164"/>
      <c r="BD186" s="2164"/>
      <c r="BE186" s="2164"/>
      <c r="BF186" s="2164"/>
      <c r="BG186" s="7511"/>
    </row>
    <row customHeight="1" ht="11.25">
      <c r="A187" s="1507" t="s">
        <v>990</v>
      </c>
      <c r="B187" s="1507"/>
      <c r="C187" s="1507"/>
      <c r="D187" s="1501"/>
      <c r="E187" s="1511"/>
      <c r="F187" s="2170"/>
      <c r="G187" s="2171"/>
      <c r="H187" s="2856" t="s">
        <v>1127</v>
      </c>
      <c r="I187" s="2857"/>
      <c r="J187" s="2826"/>
      <c r="K187" s="2858"/>
      <c r="L187" s="2448"/>
      <c r="M187" s="2449"/>
      <c r="N187" s="2849"/>
      <c r="O187" s="2850"/>
      <c r="P187" s="2853"/>
      <c r="Q187" s="7512"/>
      <c r="R187" s="2854"/>
      <c r="S187" s="2855"/>
      <c r="T187" s="2854"/>
      <c r="U187" s="2854"/>
      <c r="V187" s="2854"/>
      <c r="W187" s="2854"/>
      <c r="X187" s="2854"/>
      <c r="Y187" s="2854"/>
      <c r="Z187" s="1516"/>
      <c r="AA187" s="1517"/>
      <c r="AB187" s="1582" t="s">
        <v>1037</v>
      </c>
      <c r="AC187" s="1521"/>
      <c r="AD187" s="1521"/>
      <c r="AE187" s="1523"/>
      <c r="AF187" s="2847"/>
      <c r="AG187" s="2848"/>
      <c r="AH187" s="2848"/>
      <c r="AI187" s="2847"/>
      <c r="AJ187" s="2848"/>
      <c r="AK187" s="2848"/>
      <c r="AL187" s="2329"/>
      <c r="AM187" s="2164"/>
      <c r="AN187" s="2164"/>
      <c r="AO187" s="2164"/>
      <c r="AP187" s="2164"/>
      <c r="AQ187" s="2164"/>
      <c r="AR187" s="2164"/>
      <c r="AS187" s="2164"/>
      <c r="AT187" s="2164"/>
      <c r="AU187" s="2164"/>
      <c r="AV187" s="2164"/>
      <c r="AW187" s="2164"/>
      <c r="AX187" s="2164"/>
      <c r="AY187" s="2164"/>
      <c r="AZ187" s="2164"/>
      <c r="BA187" s="2164"/>
      <c r="BB187" s="2164"/>
      <c r="BC187" s="2164"/>
      <c r="BD187" s="2164"/>
      <c r="BE187" s="2164"/>
      <c r="BF187" s="2164"/>
      <c r="BG187" s="7511"/>
    </row>
    <row customHeight="1" ht="11.25">
      <c r="A188" s="1507" t="s">
        <v>990</v>
      </c>
      <c r="B188" s="1507"/>
      <c r="C188" s="1507"/>
      <c r="D188" s="1501"/>
      <c r="E188" s="1511"/>
      <c r="F188" s="2170"/>
      <c r="G188" s="2171"/>
      <c r="H188" s="2856" t="s">
        <v>1127</v>
      </c>
      <c r="I188" s="2857"/>
      <c r="J188" s="2826"/>
      <c r="K188" s="2858"/>
      <c r="L188" s="2448"/>
      <c r="M188" s="2449"/>
      <c r="N188" s="1516"/>
      <c r="O188" s="1517"/>
      <c r="P188" s="1509" t="s">
        <v>1038</v>
      </c>
      <c r="Q188" s="1517"/>
      <c r="R188" s="1517"/>
      <c r="S188" s="1517"/>
      <c r="T188" s="1517"/>
      <c r="U188" s="1517"/>
      <c r="V188" s="1517"/>
      <c r="W188" s="1517"/>
      <c r="X188" s="1517"/>
      <c r="Y188" s="1517"/>
      <c r="Z188" s="1517"/>
      <c r="AA188" s="1517"/>
      <c r="AB188" s="1517"/>
      <c r="AC188" s="1517"/>
      <c r="AD188" s="1517"/>
      <c r="AE188" s="1524"/>
      <c r="AF188" s="2847"/>
      <c r="AG188" s="2848"/>
      <c r="AH188" s="2848"/>
      <c r="AI188" s="2847"/>
      <c r="AJ188" s="2848"/>
      <c r="AK188" s="2848"/>
      <c r="AL188" s="2329"/>
      <c r="AM188" s="2164"/>
      <c r="AN188" s="2164"/>
      <c r="AO188" s="2164"/>
      <c r="AP188" s="2164"/>
      <c r="AQ188" s="2164"/>
      <c r="AR188" s="2164"/>
      <c r="AS188" s="2164"/>
      <c r="AT188" s="2164"/>
      <c r="AU188" s="2164"/>
      <c r="AV188" s="2164"/>
      <c r="AW188" s="2164"/>
      <c r="AX188" s="2164"/>
      <c r="AY188" s="2164"/>
      <c r="AZ188" s="2164"/>
      <c r="BA188" s="2164"/>
      <c r="BB188" s="2164"/>
      <c r="BC188" s="2164"/>
      <c r="BD188" s="2164"/>
      <c r="BE188" s="2164"/>
      <c r="BF188" s="2164"/>
      <c r="BG188" s="7511"/>
    </row>
    <row customHeight="1" ht="11.25">
      <c r="A189" s="1507" t="s">
        <v>990</v>
      </c>
      <c r="B189" s="1507" t="s">
        <v>1022</v>
      </c>
      <c r="C189" s="1507"/>
      <c r="D189" s="1501"/>
      <c r="E189" s="1511"/>
      <c r="F189" s="2170"/>
      <c r="G189" s="7510" t="s">
        <v>684</v>
      </c>
      <c r="H189" s="2856" t="s">
        <v>1131</v>
      </c>
      <c r="I189" s="2857" t="s">
        <v>1023</v>
      </c>
      <c r="J189" s="2826" t="s">
        <v>1071</v>
      </c>
      <c r="K189" s="2858" t="s">
        <v>1132</v>
      </c>
      <c r="L189" s="2448" t="s">
        <v>19</v>
      </c>
      <c r="M189" s="2449"/>
      <c r="N189" s="2327"/>
      <c r="O189" s="1518" t="s">
        <v>371</v>
      </c>
      <c r="P189" s="1519"/>
      <c r="Q189" s="1519"/>
      <c r="R189" s="1519"/>
      <c r="S189" s="1519"/>
      <c r="T189" s="1519"/>
      <c r="U189" s="1519"/>
      <c r="V189" s="1519"/>
      <c r="W189" s="1519"/>
      <c r="X189" s="1519"/>
      <c r="Y189" s="1519"/>
      <c r="Z189" s="1519"/>
      <c r="AA189" s="1519"/>
      <c r="AB189" s="1519"/>
      <c r="AC189" s="1519"/>
      <c r="AD189" s="1519"/>
      <c r="AE189" s="1519"/>
      <c r="AF189" s="2847">
        <v>6</v>
      </c>
      <c r="AG189" s="2848" t="s">
        <v>1067</v>
      </c>
      <c r="AH189" s="2848" t="s">
        <v>1104</v>
      </c>
      <c r="AI189" s="2847"/>
      <c r="AJ189" s="2848"/>
      <c r="AK189" s="2848"/>
      <c r="AL189" s="2329"/>
      <c r="AM189" s="2164"/>
      <c r="AN189" s="2164"/>
      <c r="AO189" s="2164"/>
      <c r="AP189" s="2164"/>
      <c r="AQ189" s="2164"/>
      <c r="AR189" s="2164"/>
      <c r="AS189" s="2164"/>
      <c r="AT189" s="2164"/>
      <c r="AU189" s="2164"/>
      <c r="AV189" s="2164"/>
      <c r="AW189" s="2164"/>
      <c r="AX189" s="2164"/>
      <c r="AY189" s="2164"/>
      <c r="AZ189" s="2164"/>
      <c r="BA189" s="2164"/>
      <c r="BB189" s="2164"/>
      <c r="BC189" s="2164"/>
      <c r="BD189" s="2164"/>
      <c r="BE189" s="2164"/>
      <c r="BF189" s="2164"/>
      <c r="BG189" s="7511"/>
    </row>
    <row customHeight="1" ht="11.25">
      <c r="A190" s="1507" t="s">
        <v>990</v>
      </c>
      <c r="B190" s="1507"/>
      <c r="C190" s="1507"/>
      <c r="D190" s="1501"/>
      <c r="E190" s="1511"/>
      <c r="F190" s="2170"/>
      <c r="G190" s="2171"/>
      <c r="H190" s="2856" t="s">
        <v>1129</v>
      </c>
      <c r="I190" s="2857"/>
      <c r="J190" s="2826"/>
      <c r="K190" s="2858"/>
      <c r="L190" s="2448"/>
      <c r="M190" s="2449"/>
      <c r="N190" s="2849"/>
      <c r="O190" s="2850">
        <v>1</v>
      </c>
      <c r="P190" s="2851" t="s">
        <v>65</v>
      </c>
      <c r="Q190" s="7512" t="s">
        <v>1105</v>
      </c>
      <c r="R190" s="7513" t="s">
        <v>1083</v>
      </c>
      <c r="S190" s="7513" t="s">
        <v>1030</v>
      </c>
      <c r="T190" s="7513" t="s">
        <v>1030</v>
      </c>
      <c r="U190" s="7513" t="s">
        <v>1031</v>
      </c>
      <c r="V190" s="7513" t="s">
        <v>1032</v>
      </c>
      <c r="W190" s="7513" t="s">
        <v>1033</v>
      </c>
      <c r="X190" s="7513" t="s">
        <v>1106</v>
      </c>
      <c r="Y190" s="7513" t="s">
        <v>1107</v>
      </c>
      <c r="Z190" s="1516"/>
      <c r="AA190" s="1517"/>
      <c r="AB190" s="1517"/>
      <c r="AC190" s="1521"/>
      <c r="AD190" s="1521"/>
      <c r="AE190" s="1522"/>
      <c r="AF190" s="2847"/>
      <c r="AG190" s="2848"/>
      <c r="AH190" s="2848"/>
      <c r="AI190" s="2847"/>
      <c r="AJ190" s="2848"/>
      <c r="AK190" s="2848"/>
      <c r="AL190" s="2329"/>
      <c r="AM190" s="2164"/>
      <c r="AN190" s="2164"/>
      <c r="AO190" s="2164"/>
      <c r="AP190" s="2164"/>
      <c r="AQ190" s="2164"/>
      <c r="AR190" s="2164"/>
      <c r="AS190" s="2164"/>
      <c r="AT190" s="2164"/>
      <c r="AU190" s="2164"/>
      <c r="AV190" s="2164"/>
      <c r="AW190" s="2164"/>
      <c r="AX190" s="2164"/>
      <c r="AY190" s="2164"/>
      <c r="AZ190" s="2164"/>
      <c r="BA190" s="2164"/>
      <c r="BB190" s="2164"/>
      <c r="BC190" s="2164"/>
      <c r="BD190" s="2164"/>
      <c r="BE190" s="2164"/>
      <c r="BF190" s="2164"/>
      <c r="BG190" s="7511"/>
    </row>
    <row customHeight="1" ht="11.25">
      <c r="A191" s="1507" t="s">
        <v>990</v>
      </c>
      <c r="B191" s="1507"/>
      <c r="C191" s="1507"/>
      <c r="D191" s="1501"/>
      <c r="E191" s="1511"/>
      <c r="F191" s="2170"/>
      <c r="G191" s="2171"/>
      <c r="H191" s="2856" t="s">
        <v>1129</v>
      </c>
      <c r="I191" s="2857"/>
      <c r="J191" s="2826"/>
      <c r="K191" s="2858"/>
      <c r="L191" s="2448"/>
      <c r="M191" s="2449"/>
      <c r="N191" s="2849"/>
      <c r="O191" s="2850"/>
      <c r="P191" s="2852"/>
      <c r="Q191" s="7512"/>
      <c r="R191" s="2854"/>
      <c r="S191" s="2855"/>
      <c r="T191" s="2854"/>
      <c r="U191" s="2854"/>
      <c r="V191" s="2854"/>
      <c r="W191" s="2854"/>
      <c r="X191" s="2854"/>
      <c r="Y191" s="2854"/>
      <c r="Z191" s="2169"/>
      <c r="AA191" s="2135">
        <v>1</v>
      </c>
      <c r="AB191" s="1520" t="s">
        <v>1070</v>
      </c>
      <c r="AC191" s="1510">
        <v>1803.67188</v>
      </c>
      <c r="AD191" s="1520" t="str">
        <f>AB191</f>
        <v>  За счет платы за технологическое присоединение</v>
      </c>
      <c r="AE191" s="1510"/>
      <c r="AF191" s="2847"/>
      <c r="AG191" s="2848"/>
      <c r="AH191" s="2848"/>
      <c r="AI191" s="2847"/>
      <c r="AJ191" s="2848"/>
      <c r="AK191" s="2848"/>
      <c r="AL191" s="2329"/>
      <c r="AM191" s="2164"/>
      <c r="AN191" s="2164"/>
      <c r="AO191" s="2164"/>
      <c r="AP191" s="2164"/>
      <c r="AQ191" s="2164"/>
      <c r="AR191" s="2164"/>
      <c r="AS191" s="2164"/>
      <c r="AT191" s="2164"/>
      <c r="AU191" s="2164"/>
      <c r="AV191" s="2164"/>
      <c r="AW191" s="2164"/>
      <c r="AX191" s="2164"/>
      <c r="AY191" s="2164"/>
      <c r="AZ191" s="2164"/>
      <c r="BA191" s="2164"/>
      <c r="BB191" s="2164"/>
      <c r="BC191" s="2164"/>
      <c r="BD191" s="2164"/>
      <c r="BE191" s="2164"/>
      <c r="BF191" s="2164"/>
      <c r="BG191" s="7511"/>
    </row>
    <row customHeight="1" ht="11.25">
      <c r="A192" s="1507" t="s">
        <v>990</v>
      </c>
      <c r="B192" s="1507"/>
      <c r="C192" s="1507"/>
      <c r="D192" s="1501"/>
      <c r="E192" s="1511"/>
      <c r="F192" s="2171"/>
      <c r="G192" s="2171"/>
      <c r="H192" s="2171"/>
      <c r="I192" s="2171"/>
      <c r="J192" s="2171"/>
      <c r="K192" s="2171"/>
      <c r="L192" s="2171"/>
      <c r="M192" s="2171"/>
      <c r="N192" s="2171"/>
      <c r="O192" s="2171"/>
      <c r="P192" s="2171"/>
      <c r="Q192" s="2171"/>
      <c r="R192" s="2171"/>
      <c r="S192" s="2171"/>
      <c r="T192" s="2171"/>
      <c r="U192" s="2171"/>
      <c r="V192" s="2171"/>
      <c r="W192" s="2171"/>
      <c r="X192" s="2171"/>
      <c r="Y192" s="2171"/>
      <c r="Z192" s="7510" t="s">
        <v>684</v>
      </c>
      <c r="AA192" s="2155" t="s">
        <v>107</v>
      </c>
      <c r="AB192" s="1520" t="s">
        <v>1036</v>
      </c>
      <c r="AC192" s="1510">
        <v>360.734376</v>
      </c>
      <c r="AD192" s="1520" t="str">
        <f>AB192</f>
        <v>  Прочие собственные средства</v>
      </c>
      <c r="AE192" s="1510"/>
      <c r="AF192" s="2172"/>
      <c r="AG192" s="2100"/>
      <c r="AH192" s="2100"/>
      <c r="AI192" s="2172"/>
      <c r="AJ192" s="2100"/>
      <c r="AK192" s="2328"/>
      <c r="AL192" s="2329"/>
      <c r="AM192" s="2164"/>
      <c r="AN192" s="2164"/>
      <c r="AO192" s="2164"/>
      <c r="AP192" s="2164"/>
      <c r="AQ192" s="2164"/>
      <c r="AR192" s="2164"/>
      <c r="AS192" s="2164"/>
      <c r="AT192" s="2164"/>
      <c r="AU192" s="2164"/>
      <c r="AV192" s="2164"/>
      <c r="AW192" s="2164"/>
      <c r="AX192" s="2164"/>
      <c r="AY192" s="2164"/>
      <c r="AZ192" s="2164"/>
      <c r="BA192" s="2164"/>
      <c r="BB192" s="2164"/>
      <c r="BC192" s="2164"/>
      <c r="BD192" s="2164"/>
      <c r="BE192" s="2164"/>
      <c r="BF192" s="2164"/>
      <c r="BG192" s="7511"/>
    </row>
    <row customHeight="1" ht="11.25">
      <c r="A193" s="1507" t="s">
        <v>990</v>
      </c>
      <c r="B193" s="1507"/>
      <c r="C193" s="1507"/>
      <c r="D193" s="1501"/>
      <c r="E193" s="1511"/>
      <c r="F193" s="2170"/>
      <c r="G193" s="2171"/>
      <c r="H193" s="2856" t="s">
        <v>1129</v>
      </c>
      <c r="I193" s="2857"/>
      <c r="J193" s="2826"/>
      <c r="K193" s="2858"/>
      <c r="L193" s="2448"/>
      <c r="M193" s="2449"/>
      <c r="N193" s="2849"/>
      <c r="O193" s="2850"/>
      <c r="P193" s="2853"/>
      <c r="Q193" s="7512"/>
      <c r="R193" s="2854"/>
      <c r="S193" s="2855"/>
      <c r="T193" s="2854"/>
      <c r="U193" s="2854"/>
      <c r="V193" s="2854"/>
      <c r="W193" s="2854"/>
      <c r="X193" s="2854"/>
      <c r="Y193" s="2854"/>
      <c r="Z193" s="1516"/>
      <c r="AA193" s="1517"/>
      <c r="AB193" s="1582" t="s">
        <v>1037</v>
      </c>
      <c r="AC193" s="1521"/>
      <c r="AD193" s="1521"/>
      <c r="AE193" s="1523"/>
      <c r="AF193" s="2847"/>
      <c r="AG193" s="2848"/>
      <c r="AH193" s="2848"/>
      <c r="AI193" s="2847"/>
      <c r="AJ193" s="2848"/>
      <c r="AK193" s="2848"/>
      <c r="AL193" s="2329"/>
      <c r="AM193" s="2164"/>
      <c r="AN193" s="2164"/>
      <c r="AO193" s="2164"/>
      <c r="AP193" s="2164"/>
      <c r="AQ193" s="2164"/>
      <c r="AR193" s="2164"/>
      <c r="AS193" s="2164"/>
      <c r="AT193" s="2164"/>
      <c r="AU193" s="2164"/>
      <c r="AV193" s="2164"/>
      <c r="AW193" s="2164"/>
      <c r="AX193" s="2164"/>
      <c r="AY193" s="2164"/>
      <c r="AZ193" s="2164"/>
      <c r="BA193" s="2164"/>
      <c r="BB193" s="2164"/>
      <c r="BC193" s="2164"/>
      <c r="BD193" s="2164"/>
      <c r="BE193" s="2164"/>
      <c r="BF193" s="2164"/>
      <c r="BG193" s="7511"/>
    </row>
    <row customHeight="1" ht="31.5">
      <c r="A194" s="1507" t="s">
        <v>990</v>
      </c>
      <c r="B194" s="1507"/>
      <c r="C194" s="1507"/>
      <c r="D194" s="1501"/>
      <c r="E194" s="1511"/>
      <c r="F194" s="2170"/>
      <c r="G194" s="2171"/>
      <c r="H194" s="2856" t="s">
        <v>1129</v>
      </c>
      <c r="I194" s="2857"/>
      <c r="J194" s="2826"/>
      <c r="K194" s="2858"/>
      <c r="L194" s="2448"/>
      <c r="M194" s="2449"/>
      <c r="N194" s="1516"/>
      <c r="O194" s="1517"/>
      <c r="P194" s="1509" t="s">
        <v>1038</v>
      </c>
      <c r="Q194" s="1517"/>
      <c r="R194" s="1517"/>
      <c r="S194" s="1517"/>
      <c r="T194" s="1517"/>
      <c r="U194" s="1517"/>
      <c r="V194" s="1517"/>
      <c r="W194" s="1517"/>
      <c r="X194" s="1517"/>
      <c r="Y194" s="1517"/>
      <c r="Z194" s="1517"/>
      <c r="AA194" s="1517"/>
      <c r="AB194" s="1517"/>
      <c r="AC194" s="1517"/>
      <c r="AD194" s="1517"/>
      <c r="AE194" s="1524"/>
      <c r="AF194" s="2847"/>
      <c r="AG194" s="2848"/>
      <c r="AH194" s="2848"/>
      <c r="AI194" s="2847"/>
      <c r="AJ194" s="2848"/>
      <c r="AK194" s="2848"/>
      <c r="AL194" s="2329"/>
      <c r="AM194" s="2164"/>
      <c r="AN194" s="2164"/>
      <c r="AO194" s="2164"/>
      <c r="AP194" s="2164"/>
      <c r="AQ194" s="2164"/>
      <c r="AR194" s="2164"/>
      <c r="AS194" s="2164"/>
      <c r="AT194" s="2164"/>
      <c r="AU194" s="2164"/>
      <c r="AV194" s="2164"/>
      <c r="AW194" s="2164"/>
      <c r="AX194" s="2164"/>
      <c r="AY194" s="2164"/>
      <c r="AZ194" s="2164"/>
      <c r="BA194" s="2164"/>
      <c r="BB194" s="2164"/>
      <c r="BC194" s="2164"/>
      <c r="BD194" s="2164"/>
      <c r="BE194" s="2164"/>
      <c r="BF194" s="2164"/>
      <c r="BG194" s="7511"/>
    </row>
    <row customHeight="1" ht="11.25">
      <c r="A195" s="1507" t="s">
        <v>990</v>
      </c>
      <c r="B195" s="1507" t="s">
        <v>1022</v>
      </c>
      <c r="C195" s="1507"/>
      <c r="D195" s="1501"/>
      <c r="E195" s="1511"/>
      <c r="F195" s="2170"/>
      <c r="G195" s="7510" t="s">
        <v>684</v>
      </c>
      <c r="H195" s="2856" t="s">
        <v>1133</v>
      </c>
      <c r="I195" s="2857" t="s">
        <v>1023</v>
      </c>
      <c r="J195" s="2826" t="s">
        <v>1071</v>
      </c>
      <c r="K195" s="2858" t="s">
        <v>1134</v>
      </c>
      <c r="L195" s="2448" t="s">
        <v>19</v>
      </c>
      <c r="M195" s="2449"/>
      <c r="N195" s="2327"/>
      <c r="O195" s="1518" t="s">
        <v>371</v>
      </c>
      <c r="P195" s="1519"/>
      <c r="Q195" s="1519"/>
      <c r="R195" s="1519"/>
      <c r="S195" s="1519"/>
      <c r="T195" s="1519"/>
      <c r="U195" s="1519"/>
      <c r="V195" s="1519"/>
      <c r="W195" s="1519"/>
      <c r="X195" s="1519"/>
      <c r="Y195" s="1519"/>
      <c r="Z195" s="1519"/>
      <c r="AA195" s="1519"/>
      <c r="AB195" s="1519"/>
      <c r="AC195" s="1519"/>
      <c r="AD195" s="1519"/>
      <c r="AE195" s="1519"/>
      <c r="AF195" s="2847">
        <v>6</v>
      </c>
      <c r="AG195" s="2848" t="s">
        <v>1067</v>
      </c>
      <c r="AH195" s="2848" t="s">
        <v>1104</v>
      </c>
      <c r="AI195" s="2847"/>
      <c r="AJ195" s="2848"/>
      <c r="AK195" s="2848"/>
      <c r="AL195" s="2329"/>
      <c r="AM195" s="2164"/>
      <c r="AN195" s="2164"/>
      <c r="AO195" s="2164"/>
      <c r="AP195" s="2164"/>
      <c r="AQ195" s="2164"/>
      <c r="AR195" s="2164"/>
      <c r="AS195" s="2164"/>
      <c r="AT195" s="2164"/>
      <c r="AU195" s="2164"/>
      <c r="AV195" s="2164"/>
      <c r="AW195" s="2164"/>
      <c r="AX195" s="2164"/>
      <c r="AY195" s="2164"/>
      <c r="AZ195" s="2164"/>
      <c r="BA195" s="2164"/>
      <c r="BB195" s="2164"/>
      <c r="BC195" s="2164"/>
      <c r="BD195" s="2164"/>
      <c r="BE195" s="2164"/>
      <c r="BF195" s="2164"/>
      <c r="BG195" s="7511"/>
    </row>
    <row customHeight="1" ht="11.25">
      <c r="A196" s="1507" t="s">
        <v>990</v>
      </c>
      <c r="B196" s="1507"/>
      <c r="C196" s="1507"/>
      <c r="D196" s="1501"/>
      <c r="E196" s="1511"/>
      <c r="F196" s="2170"/>
      <c r="G196" s="2171"/>
      <c r="H196" s="2856" t="s">
        <v>1131</v>
      </c>
      <c r="I196" s="2857"/>
      <c r="J196" s="2826"/>
      <c r="K196" s="2858"/>
      <c r="L196" s="2448"/>
      <c r="M196" s="2449"/>
      <c r="N196" s="2849"/>
      <c r="O196" s="2850">
        <v>1</v>
      </c>
      <c r="P196" s="2851" t="s">
        <v>65</v>
      </c>
      <c r="Q196" s="7512" t="s">
        <v>1105</v>
      </c>
      <c r="R196" s="7513" t="s">
        <v>1083</v>
      </c>
      <c r="S196" s="7513" t="s">
        <v>1030</v>
      </c>
      <c r="T196" s="7513" t="s">
        <v>1030</v>
      </c>
      <c r="U196" s="7513" t="s">
        <v>1031</v>
      </c>
      <c r="V196" s="7513" t="s">
        <v>1032</v>
      </c>
      <c r="W196" s="7513" t="s">
        <v>1033</v>
      </c>
      <c r="X196" s="7513" t="s">
        <v>1106</v>
      </c>
      <c r="Y196" s="7513" t="s">
        <v>1107</v>
      </c>
      <c r="Z196" s="1516"/>
      <c r="AA196" s="1517"/>
      <c r="AB196" s="1517"/>
      <c r="AC196" s="1521"/>
      <c r="AD196" s="1521"/>
      <c r="AE196" s="1522"/>
      <c r="AF196" s="2847"/>
      <c r="AG196" s="2848"/>
      <c r="AH196" s="2848"/>
      <c r="AI196" s="2847"/>
      <c r="AJ196" s="2848"/>
      <c r="AK196" s="2848"/>
      <c r="AL196" s="2329"/>
      <c r="AM196" s="2164"/>
      <c r="AN196" s="2164"/>
      <c r="AO196" s="2164"/>
      <c r="AP196" s="2164"/>
      <c r="AQ196" s="2164"/>
      <c r="AR196" s="2164"/>
      <c r="AS196" s="2164"/>
      <c r="AT196" s="2164"/>
      <c r="AU196" s="2164"/>
      <c r="AV196" s="2164"/>
      <c r="AW196" s="2164"/>
      <c r="AX196" s="2164"/>
      <c r="AY196" s="2164"/>
      <c r="AZ196" s="2164"/>
      <c r="BA196" s="2164"/>
      <c r="BB196" s="2164"/>
      <c r="BC196" s="2164"/>
      <c r="BD196" s="2164"/>
      <c r="BE196" s="2164"/>
      <c r="BF196" s="2164"/>
      <c r="BG196" s="7511"/>
    </row>
    <row customHeight="1" ht="11.25">
      <c r="A197" s="1507" t="s">
        <v>990</v>
      </c>
      <c r="B197" s="1507"/>
      <c r="C197" s="1507"/>
      <c r="D197" s="1501"/>
      <c r="E197" s="1511"/>
      <c r="F197" s="2170"/>
      <c r="G197" s="2171"/>
      <c r="H197" s="2856" t="s">
        <v>1131</v>
      </c>
      <c r="I197" s="2857"/>
      <c r="J197" s="2826"/>
      <c r="K197" s="2858"/>
      <c r="L197" s="2448"/>
      <c r="M197" s="2449"/>
      <c r="N197" s="2849"/>
      <c r="O197" s="2850"/>
      <c r="P197" s="2852"/>
      <c r="Q197" s="7512"/>
      <c r="R197" s="2854"/>
      <c r="S197" s="2855"/>
      <c r="T197" s="2854"/>
      <c r="U197" s="2854"/>
      <c r="V197" s="2854"/>
      <c r="W197" s="2854"/>
      <c r="X197" s="2854"/>
      <c r="Y197" s="2854"/>
      <c r="Z197" s="2169"/>
      <c r="AA197" s="2135">
        <v>1</v>
      </c>
      <c r="AB197" s="1520" t="s">
        <v>1070</v>
      </c>
      <c r="AC197" s="1510">
        <v>77482.8296</v>
      </c>
      <c r="AD197" s="1520" t="str">
        <f>AB197</f>
        <v>  За счет платы за технологическое присоединение</v>
      </c>
      <c r="AE197" s="1510"/>
      <c r="AF197" s="2847"/>
      <c r="AG197" s="2848"/>
      <c r="AH197" s="2848"/>
      <c r="AI197" s="2847"/>
      <c r="AJ197" s="2848"/>
      <c r="AK197" s="2848"/>
      <c r="AL197" s="2329"/>
      <c r="AM197" s="2164"/>
      <c r="AN197" s="2164"/>
      <c r="AO197" s="2164"/>
      <c r="AP197" s="2164"/>
      <c r="AQ197" s="2164"/>
      <c r="AR197" s="2164"/>
      <c r="AS197" s="2164"/>
      <c r="AT197" s="2164"/>
      <c r="AU197" s="2164"/>
      <c r="AV197" s="2164"/>
      <c r="AW197" s="2164"/>
      <c r="AX197" s="2164"/>
      <c r="AY197" s="2164"/>
      <c r="AZ197" s="2164"/>
      <c r="BA197" s="2164"/>
      <c r="BB197" s="2164"/>
      <c r="BC197" s="2164"/>
      <c r="BD197" s="2164"/>
      <c r="BE197" s="2164"/>
      <c r="BF197" s="2164"/>
      <c r="BG197" s="7511"/>
    </row>
    <row customHeight="1" ht="11.25">
      <c r="A198" s="1507" t="s">
        <v>990</v>
      </c>
      <c r="B198" s="1507"/>
      <c r="C198" s="1507"/>
      <c r="D198" s="1501"/>
      <c r="E198" s="1511"/>
      <c r="F198" s="2171"/>
      <c r="G198" s="2171"/>
      <c r="H198" s="2171"/>
      <c r="I198" s="2171"/>
      <c r="J198" s="2171"/>
      <c r="K198" s="2171"/>
      <c r="L198" s="2171"/>
      <c r="M198" s="2171"/>
      <c r="N198" s="2171"/>
      <c r="O198" s="2171"/>
      <c r="P198" s="2171"/>
      <c r="Q198" s="2171"/>
      <c r="R198" s="2171"/>
      <c r="S198" s="2171"/>
      <c r="T198" s="2171"/>
      <c r="U198" s="2171"/>
      <c r="V198" s="2171"/>
      <c r="W198" s="2171"/>
      <c r="X198" s="2171"/>
      <c r="Y198" s="2171"/>
      <c r="Z198" s="7510" t="s">
        <v>684</v>
      </c>
      <c r="AA198" s="2155" t="s">
        <v>107</v>
      </c>
      <c r="AB198" s="1520" t="s">
        <v>1036</v>
      </c>
      <c r="AC198" s="1510">
        <v>15496.56592</v>
      </c>
      <c r="AD198" s="1520" t="str">
        <f>AB198</f>
        <v>  Прочие собственные средства</v>
      </c>
      <c r="AE198" s="1510"/>
      <c r="AF198" s="2172"/>
      <c r="AG198" s="2100"/>
      <c r="AH198" s="2100"/>
      <c r="AI198" s="2172"/>
      <c r="AJ198" s="2100"/>
      <c r="AK198" s="2328"/>
      <c r="AL198" s="2329"/>
      <c r="AM198" s="2164"/>
      <c r="AN198" s="2164"/>
      <c r="AO198" s="2164"/>
      <c r="AP198" s="2164"/>
      <c r="AQ198" s="2164"/>
      <c r="AR198" s="2164"/>
      <c r="AS198" s="2164"/>
      <c r="AT198" s="2164"/>
      <c r="AU198" s="2164"/>
      <c r="AV198" s="2164"/>
      <c r="AW198" s="2164"/>
      <c r="AX198" s="2164"/>
      <c r="AY198" s="2164"/>
      <c r="AZ198" s="2164"/>
      <c r="BA198" s="2164"/>
      <c r="BB198" s="2164"/>
      <c r="BC198" s="2164"/>
      <c r="BD198" s="2164"/>
      <c r="BE198" s="2164"/>
      <c r="BF198" s="2164"/>
      <c r="BG198" s="7511"/>
    </row>
    <row customHeight="1" ht="11.25">
      <c r="A199" s="1507" t="s">
        <v>990</v>
      </c>
      <c r="B199" s="1507"/>
      <c r="C199" s="1507"/>
      <c r="D199" s="1501"/>
      <c r="E199" s="1511"/>
      <c r="F199" s="2170"/>
      <c r="G199" s="2171"/>
      <c r="H199" s="2856" t="s">
        <v>1131</v>
      </c>
      <c r="I199" s="2857"/>
      <c r="J199" s="2826"/>
      <c r="K199" s="2858"/>
      <c r="L199" s="2448"/>
      <c r="M199" s="2449"/>
      <c r="N199" s="2849"/>
      <c r="O199" s="2850"/>
      <c r="P199" s="2853"/>
      <c r="Q199" s="7512"/>
      <c r="R199" s="2854"/>
      <c r="S199" s="2855"/>
      <c r="T199" s="2854"/>
      <c r="U199" s="2854"/>
      <c r="V199" s="2854"/>
      <c r="W199" s="2854"/>
      <c r="X199" s="2854"/>
      <c r="Y199" s="2854"/>
      <c r="Z199" s="1516"/>
      <c r="AA199" s="1517"/>
      <c r="AB199" s="1582" t="s">
        <v>1037</v>
      </c>
      <c r="AC199" s="1521"/>
      <c r="AD199" s="1521"/>
      <c r="AE199" s="1523"/>
      <c r="AF199" s="2847"/>
      <c r="AG199" s="2848"/>
      <c r="AH199" s="2848"/>
      <c r="AI199" s="2847"/>
      <c r="AJ199" s="2848"/>
      <c r="AK199" s="2848"/>
      <c r="AL199" s="2329"/>
      <c r="AM199" s="2164"/>
      <c r="AN199" s="2164"/>
      <c r="AO199" s="2164"/>
      <c r="AP199" s="2164"/>
      <c r="AQ199" s="2164"/>
      <c r="AR199" s="2164"/>
      <c r="AS199" s="2164"/>
      <c r="AT199" s="2164"/>
      <c r="AU199" s="2164"/>
      <c r="AV199" s="2164"/>
      <c r="AW199" s="2164"/>
      <c r="AX199" s="2164"/>
      <c r="AY199" s="2164"/>
      <c r="AZ199" s="2164"/>
      <c r="BA199" s="2164"/>
      <c r="BB199" s="2164"/>
      <c r="BC199" s="2164"/>
      <c r="BD199" s="2164"/>
      <c r="BE199" s="2164"/>
      <c r="BF199" s="2164"/>
      <c r="BG199" s="7511"/>
    </row>
    <row customHeight="1" ht="11.25">
      <c r="A200" s="1507" t="s">
        <v>990</v>
      </c>
      <c r="B200" s="1507"/>
      <c r="C200" s="1507"/>
      <c r="D200" s="1501"/>
      <c r="E200" s="1511"/>
      <c r="F200" s="2170"/>
      <c r="G200" s="2171"/>
      <c r="H200" s="2856" t="s">
        <v>1131</v>
      </c>
      <c r="I200" s="2857"/>
      <c r="J200" s="2826"/>
      <c r="K200" s="2858"/>
      <c r="L200" s="2448"/>
      <c r="M200" s="2449"/>
      <c r="N200" s="1516"/>
      <c r="O200" s="1517"/>
      <c r="P200" s="1509" t="s">
        <v>1038</v>
      </c>
      <c r="Q200" s="1517"/>
      <c r="R200" s="1517"/>
      <c r="S200" s="1517"/>
      <c r="T200" s="1517"/>
      <c r="U200" s="1517"/>
      <c r="V200" s="1517"/>
      <c r="W200" s="1517"/>
      <c r="X200" s="1517"/>
      <c r="Y200" s="1517"/>
      <c r="Z200" s="1517"/>
      <c r="AA200" s="1517"/>
      <c r="AB200" s="1517"/>
      <c r="AC200" s="1517"/>
      <c r="AD200" s="1517"/>
      <c r="AE200" s="1524"/>
      <c r="AF200" s="2847"/>
      <c r="AG200" s="2848"/>
      <c r="AH200" s="2848"/>
      <c r="AI200" s="2847"/>
      <c r="AJ200" s="2848"/>
      <c r="AK200" s="2848"/>
      <c r="AL200" s="2329"/>
      <c r="AM200" s="2164"/>
      <c r="AN200" s="2164"/>
      <c r="AO200" s="2164"/>
      <c r="AP200" s="2164"/>
      <c r="AQ200" s="2164"/>
      <c r="AR200" s="2164"/>
      <c r="AS200" s="2164"/>
      <c r="AT200" s="2164"/>
      <c r="AU200" s="2164"/>
      <c r="AV200" s="2164"/>
      <c r="AW200" s="2164"/>
      <c r="AX200" s="2164"/>
      <c r="AY200" s="2164"/>
      <c r="AZ200" s="2164"/>
      <c r="BA200" s="2164"/>
      <c r="BB200" s="2164"/>
      <c r="BC200" s="2164"/>
      <c r="BD200" s="2164"/>
      <c r="BE200" s="2164"/>
      <c r="BF200" s="2164"/>
      <c r="BG200" s="7511"/>
    </row>
    <row customHeight="1" ht="11.25">
      <c r="A201" s="1507" t="s">
        <v>990</v>
      </c>
      <c r="B201" s="1507" t="s">
        <v>1022</v>
      </c>
      <c r="C201" s="1507"/>
      <c r="D201" s="1501"/>
      <c r="E201" s="1511"/>
      <c r="F201" s="2170"/>
      <c r="G201" s="7510" t="s">
        <v>684</v>
      </c>
      <c r="H201" s="2856" t="s">
        <v>1135</v>
      </c>
      <c r="I201" s="2857" t="s">
        <v>1023</v>
      </c>
      <c r="J201" s="2826" t="s">
        <v>1071</v>
      </c>
      <c r="K201" s="2858" t="s">
        <v>1136</v>
      </c>
      <c r="L201" s="2448" t="s">
        <v>19</v>
      </c>
      <c r="M201" s="2449"/>
      <c r="N201" s="2327"/>
      <c r="O201" s="1518" t="s">
        <v>371</v>
      </c>
      <c r="P201" s="1519"/>
      <c r="Q201" s="1519"/>
      <c r="R201" s="1519"/>
      <c r="S201" s="1519"/>
      <c r="T201" s="1519"/>
      <c r="U201" s="1519"/>
      <c r="V201" s="1519"/>
      <c r="W201" s="1519"/>
      <c r="X201" s="1519"/>
      <c r="Y201" s="1519"/>
      <c r="Z201" s="1519"/>
      <c r="AA201" s="1519"/>
      <c r="AB201" s="1519"/>
      <c r="AC201" s="1519"/>
      <c r="AD201" s="1519"/>
      <c r="AE201" s="1519"/>
      <c r="AF201" s="2847">
        <v>1</v>
      </c>
      <c r="AG201" s="2848" t="s">
        <v>1067</v>
      </c>
      <c r="AH201" s="2848" t="s">
        <v>1063</v>
      </c>
      <c r="AI201" s="2847"/>
      <c r="AJ201" s="2848"/>
      <c r="AK201" s="2848"/>
      <c r="AL201" s="2329"/>
      <c r="AM201" s="2164"/>
      <c r="AN201" s="2164"/>
      <c r="AO201" s="2164"/>
      <c r="AP201" s="2164"/>
      <c r="AQ201" s="2164"/>
      <c r="AR201" s="2164"/>
      <c r="AS201" s="2164"/>
      <c r="AT201" s="2164"/>
      <c r="AU201" s="2164"/>
      <c r="AV201" s="2164"/>
      <c r="AW201" s="2164"/>
      <c r="AX201" s="2164"/>
      <c r="AY201" s="2164"/>
      <c r="AZ201" s="2164"/>
      <c r="BA201" s="2164"/>
      <c r="BB201" s="2164"/>
      <c r="BC201" s="2164"/>
      <c r="BD201" s="2164"/>
      <c r="BE201" s="2164"/>
      <c r="BF201" s="2164"/>
      <c r="BG201" s="7511"/>
    </row>
    <row customHeight="1" ht="11.25">
      <c r="A202" s="1507" t="s">
        <v>990</v>
      </c>
      <c r="B202" s="1507"/>
      <c r="C202" s="1507"/>
      <c r="D202" s="1501"/>
      <c r="E202" s="1511"/>
      <c r="F202" s="2170"/>
      <c r="G202" s="2171"/>
      <c r="H202" s="2856" t="s">
        <v>1133</v>
      </c>
      <c r="I202" s="2857"/>
      <c r="J202" s="2826"/>
      <c r="K202" s="2858"/>
      <c r="L202" s="2448"/>
      <c r="M202" s="2449"/>
      <c r="N202" s="2849"/>
      <c r="O202" s="2850">
        <v>1</v>
      </c>
      <c r="P202" s="2851" t="s">
        <v>65</v>
      </c>
      <c r="Q202" s="7512" t="s">
        <v>1105</v>
      </c>
      <c r="R202" s="7513" t="s">
        <v>1083</v>
      </c>
      <c r="S202" s="7513" t="s">
        <v>1030</v>
      </c>
      <c r="T202" s="7513" t="s">
        <v>1030</v>
      </c>
      <c r="U202" s="7513" t="s">
        <v>1031</v>
      </c>
      <c r="V202" s="7513" t="s">
        <v>1032</v>
      </c>
      <c r="W202" s="7513" t="s">
        <v>1033</v>
      </c>
      <c r="X202" s="7513" t="s">
        <v>1106</v>
      </c>
      <c r="Y202" s="7513" t="s">
        <v>1107</v>
      </c>
      <c r="Z202" s="1516"/>
      <c r="AA202" s="1517"/>
      <c r="AB202" s="1517"/>
      <c r="AC202" s="1521"/>
      <c r="AD202" s="1521"/>
      <c r="AE202" s="1522"/>
      <c r="AF202" s="2847"/>
      <c r="AG202" s="2848"/>
      <c r="AH202" s="2848"/>
      <c r="AI202" s="2847"/>
      <c r="AJ202" s="2848"/>
      <c r="AK202" s="2848"/>
      <c r="AL202" s="2329"/>
      <c r="AM202" s="2164"/>
      <c r="AN202" s="2164"/>
      <c r="AO202" s="2164"/>
      <c r="AP202" s="2164"/>
      <c r="AQ202" s="2164"/>
      <c r="AR202" s="2164"/>
      <c r="AS202" s="2164"/>
      <c r="AT202" s="2164"/>
      <c r="AU202" s="2164"/>
      <c r="AV202" s="2164"/>
      <c r="AW202" s="2164"/>
      <c r="AX202" s="2164"/>
      <c r="AY202" s="2164"/>
      <c r="AZ202" s="2164"/>
      <c r="BA202" s="2164"/>
      <c r="BB202" s="2164"/>
      <c r="BC202" s="2164"/>
      <c r="BD202" s="2164"/>
      <c r="BE202" s="2164"/>
      <c r="BF202" s="2164"/>
      <c r="BG202" s="7511"/>
    </row>
    <row customHeight="1" ht="11.25">
      <c r="A203" s="1507" t="s">
        <v>990</v>
      </c>
      <c r="B203" s="1507"/>
      <c r="C203" s="1507"/>
      <c r="D203" s="1501"/>
      <c r="E203" s="1511"/>
      <c r="F203" s="2170"/>
      <c r="G203" s="2171"/>
      <c r="H203" s="2856" t="s">
        <v>1133</v>
      </c>
      <c r="I203" s="2857"/>
      <c r="J203" s="2826"/>
      <c r="K203" s="2858"/>
      <c r="L203" s="2448"/>
      <c r="M203" s="2449"/>
      <c r="N203" s="2849"/>
      <c r="O203" s="2850"/>
      <c r="P203" s="2852"/>
      <c r="Q203" s="7512"/>
      <c r="R203" s="2854"/>
      <c r="S203" s="2855"/>
      <c r="T203" s="2854"/>
      <c r="U203" s="2854"/>
      <c r="V203" s="2854"/>
      <c r="W203" s="2854"/>
      <c r="X203" s="2854"/>
      <c r="Y203" s="2854"/>
      <c r="Z203" s="2169"/>
      <c r="AA203" s="2135">
        <v>1</v>
      </c>
      <c r="AB203" s="1520" t="s">
        <v>1070</v>
      </c>
      <c r="AC203" s="1510">
        <v>45460.20001</v>
      </c>
      <c r="AD203" s="1520" t="str">
        <f>AB203</f>
        <v>  За счет платы за технологическое присоединение</v>
      </c>
      <c r="AE203" s="1510"/>
      <c r="AF203" s="2847"/>
      <c r="AG203" s="2848"/>
      <c r="AH203" s="2848"/>
      <c r="AI203" s="2847"/>
      <c r="AJ203" s="2848"/>
      <c r="AK203" s="2848"/>
      <c r="AL203" s="2329"/>
      <c r="AM203" s="2164"/>
      <c r="AN203" s="2164"/>
      <c r="AO203" s="2164"/>
      <c r="AP203" s="2164"/>
      <c r="AQ203" s="2164"/>
      <c r="AR203" s="2164"/>
      <c r="AS203" s="2164"/>
      <c r="AT203" s="2164"/>
      <c r="AU203" s="2164"/>
      <c r="AV203" s="2164"/>
      <c r="AW203" s="2164"/>
      <c r="AX203" s="2164"/>
      <c r="AY203" s="2164"/>
      <c r="AZ203" s="2164"/>
      <c r="BA203" s="2164"/>
      <c r="BB203" s="2164"/>
      <c r="BC203" s="2164"/>
      <c r="BD203" s="2164"/>
      <c r="BE203" s="2164"/>
      <c r="BF203" s="2164"/>
      <c r="BG203" s="7511"/>
    </row>
    <row customHeight="1" ht="11.25">
      <c r="A204" s="1507" t="s">
        <v>990</v>
      </c>
      <c r="B204" s="1507"/>
      <c r="C204" s="1507"/>
      <c r="D204" s="1501"/>
      <c r="E204" s="1511"/>
      <c r="F204" s="2171"/>
      <c r="G204" s="2171"/>
      <c r="H204" s="2171"/>
      <c r="I204" s="2171"/>
      <c r="J204" s="2171"/>
      <c r="K204" s="2171"/>
      <c r="L204" s="2171"/>
      <c r="M204" s="2171"/>
      <c r="N204" s="2171"/>
      <c r="O204" s="2171"/>
      <c r="P204" s="2171"/>
      <c r="Q204" s="2171"/>
      <c r="R204" s="2171"/>
      <c r="S204" s="2171"/>
      <c r="T204" s="2171"/>
      <c r="U204" s="2171"/>
      <c r="V204" s="2171"/>
      <c r="W204" s="2171"/>
      <c r="X204" s="2171"/>
      <c r="Y204" s="2171"/>
      <c r="Z204" s="7510" t="s">
        <v>684</v>
      </c>
      <c r="AA204" s="2155" t="s">
        <v>107</v>
      </c>
      <c r="AB204" s="1520" t="s">
        <v>1036</v>
      </c>
      <c r="AC204" s="1510">
        <v>9092.04</v>
      </c>
      <c r="AD204" s="1520" t="str">
        <f>AB204</f>
        <v>  Прочие собственные средства</v>
      </c>
      <c r="AE204" s="1510"/>
      <c r="AF204" s="2172"/>
      <c r="AG204" s="2100"/>
      <c r="AH204" s="2100"/>
      <c r="AI204" s="2172"/>
      <c r="AJ204" s="2100"/>
      <c r="AK204" s="2328"/>
      <c r="AL204" s="2329"/>
      <c r="AM204" s="2164"/>
      <c r="AN204" s="2164"/>
      <c r="AO204" s="2164"/>
      <c r="AP204" s="2164"/>
      <c r="AQ204" s="2164"/>
      <c r="AR204" s="2164"/>
      <c r="AS204" s="2164"/>
      <c r="AT204" s="2164"/>
      <c r="AU204" s="2164"/>
      <c r="AV204" s="2164"/>
      <c r="AW204" s="2164"/>
      <c r="AX204" s="2164"/>
      <c r="AY204" s="2164"/>
      <c r="AZ204" s="2164"/>
      <c r="BA204" s="2164"/>
      <c r="BB204" s="2164"/>
      <c r="BC204" s="2164"/>
      <c r="BD204" s="2164"/>
      <c r="BE204" s="2164"/>
      <c r="BF204" s="2164"/>
      <c r="BG204" s="7511"/>
    </row>
    <row customHeight="1" ht="11.25">
      <c r="A205" s="1507" t="s">
        <v>990</v>
      </c>
      <c r="B205" s="1507"/>
      <c r="C205" s="1507"/>
      <c r="D205" s="1501"/>
      <c r="E205" s="1511"/>
      <c r="F205" s="2170"/>
      <c r="G205" s="2171"/>
      <c r="H205" s="2856" t="s">
        <v>1133</v>
      </c>
      <c r="I205" s="2857"/>
      <c r="J205" s="2826"/>
      <c r="K205" s="2858"/>
      <c r="L205" s="2448"/>
      <c r="M205" s="2449"/>
      <c r="N205" s="2849"/>
      <c r="O205" s="2850"/>
      <c r="P205" s="2853"/>
      <c r="Q205" s="7512"/>
      <c r="R205" s="2854"/>
      <c r="S205" s="2855"/>
      <c r="T205" s="2854"/>
      <c r="U205" s="2854"/>
      <c r="V205" s="2854"/>
      <c r="W205" s="2854"/>
      <c r="X205" s="2854"/>
      <c r="Y205" s="2854"/>
      <c r="Z205" s="1516"/>
      <c r="AA205" s="1517"/>
      <c r="AB205" s="1582" t="s">
        <v>1037</v>
      </c>
      <c r="AC205" s="1521"/>
      <c r="AD205" s="1521"/>
      <c r="AE205" s="1523"/>
      <c r="AF205" s="2847"/>
      <c r="AG205" s="2848"/>
      <c r="AH205" s="2848"/>
      <c r="AI205" s="2847"/>
      <c r="AJ205" s="2848"/>
      <c r="AK205" s="2848"/>
      <c r="AL205" s="2329"/>
      <c r="AM205" s="2164"/>
      <c r="AN205" s="2164"/>
      <c r="AO205" s="2164"/>
      <c r="AP205" s="2164"/>
      <c r="AQ205" s="2164"/>
      <c r="AR205" s="2164"/>
      <c r="AS205" s="2164"/>
      <c r="AT205" s="2164"/>
      <c r="AU205" s="2164"/>
      <c r="AV205" s="2164"/>
      <c r="AW205" s="2164"/>
      <c r="AX205" s="2164"/>
      <c r="AY205" s="2164"/>
      <c r="AZ205" s="2164"/>
      <c r="BA205" s="2164"/>
      <c r="BB205" s="2164"/>
      <c r="BC205" s="2164"/>
      <c r="BD205" s="2164"/>
      <c r="BE205" s="2164"/>
      <c r="BF205" s="2164"/>
      <c r="BG205" s="7511"/>
    </row>
    <row customHeight="1" ht="11.25">
      <c r="A206" s="1507" t="s">
        <v>990</v>
      </c>
      <c r="B206" s="1507"/>
      <c r="C206" s="1507"/>
      <c r="D206" s="1501"/>
      <c r="E206" s="1511"/>
      <c r="F206" s="2170"/>
      <c r="G206" s="2171"/>
      <c r="H206" s="2856" t="s">
        <v>1133</v>
      </c>
      <c r="I206" s="2857"/>
      <c r="J206" s="2826"/>
      <c r="K206" s="2858"/>
      <c r="L206" s="2448"/>
      <c r="M206" s="2449"/>
      <c r="N206" s="1516"/>
      <c r="O206" s="1517"/>
      <c r="P206" s="1509" t="s">
        <v>1038</v>
      </c>
      <c r="Q206" s="1517"/>
      <c r="R206" s="1517"/>
      <c r="S206" s="1517"/>
      <c r="T206" s="1517"/>
      <c r="U206" s="1517"/>
      <c r="V206" s="1517"/>
      <c r="W206" s="1517"/>
      <c r="X206" s="1517"/>
      <c r="Y206" s="1517"/>
      <c r="Z206" s="1517"/>
      <c r="AA206" s="1517"/>
      <c r="AB206" s="1517"/>
      <c r="AC206" s="1517"/>
      <c r="AD206" s="1517"/>
      <c r="AE206" s="1524"/>
      <c r="AF206" s="2847"/>
      <c r="AG206" s="2848"/>
      <c r="AH206" s="2848"/>
      <c r="AI206" s="2847"/>
      <c r="AJ206" s="2848"/>
      <c r="AK206" s="2848"/>
      <c r="AL206" s="2329"/>
      <c r="AM206" s="2164"/>
      <c r="AN206" s="2164"/>
      <c r="AO206" s="2164"/>
      <c r="AP206" s="2164"/>
      <c r="AQ206" s="2164"/>
      <c r="AR206" s="2164"/>
      <c r="AS206" s="2164"/>
      <c r="AT206" s="2164"/>
      <c r="AU206" s="2164"/>
      <c r="AV206" s="2164"/>
      <c r="AW206" s="2164"/>
      <c r="AX206" s="2164"/>
      <c r="AY206" s="2164"/>
      <c r="AZ206" s="2164"/>
      <c r="BA206" s="2164"/>
      <c r="BB206" s="2164"/>
      <c r="BC206" s="2164"/>
      <c r="BD206" s="2164"/>
      <c r="BE206" s="2164"/>
      <c r="BF206" s="2164"/>
      <c r="BG206" s="7511"/>
    </row>
    <row customHeight="1" ht="11.25">
      <c r="A207" s="1507" t="s">
        <v>990</v>
      </c>
      <c r="B207" s="1507" t="s">
        <v>1022</v>
      </c>
      <c r="C207" s="1507"/>
      <c r="D207" s="1501"/>
      <c r="E207" s="1511"/>
      <c r="F207" s="2170"/>
      <c r="G207" s="7510" t="s">
        <v>684</v>
      </c>
      <c r="H207" s="2856" t="s">
        <v>1137</v>
      </c>
      <c r="I207" s="2857" t="s">
        <v>1023</v>
      </c>
      <c r="J207" s="2826" t="s">
        <v>1071</v>
      </c>
      <c r="K207" s="2858" t="s">
        <v>1138</v>
      </c>
      <c r="L207" s="2448" t="s">
        <v>19</v>
      </c>
      <c r="M207" s="2449"/>
      <c r="N207" s="2327"/>
      <c r="O207" s="1518" t="s">
        <v>371</v>
      </c>
      <c r="P207" s="1519"/>
      <c r="Q207" s="1519"/>
      <c r="R207" s="1519"/>
      <c r="S207" s="1519"/>
      <c r="T207" s="1519"/>
      <c r="U207" s="1519"/>
      <c r="V207" s="1519"/>
      <c r="W207" s="1519"/>
      <c r="X207" s="1519"/>
      <c r="Y207" s="1519"/>
      <c r="Z207" s="1519"/>
      <c r="AA207" s="1519"/>
      <c r="AB207" s="1519"/>
      <c r="AC207" s="1519"/>
      <c r="AD207" s="1519"/>
      <c r="AE207" s="1519"/>
      <c r="AF207" s="2847">
        <v>1</v>
      </c>
      <c r="AG207" s="2848" t="s">
        <v>1067</v>
      </c>
      <c r="AH207" s="2848" t="s">
        <v>1063</v>
      </c>
      <c r="AI207" s="2847"/>
      <c r="AJ207" s="2848"/>
      <c r="AK207" s="2848"/>
      <c r="AL207" s="2329"/>
      <c r="AM207" s="2164"/>
      <c r="AN207" s="2164"/>
      <c r="AO207" s="2164"/>
      <c r="AP207" s="2164"/>
      <c r="AQ207" s="2164"/>
      <c r="AR207" s="2164"/>
      <c r="AS207" s="2164"/>
      <c r="AT207" s="2164"/>
      <c r="AU207" s="2164"/>
      <c r="AV207" s="2164"/>
      <c r="AW207" s="2164"/>
      <c r="AX207" s="2164"/>
      <c r="AY207" s="2164"/>
      <c r="AZ207" s="2164"/>
      <c r="BA207" s="2164"/>
      <c r="BB207" s="2164"/>
      <c r="BC207" s="2164"/>
      <c r="BD207" s="2164"/>
      <c r="BE207" s="2164"/>
      <c r="BF207" s="2164"/>
      <c r="BG207" s="7511"/>
    </row>
    <row customHeight="1" ht="11.25">
      <c r="A208" s="1507" t="s">
        <v>990</v>
      </c>
      <c r="B208" s="1507"/>
      <c r="C208" s="1507"/>
      <c r="D208" s="1501"/>
      <c r="E208" s="1511"/>
      <c r="F208" s="2170"/>
      <c r="G208" s="2171"/>
      <c r="H208" s="2856" t="s">
        <v>1135</v>
      </c>
      <c r="I208" s="2857"/>
      <c r="J208" s="2826"/>
      <c r="K208" s="2858"/>
      <c r="L208" s="2448"/>
      <c r="M208" s="2449"/>
      <c r="N208" s="2849"/>
      <c r="O208" s="2850">
        <v>1</v>
      </c>
      <c r="P208" s="2851" t="s">
        <v>65</v>
      </c>
      <c r="Q208" s="7512" t="s">
        <v>1105</v>
      </c>
      <c r="R208" s="7513" t="s">
        <v>1083</v>
      </c>
      <c r="S208" s="7513" t="s">
        <v>1030</v>
      </c>
      <c r="T208" s="7513" t="s">
        <v>1030</v>
      </c>
      <c r="U208" s="7513" t="s">
        <v>1031</v>
      </c>
      <c r="V208" s="7513" t="s">
        <v>1032</v>
      </c>
      <c r="W208" s="7513" t="s">
        <v>1033</v>
      </c>
      <c r="X208" s="7513" t="s">
        <v>1106</v>
      </c>
      <c r="Y208" s="7513" t="s">
        <v>1107</v>
      </c>
      <c r="Z208" s="1516"/>
      <c r="AA208" s="1517"/>
      <c r="AB208" s="1517"/>
      <c r="AC208" s="1521"/>
      <c r="AD208" s="1521"/>
      <c r="AE208" s="1522"/>
      <c r="AF208" s="2847"/>
      <c r="AG208" s="2848"/>
      <c r="AH208" s="2848"/>
      <c r="AI208" s="2847"/>
      <c r="AJ208" s="2848"/>
      <c r="AK208" s="2848"/>
      <c r="AL208" s="2329"/>
      <c r="AM208" s="2164"/>
      <c r="AN208" s="2164"/>
      <c r="AO208" s="2164"/>
      <c r="AP208" s="2164"/>
      <c r="AQ208" s="2164"/>
      <c r="AR208" s="2164"/>
      <c r="AS208" s="2164"/>
      <c r="AT208" s="2164"/>
      <c r="AU208" s="2164"/>
      <c r="AV208" s="2164"/>
      <c r="AW208" s="2164"/>
      <c r="AX208" s="2164"/>
      <c r="AY208" s="2164"/>
      <c r="AZ208" s="2164"/>
      <c r="BA208" s="2164"/>
      <c r="BB208" s="2164"/>
      <c r="BC208" s="2164"/>
      <c r="BD208" s="2164"/>
      <c r="BE208" s="2164"/>
      <c r="BF208" s="2164"/>
      <c r="BG208" s="7511"/>
    </row>
    <row customHeight="1" ht="11.25">
      <c r="A209" s="1507" t="s">
        <v>990</v>
      </c>
      <c r="B209" s="1507"/>
      <c r="C209" s="1507"/>
      <c r="D209" s="1501"/>
      <c r="E209" s="1511"/>
      <c r="F209" s="2170"/>
      <c r="G209" s="2171"/>
      <c r="H209" s="2856" t="s">
        <v>1135</v>
      </c>
      <c r="I209" s="2857"/>
      <c r="J209" s="2826"/>
      <c r="K209" s="2858"/>
      <c r="L209" s="2448"/>
      <c r="M209" s="2449"/>
      <c r="N209" s="2849"/>
      <c r="O209" s="2850"/>
      <c r="P209" s="2852"/>
      <c r="Q209" s="7512"/>
      <c r="R209" s="2854"/>
      <c r="S209" s="2855"/>
      <c r="T209" s="2854"/>
      <c r="U209" s="2854"/>
      <c r="V209" s="2854"/>
      <c r="W209" s="2854"/>
      <c r="X209" s="2854"/>
      <c r="Y209" s="2854"/>
      <c r="Z209" s="2169"/>
      <c r="AA209" s="2135">
        <v>1</v>
      </c>
      <c r="AB209" s="1520" t="s">
        <v>1035</v>
      </c>
      <c r="AC209" s="1510">
        <v>8426.94301</v>
      </c>
      <c r="AD209" s="1520" t="str">
        <f>AB209</f>
        <v>      Амортизационные отчисления с выделением результатов переоценки основных средств и нематериальных активов</v>
      </c>
      <c r="AE209" s="1510"/>
      <c r="AF209" s="2847"/>
      <c r="AG209" s="2848"/>
      <c r="AH209" s="2848"/>
      <c r="AI209" s="2847"/>
      <c r="AJ209" s="2848"/>
      <c r="AK209" s="2848"/>
      <c r="AL209" s="2329"/>
      <c r="AM209" s="2164"/>
      <c r="AN209" s="2164"/>
      <c r="AO209" s="2164"/>
      <c r="AP209" s="2164"/>
      <c r="AQ209" s="2164"/>
      <c r="AR209" s="2164"/>
      <c r="AS209" s="2164"/>
      <c r="AT209" s="2164"/>
      <c r="AU209" s="2164"/>
      <c r="AV209" s="2164"/>
      <c r="AW209" s="2164"/>
      <c r="AX209" s="2164"/>
      <c r="AY209" s="2164"/>
      <c r="AZ209" s="2164"/>
      <c r="BA209" s="2164"/>
      <c r="BB209" s="2164"/>
      <c r="BC209" s="2164"/>
      <c r="BD209" s="2164"/>
      <c r="BE209" s="2164"/>
      <c r="BF209" s="2164"/>
      <c r="BG209" s="7511"/>
    </row>
    <row customHeight="1" ht="11.25">
      <c r="A210" s="1507" t="s">
        <v>990</v>
      </c>
      <c r="B210" s="1507"/>
      <c r="C210" s="1507"/>
      <c r="D210" s="1501"/>
      <c r="E210" s="1511"/>
      <c r="F210" s="2171"/>
      <c r="G210" s="2171"/>
      <c r="H210" s="2171"/>
      <c r="I210" s="2171"/>
      <c r="J210" s="2171"/>
      <c r="K210" s="2171"/>
      <c r="L210" s="2171"/>
      <c r="M210" s="2171"/>
      <c r="N210" s="2171"/>
      <c r="O210" s="2171"/>
      <c r="P210" s="2171"/>
      <c r="Q210" s="2171"/>
      <c r="R210" s="2171"/>
      <c r="S210" s="2171"/>
      <c r="T210" s="2171"/>
      <c r="U210" s="2171"/>
      <c r="V210" s="2171"/>
      <c r="W210" s="2171"/>
      <c r="X210" s="2171"/>
      <c r="Y210" s="2171"/>
      <c r="Z210" s="7510" t="s">
        <v>684</v>
      </c>
      <c r="AA210" s="2155" t="s">
        <v>107</v>
      </c>
      <c r="AB210" s="1520" t="s">
        <v>1070</v>
      </c>
      <c r="AC210" s="1510">
        <v>24480.205</v>
      </c>
      <c r="AD210" s="1520" t="str">
        <f>AB210</f>
        <v>  За счет платы за технологическое присоединение</v>
      </c>
      <c r="AE210" s="1510"/>
      <c r="AF210" s="2172"/>
      <c r="AG210" s="2100"/>
      <c r="AH210" s="2100"/>
      <c r="AI210" s="2172"/>
      <c r="AJ210" s="2100"/>
      <c r="AK210" s="2328"/>
      <c r="AL210" s="2329"/>
      <c r="AM210" s="2164"/>
      <c r="AN210" s="2164"/>
      <c r="AO210" s="2164"/>
      <c r="AP210" s="2164"/>
      <c r="AQ210" s="2164"/>
      <c r="AR210" s="2164"/>
      <c r="AS210" s="2164"/>
      <c r="AT210" s="2164"/>
      <c r="AU210" s="2164"/>
      <c r="AV210" s="2164"/>
      <c r="AW210" s="2164"/>
      <c r="AX210" s="2164"/>
      <c r="AY210" s="2164"/>
      <c r="AZ210" s="2164"/>
      <c r="BA210" s="2164"/>
      <c r="BB210" s="2164"/>
      <c r="BC210" s="2164"/>
      <c r="BD210" s="2164"/>
      <c r="BE210" s="2164"/>
      <c r="BF210" s="2164"/>
      <c r="BG210" s="7511"/>
    </row>
    <row customHeight="1" ht="11.25">
      <c r="A211" s="1507" t="s">
        <v>990</v>
      </c>
      <c r="B211" s="1507"/>
      <c r="C211" s="1507"/>
      <c r="D211" s="1501"/>
      <c r="E211" s="1511"/>
      <c r="F211" s="2171"/>
      <c r="G211" s="2171"/>
      <c r="H211" s="2171"/>
      <c r="I211" s="2171"/>
      <c r="J211" s="2171"/>
      <c r="K211" s="2171"/>
      <c r="L211" s="2171"/>
      <c r="M211" s="2171"/>
      <c r="N211" s="2171"/>
      <c r="O211" s="2171"/>
      <c r="P211" s="2171"/>
      <c r="Q211" s="2171"/>
      <c r="R211" s="2171"/>
      <c r="S211" s="2171"/>
      <c r="T211" s="2171"/>
      <c r="U211" s="2171"/>
      <c r="V211" s="2171"/>
      <c r="W211" s="2171"/>
      <c r="X211" s="2171"/>
      <c r="Y211" s="2171"/>
      <c r="Z211" s="7510" t="s">
        <v>684</v>
      </c>
      <c r="AA211" s="2155" t="s">
        <v>90</v>
      </c>
      <c r="AB211" s="1520" t="s">
        <v>1036</v>
      </c>
      <c r="AC211" s="1510">
        <v>6581.4296</v>
      </c>
      <c r="AD211" s="1520" t="str">
        <f>AB211</f>
        <v>  Прочие собственные средства</v>
      </c>
      <c r="AE211" s="1510"/>
      <c r="AF211" s="2172"/>
      <c r="AG211" s="2100"/>
      <c r="AH211" s="2100"/>
      <c r="AI211" s="2172"/>
      <c r="AJ211" s="2100"/>
      <c r="AK211" s="2328"/>
      <c r="AL211" s="2329"/>
      <c r="AM211" s="2164"/>
      <c r="AN211" s="2164"/>
      <c r="AO211" s="2164"/>
      <c r="AP211" s="2164"/>
      <c r="AQ211" s="2164"/>
      <c r="AR211" s="2164"/>
      <c r="AS211" s="2164"/>
      <c r="AT211" s="2164"/>
      <c r="AU211" s="2164"/>
      <c r="AV211" s="2164"/>
      <c r="AW211" s="2164"/>
      <c r="AX211" s="2164"/>
      <c r="AY211" s="2164"/>
      <c r="AZ211" s="2164"/>
      <c r="BA211" s="2164"/>
      <c r="BB211" s="2164"/>
      <c r="BC211" s="2164"/>
      <c r="BD211" s="2164"/>
      <c r="BE211" s="2164"/>
      <c r="BF211" s="2164"/>
      <c r="BG211" s="7511"/>
    </row>
    <row customHeight="1" ht="11.25">
      <c r="A212" s="1507" t="s">
        <v>990</v>
      </c>
      <c r="B212" s="1507"/>
      <c r="C212" s="1507"/>
      <c r="D212" s="1501"/>
      <c r="E212" s="1511"/>
      <c r="F212" s="2170"/>
      <c r="G212" s="2171"/>
      <c r="H212" s="2856" t="s">
        <v>1135</v>
      </c>
      <c r="I212" s="2857"/>
      <c r="J212" s="2826"/>
      <c r="K212" s="2858"/>
      <c r="L212" s="2448"/>
      <c r="M212" s="2449"/>
      <c r="N212" s="2849"/>
      <c r="O212" s="2850"/>
      <c r="P212" s="2853"/>
      <c r="Q212" s="7512"/>
      <c r="R212" s="2854"/>
      <c r="S212" s="2855"/>
      <c r="T212" s="2854"/>
      <c r="U212" s="2854"/>
      <c r="V212" s="2854"/>
      <c r="W212" s="2854"/>
      <c r="X212" s="2854"/>
      <c r="Y212" s="2854"/>
      <c r="Z212" s="1516"/>
      <c r="AA212" s="1517"/>
      <c r="AB212" s="1582" t="s">
        <v>1037</v>
      </c>
      <c r="AC212" s="1521"/>
      <c r="AD212" s="1521"/>
      <c r="AE212" s="1523"/>
      <c r="AF212" s="2847"/>
      <c r="AG212" s="2848"/>
      <c r="AH212" s="2848"/>
      <c r="AI212" s="2847"/>
      <c r="AJ212" s="2848"/>
      <c r="AK212" s="2848"/>
      <c r="AL212" s="2329"/>
      <c r="AM212" s="2164"/>
      <c r="AN212" s="2164"/>
      <c r="AO212" s="2164"/>
      <c r="AP212" s="2164"/>
      <c r="AQ212" s="2164"/>
      <c r="AR212" s="2164"/>
      <c r="AS212" s="2164"/>
      <c r="AT212" s="2164"/>
      <c r="AU212" s="2164"/>
      <c r="AV212" s="2164"/>
      <c r="AW212" s="2164"/>
      <c r="AX212" s="2164"/>
      <c r="AY212" s="2164"/>
      <c r="AZ212" s="2164"/>
      <c r="BA212" s="2164"/>
      <c r="BB212" s="2164"/>
      <c r="BC212" s="2164"/>
      <c r="BD212" s="2164"/>
      <c r="BE212" s="2164"/>
      <c r="BF212" s="2164"/>
      <c r="BG212" s="7511"/>
    </row>
    <row customHeight="1" ht="11.25">
      <c r="A213" s="1507" t="s">
        <v>990</v>
      </c>
      <c r="B213" s="1507"/>
      <c r="C213" s="1507"/>
      <c r="D213" s="1501"/>
      <c r="E213" s="1511"/>
      <c r="F213" s="2170"/>
      <c r="G213" s="2171"/>
      <c r="H213" s="2856" t="s">
        <v>1135</v>
      </c>
      <c r="I213" s="2857"/>
      <c r="J213" s="2826"/>
      <c r="K213" s="2858"/>
      <c r="L213" s="2448"/>
      <c r="M213" s="2449"/>
      <c r="N213" s="1516"/>
      <c r="O213" s="1517"/>
      <c r="P213" s="1509" t="s">
        <v>1038</v>
      </c>
      <c r="Q213" s="1517"/>
      <c r="R213" s="1517"/>
      <c r="S213" s="1517"/>
      <c r="T213" s="1517"/>
      <c r="U213" s="1517"/>
      <c r="V213" s="1517"/>
      <c r="W213" s="1517"/>
      <c r="X213" s="1517"/>
      <c r="Y213" s="1517"/>
      <c r="Z213" s="1517"/>
      <c r="AA213" s="1517"/>
      <c r="AB213" s="1517"/>
      <c r="AC213" s="1517"/>
      <c r="AD213" s="1517"/>
      <c r="AE213" s="1524"/>
      <c r="AF213" s="2847"/>
      <c r="AG213" s="2848"/>
      <c r="AH213" s="2848"/>
      <c r="AI213" s="2847"/>
      <c r="AJ213" s="2848"/>
      <c r="AK213" s="2848"/>
      <c r="AL213" s="2329"/>
      <c r="AM213" s="2164"/>
      <c r="AN213" s="2164"/>
      <c r="AO213" s="2164"/>
      <c r="AP213" s="2164"/>
      <c r="AQ213" s="2164"/>
      <c r="AR213" s="2164"/>
      <c r="AS213" s="2164"/>
      <c r="AT213" s="2164"/>
      <c r="AU213" s="2164"/>
      <c r="AV213" s="2164"/>
      <c r="AW213" s="2164"/>
      <c r="AX213" s="2164"/>
      <c r="AY213" s="2164"/>
      <c r="AZ213" s="2164"/>
      <c r="BA213" s="2164"/>
      <c r="BB213" s="2164"/>
      <c r="BC213" s="2164"/>
      <c r="BD213" s="2164"/>
      <c r="BE213" s="2164"/>
      <c r="BF213" s="2164"/>
      <c r="BG213" s="7511"/>
    </row>
    <row customHeight="1" ht="11.25">
      <c r="A214" s="1507" t="s">
        <v>990</v>
      </c>
      <c r="B214" s="1507" t="s">
        <v>1139</v>
      </c>
      <c r="C214" s="1507"/>
      <c r="D214" s="1501"/>
      <c r="E214" s="1511"/>
      <c r="F214" s="2170"/>
      <c r="G214" s="7510" t="s">
        <v>684</v>
      </c>
      <c r="H214" s="2856" t="s">
        <v>1140</v>
      </c>
      <c r="I214" s="2857" t="s">
        <v>1141</v>
      </c>
      <c r="J214" s="2826" t="s">
        <v>1142</v>
      </c>
      <c r="K214" s="2858" t="s">
        <v>1143</v>
      </c>
      <c r="L214" s="2448" t="s">
        <v>19</v>
      </c>
      <c r="M214" s="2449"/>
      <c r="N214" s="2327"/>
      <c r="O214" s="1518" t="s">
        <v>371</v>
      </c>
      <c r="P214" s="1519"/>
      <c r="Q214" s="1519"/>
      <c r="R214" s="1519"/>
      <c r="S214" s="1519"/>
      <c r="T214" s="1519"/>
      <c r="U214" s="1519"/>
      <c r="V214" s="1519"/>
      <c r="W214" s="1519"/>
      <c r="X214" s="1519"/>
      <c r="Y214" s="1519"/>
      <c r="Z214" s="1519"/>
      <c r="AA214" s="1519"/>
      <c r="AB214" s="1519"/>
      <c r="AC214" s="1519"/>
      <c r="AD214" s="1519"/>
      <c r="AE214" s="1519"/>
      <c r="AF214" s="2847">
        <v>1</v>
      </c>
      <c r="AG214" s="2848" t="s">
        <v>1067</v>
      </c>
      <c r="AH214" s="2848" t="s">
        <v>1063</v>
      </c>
      <c r="AI214" s="2847"/>
      <c r="AJ214" s="2848"/>
      <c r="AK214" s="2848"/>
      <c r="AL214" s="2329"/>
      <c r="AM214" s="2164"/>
      <c r="AN214" s="2164"/>
      <c r="AO214" s="2164"/>
      <c r="AP214" s="2164"/>
      <c r="AQ214" s="2164"/>
      <c r="AR214" s="2164"/>
      <c r="AS214" s="2164"/>
      <c r="AT214" s="2164"/>
      <c r="AU214" s="2164"/>
      <c r="AV214" s="2164"/>
      <c r="AW214" s="2164"/>
      <c r="AX214" s="2164"/>
      <c r="AY214" s="2164"/>
      <c r="AZ214" s="2164"/>
      <c r="BA214" s="2164"/>
      <c r="BB214" s="2164"/>
      <c r="BC214" s="2164"/>
      <c r="BD214" s="2164"/>
      <c r="BE214" s="2164"/>
      <c r="BF214" s="2164"/>
      <c r="BG214" s="7511"/>
    </row>
    <row customHeight="1" ht="11.25">
      <c r="A215" s="1507" t="s">
        <v>990</v>
      </c>
      <c r="B215" s="1507"/>
      <c r="C215" s="1507"/>
      <c r="D215" s="1501"/>
      <c r="E215" s="1511"/>
      <c r="F215" s="2170"/>
      <c r="G215" s="2171"/>
      <c r="H215" s="2856" t="s">
        <v>1137</v>
      </c>
      <c r="I215" s="2857"/>
      <c r="J215" s="2826"/>
      <c r="K215" s="2858"/>
      <c r="L215" s="2448"/>
      <c r="M215" s="2449"/>
      <c r="N215" s="2849"/>
      <c r="O215" s="2850">
        <v>1</v>
      </c>
      <c r="P215" s="2851" t="s">
        <v>65</v>
      </c>
      <c r="Q215" s="7512" t="s">
        <v>1105</v>
      </c>
      <c r="R215" s="7513" t="s">
        <v>1083</v>
      </c>
      <c r="S215" s="7513" t="s">
        <v>1030</v>
      </c>
      <c r="T215" s="7513" t="s">
        <v>1030</v>
      </c>
      <c r="U215" s="7513" t="s">
        <v>1031</v>
      </c>
      <c r="V215" s="7513" t="s">
        <v>1032</v>
      </c>
      <c r="W215" s="7513" t="s">
        <v>1033</v>
      </c>
      <c r="X215" s="7513" t="s">
        <v>1106</v>
      </c>
      <c r="Y215" s="7513" t="s">
        <v>1107</v>
      </c>
      <c r="Z215" s="1516"/>
      <c r="AA215" s="1517"/>
      <c r="AB215" s="1517"/>
      <c r="AC215" s="1521"/>
      <c r="AD215" s="1521"/>
      <c r="AE215" s="1522"/>
      <c r="AF215" s="2847"/>
      <c r="AG215" s="2848"/>
      <c r="AH215" s="2848"/>
      <c r="AI215" s="2847"/>
      <c r="AJ215" s="2848"/>
      <c r="AK215" s="2848"/>
      <c r="AL215" s="2329"/>
      <c r="AM215" s="2164"/>
      <c r="AN215" s="2164"/>
      <c r="AO215" s="2164"/>
      <c r="AP215" s="2164"/>
      <c r="AQ215" s="2164"/>
      <c r="AR215" s="2164"/>
      <c r="AS215" s="2164"/>
      <c r="AT215" s="2164"/>
      <c r="AU215" s="2164"/>
      <c r="AV215" s="2164"/>
      <c r="AW215" s="2164"/>
      <c r="AX215" s="2164"/>
      <c r="AY215" s="2164"/>
      <c r="AZ215" s="2164"/>
      <c r="BA215" s="2164"/>
      <c r="BB215" s="2164"/>
      <c r="BC215" s="2164"/>
      <c r="BD215" s="2164"/>
      <c r="BE215" s="2164"/>
      <c r="BF215" s="2164"/>
      <c r="BG215" s="7511"/>
    </row>
    <row customHeight="1" ht="11.25">
      <c r="A216" s="1507" t="s">
        <v>990</v>
      </c>
      <c r="B216" s="1507"/>
      <c r="C216" s="1507"/>
      <c r="D216" s="1501"/>
      <c r="E216" s="1511"/>
      <c r="F216" s="2170"/>
      <c r="G216" s="2171"/>
      <c r="H216" s="2856" t="s">
        <v>1137</v>
      </c>
      <c r="I216" s="2857"/>
      <c r="J216" s="2826"/>
      <c r="K216" s="2858"/>
      <c r="L216" s="2448"/>
      <c r="M216" s="2449"/>
      <c r="N216" s="2849"/>
      <c r="O216" s="2850"/>
      <c r="P216" s="2852"/>
      <c r="Q216" s="7512"/>
      <c r="R216" s="2854"/>
      <c r="S216" s="2855"/>
      <c r="T216" s="2854"/>
      <c r="U216" s="2854"/>
      <c r="V216" s="2854"/>
      <c r="W216" s="2854"/>
      <c r="X216" s="2854"/>
      <c r="Y216" s="2854"/>
      <c r="Z216" s="2169"/>
      <c r="AA216" s="2135">
        <v>1</v>
      </c>
      <c r="AB216" s="1520" t="s">
        <v>1035</v>
      </c>
      <c r="AC216" s="1510">
        <v>5165.438</v>
      </c>
      <c r="AD216" s="1520" t="str">
        <f>AB216</f>
        <v>      Амортизационные отчисления с выделением результатов переоценки основных средств и нематериальных активов</v>
      </c>
      <c r="AE216" s="1510"/>
      <c r="AF216" s="2847"/>
      <c r="AG216" s="2848"/>
      <c r="AH216" s="2848"/>
      <c r="AI216" s="2847"/>
      <c r="AJ216" s="2848"/>
      <c r="AK216" s="2848"/>
      <c r="AL216" s="2329"/>
      <c r="AM216" s="2164"/>
      <c r="AN216" s="2164"/>
      <c r="AO216" s="2164"/>
      <c r="AP216" s="2164"/>
      <c r="AQ216" s="2164"/>
      <c r="AR216" s="2164"/>
      <c r="AS216" s="2164"/>
      <c r="AT216" s="2164"/>
      <c r="AU216" s="2164"/>
      <c r="AV216" s="2164"/>
      <c r="AW216" s="2164"/>
      <c r="AX216" s="2164"/>
      <c r="AY216" s="2164"/>
      <c r="AZ216" s="2164"/>
      <c r="BA216" s="2164"/>
      <c r="BB216" s="2164"/>
      <c r="BC216" s="2164"/>
      <c r="BD216" s="2164"/>
      <c r="BE216" s="2164"/>
      <c r="BF216" s="2164"/>
      <c r="BG216" s="7511"/>
    </row>
    <row customHeight="1" ht="11.25">
      <c r="A217" s="1507" t="s">
        <v>990</v>
      </c>
      <c r="B217" s="1507"/>
      <c r="C217" s="1507"/>
      <c r="D217" s="1501"/>
      <c r="E217" s="1511"/>
      <c r="F217" s="2171"/>
      <c r="G217" s="2171"/>
      <c r="H217" s="2171"/>
      <c r="I217" s="2171"/>
      <c r="J217" s="2171"/>
      <c r="K217" s="2171"/>
      <c r="L217" s="2171"/>
      <c r="M217" s="2171"/>
      <c r="N217" s="2171"/>
      <c r="O217" s="2171"/>
      <c r="P217" s="2171"/>
      <c r="Q217" s="2171"/>
      <c r="R217" s="2171"/>
      <c r="S217" s="2171"/>
      <c r="T217" s="2171"/>
      <c r="U217" s="2171"/>
      <c r="V217" s="2171"/>
      <c r="W217" s="2171"/>
      <c r="X217" s="2171"/>
      <c r="Y217" s="2171"/>
      <c r="Z217" s="7510" t="s">
        <v>684</v>
      </c>
      <c r="AA217" s="2155" t="s">
        <v>107</v>
      </c>
      <c r="AB217" s="1520" t="s">
        <v>1070</v>
      </c>
      <c r="AC217" s="1510">
        <v>5326.64</v>
      </c>
      <c r="AD217" s="1520" t="str">
        <f>AB217</f>
        <v>  За счет платы за технологическое присоединение</v>
      </c>
      <c r="AE217" s="1510"/>
      <c r="AF217" s="2172"/>
      <c r="AG217" s="2100"/>
      <c r="AH217" s="2100"/>
      <c r="AI217" s="2172"/>
      <c r="AJ217" s="2100"/>
      <c r="AK217" s="2328"/>
      <c r="AL217" s="2329"/>
      <c r="AM217" s="2164"/>
      <c r="AN217" s="2164"/>
      <c r="AO217" s="2164"/>
      <c r="AP217" s="2164"/>
      <c r="AQ217" s="2164"/>
      <c r="AR217" s="2164"/>
      <c r="AS217" s="2164"/>
      <c r="AT217" s="2164"/>
      <c r="AU217" s="2164"/>
      <c r="AV217" s="2164"/>
      <c r="AW217" s="2164"/>
      <c r="AX217" s="2164"/>
      <c r="AY217" s="2164"/>
      <c r="AZ217" s="2164"/>
      <c r="BA217" s="2164"/>
      <c r="BB217" s="2164"/>
      <c r="BC217" s="2164"/>
      <c r="BD217" s="2164"/>
      <c r="BE217" s="2164"/>
      <c r="BF217" s="2164"/>
      <c r="BG217" s="7511"/>
    </row>
    <row customHeight="1" ht="11.25">
      <c r="A218" s="1507" t="s">
        <v>990</v>
      </c>
      <c r="B218" s="1507"/>
      <c r="C218" s="1507"/>
      <c r="D218" s="1501"/>
      <c r="E218" s="1511"/>
      <c r="F218" s="2171"/>
      <c r="G218" s="2171"/>
      <c r="H218" s="2171"/>
      <c r="I218" s="2171"/>
      <c r="J218" s="2171"/>
      <c r="K218" s="2171"/>
      <c r="L218" s="2171"/>
      <c r="M218" s="2171"/>
      <c r="N218" s="2171"/>
      <c r="O218" s="2171"/>
      <c r="P218" s="2171"/>
      <c r="Q218" s="2171"/>
      <c r="R218" s="2171"/>
      <c r="S218" s="2171"/>
      <c r="T218" s="2171"/>
      <c r="U218" s="2171"/>
      <c r="V218" s="2171"/>
      <c r="W218" s="2171"/>
      <c r="X218" s="2171"/>
      <c r="Y218" s="2171"/>
      <c r="Z218" s="7510" t="s">
        <v>684</v>
      </c>
      <c r="AA218" s="2155" t="s">
        <v>90</v>
      </c>
      <c r="AB218" s="1520" t="s">
        <v>1036</v>
      </c>
      <c r="AC218" s="1510">
        <v>2084.4156</v>
      </c>
      <c r="AD218" s="1520" t="str">
        <f>AB218</f>
        <v>  Прочие собственные средства</v>
      </c>
      <c r="AE218" s="1510"/>
      <c r="AF218" s="2172"/>
      <c r="AG218" s="2100"/>
      <c r="AH218" s="2100"/>
      <c r="AI218" s="2172"/>
      <c r="AJ218" s="2100"/>
      <c r="AK218" s="2328"/>
      <c r="AL218" s="2329"/>
      <c r="AM218" s="2164"/>
      <c r="AN218" s="2164"/>
      <c r="AO218" s="2164"/>
      <c r="AP218" s="2164"/>
      <c r="AQ218" s="2164"/>
      <c r="AR218" s="2164"/>
      <c r="AS218" s="2164"/>
      <c r="AT218" s="2164"/>
      <c r="AU218" s="2164"/>
      <c r="AV218" s="2164"/>
      <c r="AW218" s="2164"/>
      <c r="AX218" s="2164"/>
      <c r="AY218" s="2164"/>
      <c r="AZ218" s="2164"/>
      <c r="BA218" s="2164"/>
      <c r="BB218" s="2164"/>
      <c r="BC218" s="2164"/>
      <c r="BD218" s="2164"/>
      <c r="BE218" s="2164"/>
      <c r="BF218" s="2164"/>
      <c r="BG218" s="7511"/>
    </row>
    <row customHeight="1" ht="11.25">
      <c r="A219" s="1507" t="s">
        <v>990</v>
      </c>
      <c r="B219" s="1507"/>
      <c r="C219" s="1507"/>
      <c r="D219" s="1501"/>
      <c r="E219" s="1511"/>
      <c r="F219" s="2170"/>
      <c r="G219" s="2171"/>
      <c r="H219" s="2856" t="s">
        <v>1137</v>
      </c>
      <c r="I219" s="2857"/>
      <c r="J219" s="2826"/>
      <c r="K219" s="2858"/>
      <c r="L219" s="2448"/>
      <c r="M219" s="2449"/>
      <c r="N219" s="2849"/>
      <c r="O219" s="2850"/>
      <c r="P219" s="2853"/>
      <c r="Q219" s="7512"/>
      <c r="R219" s="2854"/>
      <c r="S219" s="2855"/>
      <c r="T219" s="2854"/>
      <c r="U219" s="2854"/>
      <c r="V219" s="2854"/>
      <c r="W219" s="2854"/>
      <c r="X219" s="2854"/>
      <c r="Y219" s="2854"/>
      <c r="Z219" s="1516"/>
      <c r="AA219" s="1517"/>
      <c r="AB219" s="1582" t="s">
        <v>1037</v>
      </c>
      <c r="AC219" s="1521"/>
      <c r="AD219" s="1521"/>
      <c r="AE219" s="1523"/>
      <c r="AF219" s="2847"/>
      <c r="AG219" s="2848"/>
      <c r="AH219" s="2848"/>
      <c r="AI219" s="2847"/>
      <c r="AJ219" s="2848"/>
      <c r="AK219" s="2848"/>
      <c r="AL219" s="2329"/>
      <c r="AM219" s="2164"/>
      <c r="AN219" s="2164"/>
      <c r="AO219" s="2164"/>
      <c r="AP219" s="2164"/>
      <c r="AQ219" s="2164"/>
      <c r="AR219" s="2164"/>
      <c r="AS219" s="2164"/>
      <c r="AT219" s="2164"/>
      <c r="AU219" s="2164"/>
      <c r="AV219" s="2164"/>
      <c r="AW219" s="2164"/>
      <c r="AX219" s="2164"/>
      <c r="AY219" s="2164"/>
      <c r="AZ219" s="2164"/>
      <c r="BA219" s="2164"/>
      <c r="BB219" s="2164"/>
      <c r="BC219" s="2164"/>
      <c r="BD219" s="2164"/>
      <c r="BE219" s="2164"/>
      <c r="BF219" s="2164"/>
      <c r="BG219" s="7511"/>
    </row>
    <row customHeight="1" ht="11.25">
      <c r="A220" s="1507" t="s">
        <v>990</v>
      </c>
      <c r="B220" s="1507"/>
      <c r="C220" s="1507"/>
      <c r="D220" s="1501"/>
      <c r="E220" s="1511"/>
      <c r="F220" s="2170"/>
      <c r="G220" s="2171"/>
      <c r="H220" s="2856" t="s">
        <v>1137</v>
      </c>
      <c r="I220" s="2857"/>
      <c r="J220" s="2826"/>
      <c r="K220" s="2858"/>
      <c r="L220" s="2448"/>
      <c r="M220" s="2449"/>
      <c r="N220" s="1516"/>
      <c r="O220" s="1517"/>
      <c r="P220" s="1509" t="s">
        <v>1038</v>
      </c>
      <c r="Q220" s="1517"/>
      <c r="R220" s="1517"/>
      <c r="S220" s="1517"/>
      <c r="T220" s="1517"/>
      <c r="U220" s="1517"/>
      <c r="V220" s="1517"/>
      <c r="W220" s="1517"/>
      <c r="X220" s="1517"/>
      <c r="Y220" s="1517"/>
      <c r="Z220" s="1517"/>
      <c r="AA220" s="1517"/>
      <c r="AB220" s="1517"/>
      <c r="AC220" s="1517"/>
      <c r="AD220" s="1517"/>
      <c r="AE220" s="1524"/>
      <c r="AF220" s="2847"/>
      <c r="AG220" s="2848"/>
      <c r="AH220" s="2848"/>
      <c r="AI220" s="2847"/>
      <c r="AJ220" s="2848"/>
      <c r="AK220" s="2848"/>
      <c r="AL220" s="2329"/>
      <c r="AM220" s="2164"/>
      <c r="AN220" s="2164"/>
      <c r="AO220" s="2164"/>
      <c r="AP220" s="2164"/>
      <c r="AQ220" s="2164"/>
      <c r="AR220" s="2164"/>
      <c r="AS220" s="2164"/>
      <c r="AT220" s="2164"/>
      <c r="AU220" s="2164"/>
      <c r="AV220" s="2164"/>
      <c r="AW220" s="2164"/>
      <c r="AX220" s="2164"/>
      <c r="AY220" s="2164"/>
      <c r="AZ220" s="2164"/>
      <c r="BA220" s="2164"/>
      <c r="BB220" s="2164"/>
      <c r="BC220" s="2164"/>
      <c r="BD220" s="2164"/>
      <c r="BE220" s="2164"/>
      <c r="BF220" s="2164"/>
      <c r="BG220" s="7511"/>
    </row>
    <row customHeight="1" ht="11.25">
      <c r="A221" s="1507" t="s">
        <v>990</v>
      </c>
      <c r="B221" s="1507" t="s">
        <v>1139</v>
      </c>
      <c r="C221" s="1507"/>
      <c r="D221" s="1501"/>
      <c r="E221" s="1511"/>
      <c r="F221" s="2170"/>
      <c r="G221" s="7510" t="s">
        <v>684</v>
      </c>
      <c r="H221" s="2856" t="s">
        <v>1144</v>
      </c>
      <c r="I221" s="2857" t="s">
        <v>1141</v>
      </c>
      <c r="J221" s="2826" t="s">
        <v>1142</v>
      </c>
      <c r="K221" s="2858" t="s">
        <v>1145</v>
      </c>
      <c r="L221" s="2448" t="s">
        <v>19</v>
      </c>
      <c r="M221" s="2449"/>
      <c r="N221" s="2327"/>
      <c r="O221" s="1518" t="s">
        <v>371</v>
      </c>
      <c r="P221" s="1519"/>
      <c r="Q221" s="1519"/>
      <c r="R221" s="1519"/>
      <c r="S221" s="1519"/>
      <c r="T221" s="1519"/>
      <c r="U221" s="1519"/>
      <c r="V221" s="1519"/>
      <c r="W221" s="1519"/>
      <c r="X221" s="1519"/>
      <c r="Y221" s="1519"/>
      <c r="Z221" s="1519"/>
      <c r="AA221" s="1519"/>
      <c r="AB221" s="1519"/>
      <c r="AC221" s="1519"/>
      <c r="AD221" s="1519"/>
      <c r="AE221" s="1519"/>
      <c r="AF221" s="2847">
        <v>1</v>
      </c>
      <c r="AG221" s="2848" t="s">
        <v>1067</v>
      </c>
      <c r="AH221" s="2848" t="s">
        <v>1063</v>
      </c>
      <c r="AI221" s="2847"/>
      <c r="AJ221" s="2848"/>
      <c r="AK221" s="2848"/>
      <c r="AL221" s="2329"/>
      <c r="AM221" s="2164"/>
      <c r="AN221" s="2164"/>
      <c r="AO221" s="2164"/>
      <c r="AP221" s="2164"/>
      <c r="AQ221" s="2164"/>
      <c r="AR221" s="2164"/>
      <c r="AS221" s="2164"/>
      <c r="AT221" s="2164"/>
      <c r="AU221" s="2164"/>
      <c r="AV221" s="2164"/>
      <c r="AW221" s="2164"/>
      <c r="AX221" s="2164"/>
      <c r="AY221" s="2164"/>
      <c r="AZ221" s="2164"/>
      <c r="BA221" s="2164"/>
      <c r="BB221" s="2164"/>
      <c r="BC221" s="2164"/>
      <c r="BD221" s="2164"/>
      <c r="BE221" s="2164"/>
      <c r="BF221" s="2164"/>
      <c r="BG221" s="7511"/>
    </row>
    <row customHeight="1" ht="11.25">
      <c r="A222" s="1507" t="s">
        <v>990</v>
      </c>
      <c r="B222" s="1507"/>
      <c r="C222" s="1507"/>
      <c r="D222" s="1501"/>
      <c r="E222" s="1511"/>
      <c r="F222" s="2170"/>
      <c r="G222" s="2171"/>
      <c r="H222" s="2856" t="s">
        <v>1140</v>
      </c>
      <c r="I222" s="2857"/>
      <c r="J222" s="2826"/>
      <c r="K222" s="2858"/>
      <c r="L222" s="2448"/>
      <c r="M222" s="2449"/>
      <c r="N222" s="2849"/>
      <c r="O222" s="2850">
        <v>1</v>
      </c>
      <c r="P222" s="2851" t="s">
        <v>65</v>
      </c>
      <c r="Q222" s="7512" t="s">
        <v>1105</v>
      </c>
      <c r="R222" s="7513" t="s">
        <v>1083</v>
      </c>
      <c r="S222" s="7513" t="s">
        <v>1030</v>
      </c>
      <c r="T222" s="7513" t="s">
        <v>1030</v>
      </c>
      <c r="U222" s="7513" t="s">
        <v>1031</v>
      </c>
      <c r="V222" s="7513" t="s">
        <v>1032</v>
      </c>
      <c r="W222" s="7513" t="s">
        <v>1033</v>
      </c>
      <c r="X222" s="7513" t="s">
        <v>1106</v>
      </c>
      <c r="Y222" s="7513" t="s">
        <v>1107</v>
      </c>
      <c r="Z222" s="1516"/>
      <c r="AA222" s="1517"/>
      <c r="AB222" s="1517"/>
      <c r="AC222" s="1521"/>
      <c r="AD222" s="1521"/>
      <c r="AE222" s="1522"/>
      <c r="AF222" s="2847"/>
      <c r="AG222" s="2848"/>
      <c r="AH222" s="2848"/>
      <c r="AI222" s="2847"/>
      <c r="AJ222" s="2848"/>
      <c r="AK222" s="2848"/>
      <c r="AL222" s="2329"/>
      <c r="AM222" s="2164"/>
      <c r="AN222" s="2164"/>
      <c r="AO222" s="2164"/>
      <c r="AP222" s="2164"/>
      <c r="AQ222" s="2164"/>
      <c r="AR222" s="2164"/>
      <c r="AS222" s="2164"/>
      <c r="AT222" s="2164"/>
      <c r="AU222" s="2164"/>
      <c r="AV222" s="2164"/>
      <c r="AW222" s="2164"/>
      <c r="AX222" s="2164"/>
      <c r="AY222" s="2164"/>
      <c r="AZ222" s="2164"/>
      <c r="BA222" s="2164"/>
      <c r="BB222" s="2164"/>
      <c r="BC222" s="2164"/>
      <c r="BD222" s="2164"/>
      <c r="BE222" s="2164"/>
      <c r="BF222" s="2164"/>
      <c r="BG222" s="7511"/>
    </row>
    <row customHeight="1" ht="11.25">
      <c r="A223" s="1507" t="s">
        <v>990</v>
      </c>
      <c r="B223" s="1507"/>
      <c r="C223" s="1507"/>
      <c r="D223" s="1501"/>
      <c r="E223" s="1511"/>
      <c r="F223" s="2170"/>
      <c r="G223" s="2171"/>
      <c r="H223" s="2856" t="s">
        <v>1140</v>
      </c>
      <c r="I223" s="2857"/>
      <c r="J223" s="2826"/>
      <c r="K223" s="2858"/>
      <c r="L223" s="2448"/>
      <c r="M223" s="2449"/>
      <c r="N223" s="2849"/>
      <c r="O223" s="2850"/>
      <c r="P223" s="2852"/>
      <c r="Q223" s="7512"/>
      <c r="R223" s="2854"/>
      <c r="S223" s="2855"/>
      <c r="T223" s="2854"/>
      <c r="U223" s="2854"/>
      <c r="V223" s="2854"/>
      <c r="W223" s="2854"/>
      <c r="X223" s="2854"/>
      <c r="Y223" s="2854"/>
      <c r="Z223" s="2169"/>
      <c r="AA223" s="2135">
        <v>1</v>
      </c>
      <c r="AB223" s="1520" t="s">
        <v>1035</v>
      </c>
      <c r="AC223" s="1510">
        <v>115.6</v>
      </c>
      <c r="AD223" s="1520" t="str">
        <f>AB223</f>
        <v>      Амортизационные отчисления с выделением результатов переоценки основных средств и нематериальных активов</v>
      </c>
      <c r="AE223" s="1510"/>
      <c r="AF223" s="2847"/>
      <c r="AG223" s="2848"/>
      <c r="AH223" s="2848"/>
      <c r="AI223" s="2847"/>
      <c r="AJ223" s="2848"/>
      <c r="AK223" s="2848"/>
      <c r="AL223" s="2329"/>
      <c r="AM223" s="2164"/>
      <c r="AN223" s="2164"/>
      <c r="AO223" s="2164"/>
      <c r="AP223" s="2164"/>
      <c r="AQ223" s="2164"/>
      <c r="AR223" s="2164"/>
      <c r="AS223" s="2164"/>
      <c r="AT223" s="2164"/>
      <c r="AU223" s="2164"/>
      <c r="AV223" s="2164"/>
      <c r="AW223" s="2164"/>
      <c r="AX223" s="2164"/>
      <c r="AY223" s="2164"/>
      <c r="AZ223" s="2164"/>
      <c r="BA223" s="2164"/>
      <c r="BB223" s="2164"/>
      <c r="BC223" s="2164"/>
      <c r="BD223" s="2164"/>
      <c r="BE223" s="2164"/>
      <c r="BF223" s="2164"/>
      <c r="BG223" s="7511"/>
    </row>
    <row customHeight="1" ht="11.25">
      <c r="A224" s="1507" t="s">
        <v>990</v>
      </c>
      <c r="B224" s="1507"/>
      <c r="C224" s="1507"/>
      <c r="D224" s="1501"/>
      <c r="E224" s="1511"/>
      <c r="F224" s="2171"/>
      <c r="G224" s="2171"/>
      <c r="H224" s="2171"/>
      <c r="I224" s="2171"/>
      <c r="J224" s="2171"/>
      <c r="K224" s="2171"/>
      <c r="L224" s="2171"/>
      <c r="M224" s="2171"/>
      <c r="N224" s="2171"/>
      <c r="O224" s="2171"/>
      <c r="P224" s="2171"/>
      <c r="Q224" s="2171"/>
      <c r="R224" s="2171"/>
      <c r="S224" s="2171"/>
      <c r="T224" s="2171"/>
      <c r="U224" s="2171"/>
      <c r="V224" s="2171"/>
      <c r="W224" s="2171"/>
      <c r="X224" s="2171"/>
      <c r="Y224" s="2171"/>
      <c r="Z224" s="7510" t="s">
        <v>684</v>
      </c>
      <c r="AA224" s="2155" t="s">
        <v>107</v>
      </c>
      <c r="AB224" s="1520" t="s">
        <v>1070</v>
      </c>
      <c r="AC224" s="1510">
        <v>223.46</v>
      </c>
      <c r="AD224" s="1520" t="str">
        <f>AB224</f>
        <v>  За счет платы за технологическое присоединение</v>
      </c>
      <c r="AE224" s="1510"/>
      <c r="AF224" s="2172"/>
      <c r="AG224" s="2100"/>
      <c r="AH224" s="2100"/>
      <c r="AI224" s="2172"/>
      <c r="AJ224" s="2100"/>
      <c r="AK224" s="2328"/>
      <c r="AL224" s="2329"/>
      <c r="AM224" s="2164"/>
      <c r="AN224" s="2164"/>
      <c r="AO224" s="2164"/>
      <c r="AP224" s="2164"/>
      <c r="AQ224" s="2164"/>
      <c r="AR224" s="2164"/>
      <c r="AS224" s="2164"/>
      <c r="AT224" s="2164"/>
      <c r="AU224" s="2164"/>
      <c r="AV224" s="2164"/>
      <c r="AW224" s="2164"/>
      <c r="AX224" s="2164"/>
      <c r="AY224" s="2164"/>
      <c r="AZ224" s="2164"/>
      <c r="BA224" s="2164"/>
      <c r="BB224" s="2164"/>
      <c r="BC224" s="2164"/>
      <c r="BD224" s="2164"/>
      <c r="BE224" s="2164"/>
      <c r="BF224" s="2164"/>
      <c r="BG224" s="7511"/>
    </row>
    <row customHeight="1" ht="11.25">
      <c r="A225" s="1507" t="s">
        <v>990</v>
      </c>
      <c r="B225" s="1507"/>
      <c r="C225" s="1507"/>
      <c r="D225" s="1501"/>
      <c r="E225" s="1511"/>
      <c r="F225" s="2171"/>
      <c r="G225" s="2171"/>
      <c r="H225" s="2171"/>
      <c r="I225" s="2171"/>
      <c r="J225" s="2171"/>
      <c r="K225" s="2171"/>
      <c r="L225" s="2171"/>
      <c r="M225" s="2171"/>
      <c r="N225" s="2171"/>
      <c r="O225" s="2171"/>
      <c r="P225" s="2171"/>
      <c r="Q225" s="2171"/>
      <c r="R225" s="2171"/>
      <c r="S225" s="2171"/>
      <c r="T225" s="2171"/>
      <c r="U225" s="2171"/>
      <c r="V225" s="2171"/>
      <c r="W225" s="2171"/>
      <c r="X225" s="2171"/>
      <c r="Y225" s="2171"/>
      <c r="Z225" s="7510" t="s">
        <v>684</v>
      </c>
      <c r="AA225" s="2155" t="s">
        <v>90</v>
      </c>
      <c r="AB225" s="1520" t="s">
        <v>1036</v>
      </c>
      <c r="AC225" s="1510">
        <v>53.812</v>
      </c>
      <c r="AD225" s="1520" t="str">
        <f>AB225</f>
        <v>  Прочие собственные средства</v>
      </c>
      <c r="AE225" s="1510"/>
      <c r="AF225" s="2172"/>
      <c r="AG225" s="2100"/>
      <c r="AH225" s="2100"/>
      <c r="AI225" s="2172"/>
      <c r="AJ225" s="2100"/>
      <c r="AK225" s="2328"/>
      <c r="AL225" s="2329"/>
      <c r="AM225" s="2164"/>
      <c r="AN225" s="2164"/>
      <c r="AO225" s="2164"/>
      <c r="AP225" s="2164"/>
      <c r="AQ225" s="2164"/>
      <c r="AR225" s="2164"/>
      <c r="AS225" s="2164"/>
      <c r="AT225" s="2164"/>
      <c r="AU225" s="2164"/>
      <c r="AV225" s="2164"/>
      <c r="AW225" s="2164"/>
      <c r="AX225" s="2164"/>
      <c r="AY225" s="2164"/>
      <c r="AZ225" s="2164"/>
      <c r="BA225" s="2164"/>
      <c r="BB225" s="2164"/>
      <c r="BC225" s="2164"/>
      <c r="BD225" s="2164"/>
      <c r="BE225" s="2164"/>
      <c r="BF225" s="2164"/>
      <c r="BG225" s="7511"/>
    </row>
    <row customHeight="1" ht="11.25">
      <c r="A226" s="1507" t="s">
        <v>990</v>
      </c>
      <c r="B226" s="1507"/>
      <c r="C226" s="1507"/>
      <c r="D226" s="1501"/>
      <c r="E226" s="1511"/>
      <c r="F226" s="2170"/>
      <c r="G226" s="2171"/>
      <c r="H226" s="2856" t="s">
        <v>1140</v>
      </c>
      <c r="I226" s="2857"/>
      <c r="J226" s="2826"/>
      <c r="K226" s="2858"/>
      <c r="L226" s="2448"/>
      <c r="M226" s="2449"/>
      <c r="N226" s="2849"/>
      <c r="O226" s="2850"/>
      <c r="P226" s="2853"/>
      <c r="Q226" s="7512"/>
      <c r="R226" s="2854"/>
      <c r="S226" s="2855"/>
      <c r="T226" s="2854"/>
      <c r="U226" s="2854"/>
      <c r="V226" s="2854"/>
      <c r="W226" s="2854"/>
      <c r="X226" s="2854"/>
      <c r="Y226" s="2854"/>
      <c r="Z226" s="1516"/>
      <c r="AA226" s="1517"/>
      <c r="AB226" s="1582" t="s">
        <v>1037</v>
      </c>
      <c r="AC226" s="1521"/>
      <c r="AD226" s="1521"/>
      <c r="AE226" s="1523"/>
      <c r="AF226" s="2847"/>
      <c r="AG226" s="2848"/>
      <c r="AH226" s="2848"/>
      <c r="AI226" s="2847"/>
      <c r="AJ226" s="2848"/>
      <c r="AK226" s="2848"/>
      <c r="AL226" s="2329"/>
      <c r="AM226" s="2164"/>
      <c r="AN226" s="2164"/>
      <c r="AO226" s="2164"/>
      <c r="AP226" s="2164"/>
      <c r="AQ226" s="2164"/>
      <c r="AR226" s="2164"/>
      <c r="AS226" s="2164"/>
      <c r="AT226" s="2164"/>
      <c r="AU226" s="2164"/>
      <c r="AV226" s="2164"/>
      <c r="AW226" s="2164"/>
      <c r="AX226" s="2164"/>
      <c r="AY226" s="2164"/>
      <c r="AZ226" s="2164"/>
      <c r="BA226" s="2164"/>
      <c r="BB226" s="2164"/>
      <c r="BC226" s="2164"/>
      <c r="BD226" s="2164"/>
      <c r="BE226" s="2164"/>
      <c r="BF226" s="2164"/>
      <c r="BG226" s="7511"/>
    </row>
    <row customHeight="1" ht="11.25">
      <c r="A227" s="1507" t="s">
        <v>990</v>
      </c>
      <c r="B227" s="1507"/>
      <c r="C227" s="1507"/>
      <c r="D227" s="1501"/>
      <c r="E227" s="1511"/>
      <c r="F227" s="2170"/>
      <c r="G227" s="2171"/>
      <c r="H227" s="2856" t="s">
        <v>1140</v>
      </c>
      <c r="I227" s="2857"/>
      <c r="J227" s="2826"/>
      <c r="K227" s="2858"/>
      <c r="L227" s="2448"/>
      <c r="M227" s="2449"/>
      <c r="N227" s="1516"/>
      <c r="O227" s="1517"/>
      <c r="P227" s="1509" t="s">
        <v>1038</v>
      </c>
      <c r="Q227" s="1517"/>
      <c r="R227" s="1517"/>
      <c r="S227" s="1517"/>
      <c r="T227" s="1517"/>
      <c r="U227" s="1517"/>
      <c r="V227" s="1517"/>
      <c r="W227" s="1517"/>
      <c r="X227" s="1517"/>
      <c r="Y227" s="1517"/>
      <c r="Z227" s="1517"/>
      <c r="AA227" s="1517"/>
      <c r="AB227" s="1517"/>
      <c r="AC227" s="1517"/>
      <c r="AD227" s="1517"/>
      <c r="AE227" s="1524"/>
      <c r="AF227" s="2847"/>
      <c r="AG227" s="2848"/>
      <c r="AH227" s="2848"/>
      <c r="AI227" s="2847"/>
      <c r="AJ227" s="2848"/>
      <c r="AK227" s="2848"/>
      <c r="AL227" s="2329"/>
      <c r="AM227" s="2164"/>
      <c r="AN227" s="2164"/>
      <c r="AO227" s="2164"/>
      <c r="AP227" s="2164"/>
      <c r="AQ227" s="2164"/>
      <c r="AR227" s="2164"/>
      <c r="AS227" s="2164"/>
      <c r="AT227" s="2164"/>
      <c r="AU227" s="2164"/>
      <c r="AV227" s="2164"/>
      <c r="AW227" s="2164"/>
      <c r="AX227" s="2164"/>
      <c r="AY227" s="2164"/>
      <c r="AZ227" s="2164"/>
      <c r="BA227" s="2164"/>
      <c r="BB227" s="2164"/>
      <c r="BC227" s="2164"/>
      <c r="BD227" s="2164"/>
      <c r="BE227" s="2164"/>
      <c r="BF227" s="2164"/>
      <c r="BG227" s="7511"/>
    </row>
    <row customHeight="1" ht="11.25">
      <c r="A228" s="1507" t="s">
        <v>990</v>
      </c>
      <c r="B228" s="1507" t="s">
        <v>22</v>
      </c>
      <c r="C228" s="1507"/>
      <c r="D228" s="1501"/>
      <c r="E228" s="1511"/>
      <c r="F228" s="2170"/>
      <c r="G228" s="7510" t="s">
        <v>684</v>
      </c>
      <c r="H228" s="2856" t="s">
        <v>1146</v>
      </c>
      <c r="I228" s="2857" t="s">
        <v>1147</v>
      </c>
      <c r="J228" s="7514" t="s">
        <v>22</v>
      </c>
      <c r="K228" s="2858" t="s">
        <v>1148</v>
      </c>
      <c r="L228" s="2448" t="s">
        <v>19</v>
      </c>
      <c r="M228" s="2449"/>
      <c r="N228" s="2327"/>
      <c r="O228" s="1518" t="s">
        <v>371</v>
      </c>
      <c r="P228" s="1519"/>
      <c r="Q228" s="1519"/>
      <c r="R228" s="1519"/>
      <c r="S228" s="1519"/>
      <c r="T228" s="1519"/>
      <c r="U228" s="1519"/>
      <c r="V228" s="1519"/>
      <c r="W228" s="1519"/>
      <c r="X228" s="1519"/>
      <c r="Y228" s="1519"/>
      <c r="Z228" s="1519"/>
      <c r="AA228" s="1519"/>
      <c r="AB228" s="1519"/>
      <c r="AC228" s="1519"/>
      <c r="AD228" s="1519"/>
      <c r="AE228" s="1519"/>
      <c r="AF228" s="2847">
        <v>1</v>
      </c>
      <c r="AG228" s="2848" t="s">
        <v>1026</v>
      </c>
      <c r="AH228" s="2848" t="s">
        <v>1063</v>
      </c>
      <c r="AI228" s="2847"/>
      <c r="AJ228" s="2848"/>
      <c r="AK228" s="2848"/>
      <c r="AL228" s="2329"/>
      <c r="AM228" s="2164"/>
      <c r="AN228" s="2164"/>
      <c r="AO228" s="2164"/>
      <c r="AP228" s="2164"/>
      <c r="AQ228" s="2164"/>
      <c r="AR228" s="2164"/>
      <c r="AS228" s="2164"/>
      <c r="AT228" s="2164"/>
      <c r="AU228" s="2164"/>
      <c r="AV228" s="2164"/>
      <c r="AW228" s="2164"/>
      <c r="AX228" s="2164"/>
      <c r="AY228" s="2164"/>
      <c r="AZ228" s="2164"/>
      <c r="BA228" s="2164"/>
      <c r="BB228" s="2164"/>
      <c r="BC228" s="2164"/>
      <c r="BD228" s="2164"/>
      <c r="BE228" s="2164"/>
      <c r="BF228" s="2164"/>
      <c r="BG228" s="7511"/>
    </row>
    <row customHeight="1" ht="11.25">
      <c r="A229" s="1507" t="s">
        <v>990</v>
      </c>
      <c r="B229" s="1507"/>
      <c r="C229" s="1507"/>
      <c r="D229" s="1501"/>
      <c r="E229" s="1511"/>
      <c r="F229" s="2170"/>
      <c r="G229" s="2171"/>
      <c r="H229" s="2856" t="s">
        <v>1144</v>
      </c>
      <c r="I229" s="2857"/>
      <c r="J229" s="7514"/>
      <c r="K229" s="2858"/>
      <c r="L229" s="2448"/>
      <c r="M229" s="2449"/>
      <c r="N229" s="2849"/>
      <c r="O229" s="2850">
        <v>1</v>
      </c>
      <c r="P229" s="2851" t="s">
        <v>65</v>
      </c>
      <c r="Q229" s="7512" t="s">
        <v>1105</v>
      </c>
      <c r="R229" s="7513" t="s">
        <v>1083</v>
      </c>
      <c r="S229" s="7513" t="s">
        <v>1030</v>
      </c>
      <c r="T229" s="7513" t="s">
        <v>1030</v>
      </c>
      <c r="U229" s="7513" t="s">
        <v>1031</v>
      </c>
      <c r="V229" s="7513" t="s">
        <v>1032</v>
      </c>
      <c r="W229" s="7513" t="s">
        <v>1033</v>
      </c>
      <c r="X229" s="7513" t="s">
        <v>1106</v>
      </c>
      <c r="Y229" s="7513" t="s">
        <v>1107</v>
      </c>
      <c r="Z229" s="1516"/>
      <c r="AA229" s="1517"/>
      <c r="AB229" s="1517"/>
      <c r="AC229" s="1521"/>
      <c r="AD229" s="1521"/>
      <c r="AE229" s="1522"/>
      <c r="AF229" s="2847"/>
      <c r="AG229" s="2848"/>
      <c r="AH229" s="2848"/>
      <c r="AI229" s="2847"/>
      <c r="AJ229" s="2848"/>
      <c r="AK229" s="2848"/>
      <c r="AL229" s="2329"/>
      <c r="AM229" s="2164"/>
      <c r="AN229" s="2164"/>
      <c r="AO229" s="2164"/>
      <c r="AP229" s="2164"/>
      <c r="AQ229" s="2164"/>
      <c r="AR229" s="2164"/>
      <c r="AS229" s="2164"/>
      <c r="AT229" s="2164"/>
      <c r="AU229" s="2164"/>
      <c r="AV229" s="2164"/>
      <c r="AW229" s="2164"/>
      <c r="AX229" s="2164"/>
      <c r="AY229" s="2164"/>
      <c r="AZ229" s="2164"/>
      <c r="BA229" s="2164"/>
      <c r="BB229" s="2164"/>
      <c r="BC229" s="2164"/>
      <c r="BD229" s="2164"/>
      <c r="BE229" s="2164"/>
      <c r="BF229" s="2164"/>
      <c r="BG229" s="7511"/>
    </row>
    <row customHeight="1" ht="11.25">
      <c r="A230" s="1507" t="s">
        <v>990</v>
      </c>
      <c r="B230" s="1507"/>
      <c r="C230" s="1507"/>
      <c r="D230" s="1501"/>
      <c r="E230" s="1511"/>
      <c r="F230" s="2170"/>
      <c r="G230" s="2171"/>
      <c r="H230" s="2856" t="s">
        <v>1144</v>
      </c>
      <c r="I230" s="2857"/>
      <c r="J230" s="7514"/>
      <c r="K230" s="2858"/>
      <c r="L230" s="2448"/>
      <c r="M230" s="2449"/>
      <c r="N230" s="2849"/>
      <c r="O230" s="2850"/>
      <c r="P230" s="2852"/>
      <c r="Q230" s="7512"/>
      <c r="R230" s="2854"/>
      <c r="S230" s="2855"/>
      <c r="T230" s="2854"/>
      <c r="U230" s="2854"/>
      <c r="V230" s="2854"/>
      <c r="W230" s="2854"/>
      <c r="X230" s="2854"/>
      <c r="Y230" s="2854"/>
      <c r="Z230" s="2169"/>
      <c r="AA230" s="2135">
        <v>1</v>
      </c>
      <c r="AB230" s="1520" t="s">
        <v>1036</v>
      </c>
      <c r="AC230" s="1510">
        <v>3709.89277</v>
      </c>
      <c r="AD230" s="1520" t="str">
        <f>AB230</f>
        <v>  Прочие собственные средства</v>
      </c>
      <c r="AE230" s="1510"/>
      <c r="AF230" s="2847"/>
      <c r="AG230" s="2848"/>
      <c r="AH230" s="2848"/>
      <c r="AI230" s="2847"/>
      <c r="AJ230" s="2848"/>
      <c r="AK230" s="2848"/>
      <c r="AL230" s="2329"/>
      <c r="AM230" s="2164"/>
      <c r="AN230" s="2164"/>
      <c r="AO230" s="2164"/>
      <c r="AP230" s="2164"/>
      <c r="AQ230" s="2164"/>
      <c r="AR230" s="2164"/>
      <c r="AS230" s="2164"/>
      <c r="AT230" s="2164"/>
      <c r="AU230" s="2164"/>
      <c r="AV230" s="2164"/>
      <c r="AW230" s="2164"/>
      <c r="AX230" s="2164"/>
      <c r="AY230" s="2164"/>
      <c r="AZ230" s="2164"/>
      <c r="BA230" s="2164"/>
      <c r="BB230" s="2164"/>
      <c r="BC230" s="2164"/>
      <c r="BD230" s="2164"/>
      <c r="BE230" s="2164"/>
      <c r="BF230" s="2164"/>
      <c r="BG230" s="7511"/>
    </row>
    <row customHeight="1" ht="11.25">
      <c r="A231" s="1507" t="s">
        <v>990</v>
      </c>
      <c r="B231" s="1507"/>
      <c r="C231" s="1507"/>
      <c r="D231" s="1501"/>
      <c r="E231" s="1511"/>
      <c r="F231" s="2170"/>
      <c r="G231" s="2171"/>
      <c r="H231" s="2856" t="s">
        <v>1144</v>
      </c>
      <c r="I231" s="2857"/>
      <c r="J231" s="7514"/>
      <c r="K231" s="2858"/>
      <c r="L231" s="2448"/>
      <c r="M231" s="2449"/>
      <c r="N231" s="2849"/>
      <c r="O231" s="2850"/>
      <c r="P231" s="2853"/>
      <c r="Q231" s="7512"/>
      <c r="R231" s="2854"/>
      <c r="S231" s="2855"/>
      <c r="T231" s="2854"/>
      <c r="U231" s="2854"/>
      <c r="V231" s="2854"/>
      <c r="W231" s="2854"/>
      <c r="X231" s="2854"/>
      <c r="Y231" s="2854"/>
      <c r="Z231" s="1516"/>
      <c r="AA231" s="1517"/>
      <c r="AB231" s="1582" t="s">
        <v>1037</v>
      </c>
      <c r="AC231" s="1521"/>
      <c r="AD231" s="1521"/>
      <c r="AE231" s="1523"/>
      <c r="AF231" s="2847"/>
      <c r="AG231" s="2848"/>
      <c r="AH231" s="2848"/>
      <c r="AI231" s="2847"/>
      <c r="AJ231" s="2848"/>
      <c r="AK231" s="2848"/>
      <c r="AL231" s="2329"/>
      <c r="AM231" s="2164"/>
      <c r="AN231" s="2164"/>
      <c r="AO231" s="2164"/>
      <c r="AP231" s="2164"/>
      <c r="AQ231" s="2164"/>
      <c r="AR231" s="2164"/>
      <c r="AS231" s="2164"/>
      <c r="AT231" s="2164"/>
      <c r="AU231" s="2164"/>
      <c r="AV231" s="2164"/>
      <c r="AW231" s="2164"/>
      <c r="AX231" s="2164"/>
      <c r="AY231" s="2164"/>
      <c r="AZ231" s="2164"/>
      <c r="BA231" s="2164"/>
      <c r="BB231" s="2164"/>
      <c r="BC231" s="2164"/>
      <c r="BD231" s="2164"/>
      <c r="BE231" s="2164"/>
      <c r="BF231" s="2164"/>
      <c r="BG231" s="7511"/>
    </row>
    <row customHeight="1" ht="11.25">
      <c r="A232" s="1507" t="s">
        <v>990</v>
      </c>
      <c r="B232" s="1507"/>
      <c r="C232" s="1507"/>
      <c r="D232" s="1501"/>
      <c r="E232" s="1511"/>
      <c r="F232" s="2170"/>
      <c r="G232" s="2171"/>
      <c r="H232" s="2856" t="s">
        <v>1144</v>
      </c>
      <c r="I232" s="2857"/>
      <c r="J232" s="7514"/>
      <c r="K232" s="2858"/>
      <c r="L232" s="2448"/>
      <c r="M232" s="2449"/>
      <c r="N232" s="1516"/>
      <c r="O232" s="1517"/>
      <c r="P232" s="1509" t="s">
        <v>1038</v>
      </c>
      <c r="Q232" s="1517"/>
      <c r="R232" s="1517"/>
      <c r="S232" s="1517"/>
      <c r="T232" s="1517"/>
      <c r="U232" s="1517"/>
      <c r="V232" s="1517"/>
      <c r="W232" s="1517"/>
      <c r="X232" s="1517"/>
      <c r="Y232" s="1517"/>
      <c r="Z232" s="1517"/>
      <c r="AA232" s="1517"/>
      <c r="AB232" s="1517"/>
      <c r="AC232" s="1517"/>
      <c r="AD232" s="1517"/>
      <c r="AE232" s="1524"/>
      <c r="AF232" s="2847"/>
      <c r="AG232" s="2848"/>
      <c r="AH232" s="2848"/>
      <c r="AI232" s="2847"/>
      <c r="AJ232" s="2848"/>
      <c r="AK232" s="2848"/>
      <c r="AL232" s="2329"/>
      <c r="AM232" s="2164"/>
      <c r="AN232" s="2164"/>
      <c r="AO232" s="2164"/>
      <c r="AP232" s="2164"/>
      <c r="AQ232" s="2164"/>
      <c r="AR232" s="2164"/>
      <c r="AS232" s="2164"/>
      <c r="AT232" s="2164"/>
      <c r="AU232" s="2164"/>
      <c r="AV232" s="2164"/>
      <c r="AW232" s="2164"/>
      <c r="AX232" s="2164"/>
      <c r="AY232" s="2164"/>
      <c r="AZ232" s="2164"/>
      <c r="BA232" s="2164"/>
      <c r="BB232" s="2164"/>
      <c r="BC232" s="2164"/>
      <c r="BD232" s="2164"/>
      <c r="BE232" s="2164"/>
      <c r="BF232" s="2164"/>
      <c r="BG232" s="7511"/>
    </row>
    <row customHeight="1" ht="11.25">
      <c r="A233" s="1507" t="s">
        <v>990</v>
      </c>
      <c r="B233" s="1507" t="s">
        <v>1139</v>
      </c>
      <c r="C233" s="1507"/>
      <c r="D233" s="1501"/>
      <c r="E233" s="1511"/>
      <c r="F233" s="2170"/>
      <c r="G233" s="7510" t="s">
        <v>684</v>
      </c>
      <c r="H233" s="2856" t="s">
        <v>1149</v>
      </c>
      <c r="I233" s="2857" t="s">
        <v>1141</v>
      </c>
      <c r="J233" s="2826" t="s">
        <v>1142</v>
      </c>
      <c r="K233" s="2858" t="s">
        <v>1150</v>
      </c>
      <c r="L233" s="2448" t="s">
        <v>19</v>
      </c>
      <c r="M233" s="2449"/>
      <c r="N233" s="2327"/>
      <c r="O233" s="1518" t="s">
        <v>371</v>
      </c>
      <c r="P233" s="1519"/>
      <c r="Q233" s="1519"/>
      <c r="R233" s="1519"/>
      <c r="S233" s="1519"/>
      <c r="T233" s="1519"/>
      <c r="U233" s="1519"/>
      <c r="V233" s="1519"/>
      <c r="W233" s="1519"/>
      <c r="X233" s="1519"/>
      <c r="Y233" s="1519"/>
      <c r="Z233" s="1519"/>
      <c r="AA233" s="1519"/>
      <c r="AB233" s="1519"/>
      <c r="AC233" s="1519"/>
      <c r="AD233" s="1519"/>
      <c r="AE233" s="1519"/>
      <c r="AF233" s="2847">
        <v>6</v>
      </c>
      <c r="AG233" s="2848" t="s">
        <v>1067</v>
      </c>
      <c r="AH233" s="2848" t="s">
        <v>1104</v>
      </c>
      <c r="AI233" s="2847"/>
      <c r="AJ233" s="2848"/>
      <c r="AK233" s="2848"/>
      <c r="AL233" s="2329"/>
      <c r="AM233" s="2164"/>
      <c r="AN233" s="2164"/>
      <c r="AO233" s="2164"/>
      <c r="AP233" s="2164"/>
      <c r="AQ233" s="2164"/>
      <c r="AR233" s="2164"/>
      <c r="AS233" s="2164"/>
      <c r="AT233" s="2164"/>
      <c r="AU233" s="2164"/>
      <c r="AV233" s="2164"/>
      <c r="AW233" s="2164"/>
      <c r="AX233" s="2164"/>
      <c r="AY233" s="2164"/>
      <c r="AZ233" s="2164"/>
      <c r="BA233" s="2164"/>
      <c r="BB233" s="2164"/>
      <c r="BC233" s="2164"/>
      <c r="BD233" s="2164"/>
      <c r="BE233" s="2164"/>
      <c r="BF233" s="2164"/>
      <c r="BG233" s="7511"/>
    </row>
    <row customHeight="1" ht="11.25">
      <c r="A234" s="1507" t="s">
        <v>990</v>
      </c>
      <c r="B234" s="1507"/>
      <c r="C234" s="1507"/>
      <c r="D234" s="1501"/>
      <c r="E234" s="1511"/>
      <c r="F234" s="2170"/>
      <c r="G234" s="2171"/>
      <c r="H234" s="2856" t="s">
        <v>1146</v>
      </c>
      <c r="I234" s="2857"/>
      <c r="J234" s="2826"/>
      <c r="K234" s="2858"/>
      <c r="L234" s="2448"/>
      <c r="M234" s="2449"/>
      <c r="N234" s="2849"/>
      <c r="O234" s="2850">
        <v>1</v>
      </c>
      <c r="P234" s="2851" t="s">
        <v>65</v>
      </c>
      <c r="Q234" s="7512" t="s">
        <v>1105</v>
      </c>
      <c r="R234" s="7513" t="s">
        <v>1083</v>
      </c>
      <c r="S234" s="7513" t="s">
        <v>1030</v>
      </c>
      <c r="T234" s="7513" t="s">
        <v>1030</v>
      </c>
      <c r="U234" s="7513" t="s">
        <v>1031</v>
      </c>
      <c r="V234" s="7513" t="s">
        <v>1032</v>
      </c>
      <c r="W234" s="7513" t="s">
        <v>1033</v>
      </c>
      <c r="X234" s="7513" t="s">
        <v>1106</v>
      </c>
      <c r="Y234" s="7513" t="s">
        <v>1107</v>
      </c>
      <c r="Z234" s="1516"/>
      <c r="AA234" s="1517"/>
      <c r="AB234" s="1517"/>
      <c r="AC234" s="1521"/>
      <c r="AD234" s="1521"/>
      <c r="AE234" s="1522"/>
      <c r="AF234" s="2847"/>
      <c r="AG234" s="2848"/>
      <c r="AH234" s="2848"/>
      <c r="AI234" s="2847"/>
      <c r="AJ234" s="2848"/>
      <c r="AK234" s="2848"/>
      <c r="AL234" s="2329"/>
      <c r="AM234" s="2164"/>
      <c r="AN234" s="2164"/>
      <c r="AO234" s="2164"/>
      <c r="AP234" s="2164"/>
      <c r="AQ234" s="2164"/>
      <c r="AR234" s="2164"/>
      <c r="AS234" s="2164"/>
      <c r="AT234" s="2164"/>
      <c r="AU234" s="2164"/>
      <c r="AV234" s="2164"/>
      <c r="AW234" s="2164"/>
      <c r="AX234" s="2164"/>
      <c r="AY234" s="2164"/>
      <c r="AZ234" s="2164"/>
      <c r="BA234" s="2164"/>
      <c r="BB234" s="2164"/>
      <c r="BC234" s="2164"/>
      <c r="BD234" s="2164"/>
      <c r="BE234" s="2164"/>
      <c r="BF234" s="2164"/>
      <c r="BG234" s="7511"/>
    </row>
    <row customHeight="1" ht="11.25">
      <c r="A235" s="1507" t="s">
        <v>990</v>
      </c>
      <c r="B235" s="1507"/>
      <c r="C235" s="1507"/>
      <c r="D235" s="1501"/>
      <c r="E235" s="1511"/>
      <c r="F235" s="2170"/>
      <c r="G235" s="2171"/>
      <c r="H235" s="2856" t="s">
        <v>1146</v>
      </c>
      <c r="I235" s="2857"/>
      <c r="J235" s="2826"/>
      <c r="K235" s="2858"/>
      <c r="L235" s="2448"/>
      <c r="M235" s="2449"/>
      <c r="N235" s="2849"/>
      <c r="O235" s="2850"/>
      <c r="P235" s="2852"/>
      <c r="Q235" s="7512"/>
      <c r="R235" s="2854"/>
      <c r="S235" s="2855"/>
      <c r="T235" s="2854"/>
      <c r="U235" s="2854"/>
      <c r="V235" s="2854"/>
      <c r="W235" s="2854"/>
      <c r="X235" s="2854"/>
      <c r="Y235" s="2854"/>
      <c r="Z235" s="2169"/>
      <c r="AA235" s="2135">
        <v>1</v>
      </c>
      <c r="AB235" s="1520" t="s">
        <v>1070</v>
      </c>
      <c r="AC235" s="1510">
        <v>14024.503</v>
      </c>
      <c r="AD235" s="1520" t="str">
        <f>AB235</f>
        <v>  За счет платы за технологическое присоединение</v>
      </c>
      <c r="AE235" s="1510"/>
      <c r="AF235" s="2847"/>
      <c r="AG235" s="2848"/>
      <c r="AH235" s="2848"/>
      <c r="AI235" s="2847"/>
      <c r="AJ235" s="2848"/>
      <c r="AK235" s="2848"/>
      <c r="AL235" s="2329"/>
      <c r="AM235" s="2164"/>
      <c r="AN235" s="2164"/>
      <c r="AO235" s="2164"/>
      <c r="AP235" s="2164"/>
      <c r="AQ235" s="2164"/>
      <c r="AR235" s="2164"/>
      <c r="AS235" s="2164"/>
      <c r="AT235" s="2164"/>
      <c r="AU235" s="2164"/>
      <c r="AV235" s="2164"/>
      <c r="AW235" s="2164"/>
      <c r="AX235" s="2164"/>
      <c r="AY235" s="2164"/>
      <c r="AZ235" s="2164"/>
      <c r="BA235" s="2164"/>
      <c r="BB235" s="2164"/>
      <c r="BC235" s="2164"/>
      <c r="BD235" s="2164"/>
      <c r="BE235" s="2164"/>
      <c r="BF235" s="2164"/>
      <c r="BG235" s="7511"/>
    </row>
    <row customHeight="1" ht="11.25">
      <c r="A236" s="1507" t="s">
        <v>990</v>
      </c>
      <c r="B236" s="1507"/>
      <c r="C236" s="1507"/>
      <c r="D236" s="1501"/>
      <c r="E236" s="1511"/>
      <c r="F236" s="2171"/>
      <c r="G236" s="2171"/>
      <c r="H236" s="2171"/>
      <c r="I236" s="2171"/>
      <c r="J236" s="2171"/>
      <c r="K236" s="2171"/>
      <c r="L236" s="2171"/>
      <c r="M236" s="2171"/>
      <c r="N236" s="2171"/>
      <c r="O236" s="2171"/>
      <c r="P236" s="2171"/>
      <c r="Q236" s="2171"/>
      <c r="R236" s="2171"/>
      <c r="S236" s="2171"/>
      <c r="T236" s="2171"/>
      <c r="U236" s="2171"/>
      <c r="V236" s="2171"/>
      <c r="W236" s="2171"/>
      <c r="X236" s="2171"/>
      <c r="Y236" s="2171"/>
      <c r="Z236" s="7510" t="s">
        <v>684</v>
      </c>
      <c r="AA236" s="2155" t="s">
        <v>107</v>
      </c>
      <c r="AB236" s="1520" t="s">
        <v>1036</v>
      </c>
      <c r="AC236" s="1510">
        <v>2804.9006</v>
      </c>
      <c r="AD236" s="1520" t="str">
        <f>AB236</f>
        <v>  Прочие собственные средства</v>
      </c>
      <c r="AE236" s="1510"/>
      <c r="AF236" s="2172"/>
      <c r="AG236" s="2100"/>
      <c r="AH236" s="2100"/>
      <c r="AI236" s="2172"/>
      <c r="AJ236" s="2100"/>
      <c r="AK236" s="2328"/>
      <c r="AL236" s="2329"/>
      <c r="AM236" s="2164"/>
      <c r="AN236" s="2164"/>
      <c r="AO236" s="2164"/>
      <c r="AP236" s="2164"/>
      <c r="AQ236" s="2164"/>
      <c r="AR236" s="2164"/>
      <c r="AS236" s="2164"/>
      <c r="AT236" s="2164"/>
      <c r="AU236" s="2164"/>
      <c r="AV236" s="2164"/>
      <c r="AW236" s="2164"/>
      <c r="AX236" s="2164"/>
      <c r="AY236" s="2164"/>
      <c r="AZ236" s="2164"/>
      <c r="BA236" s="2164"/>
      <c r="BB236" s="2164"/>
      <c r="BC236" s="2164"/>
      <c r="BD236" s="2164"/>
      <c r="BE236" s="2164"/>
      <c r="BF236" s="2164"/>
      <c r="BG236" s="7511"/>
    </row>
    <row customHeight="1" ht="11.25">
      <c r="A237" s="1507" t="s">
        <v>990</v>
      </c>
      <c r="B237" s="1507"/>
      <c r="C237" s="1507"/>
      <c r="D237" s="1501"/>
      <c r="E237" s="1511"/>
      <c r="F237" s="2170"/>
      <c r="G237" s="2171"/>
      <c r="H237" s="2856" t="s">
        <v>1146</v>
      </c>
      <c r="I237" s="2857"/>
      <c r="J237" s="2826"/>
      <c r="K237" s="2858"/>
      <c r="L237" s="2448"/>
      <c r="M237" s="2449"/>
      <c r="N237" s="2849"/>
      <c r="O237" s="2850"/>
      <c r="P237" s="2853"/>
      <c r="Q237" s="7512"/>
      <c r="R237" s="2854"/>
      <c r="S237" s="2855"/>
      <c r="T237" s="2854"/>
      <c r="U237" s="2854"/>
      <c r="V237" s="2854"/>
      <c r="W237" s="2854"/>
      <c r="X237" s="2854"/>
      <c r="Y237" s="2854"/>
      <c r="Z237" s="1516"/>
      <c r="AA237" s="1517"/>
      <c r="AB237" s="1582" t="s">
        <v>1037</v>
      </c>
      <c r="AC237" s="1521"/>
      <c r="AD237" s="1521"/>
      <c r="AE237" s="1523"/>
      <c r="AF237" s="2847"/>
      <c r="AG237" s="2848"/>
      <c r="AH237" s="2848"/>
      <c r="AI237" s="2847"/>
      <c r="AJ237" s="2848"/>
      <c r="AK237" s="2848"/>
      <c r="AL237" s="2329"/>
      <c r="AM237" s="2164"/>
      <c r="AN237" s="2164"/>
      <c r="AO237" s="2164"/>
      <c r="AP237" s="2164"/>
      <c r="AQ237" s="2164"/>
      <c r="AR237" s="2164"/>
      <c r="AS237" s="2164"/>
      <c r="AT237" s="2164"/>
      <c r="AU237" s="2164"/>
      <c r="AV237" s="2164"/>
      <c r="AW237" s="2164"/>
      <c r="AX237" s="2164"/>
      <c r="AY237" s="2164"/>
      <c r="AZ237" s="2164"/>
      <c r="BA237" s="2164"/>
      <c r="BB237" s="2164"/>
      <c r="BC237" s="2164"/>
      <c r="BD237" s="2164"/>
      <c r="BE237" s="2164"/>
      <c r="BF237" s="2164"/>
      <c r="BG237" s="7511"/>
    </row>
    <row customHeight="1" ht="11.25">
      <c r="A238" s="1507" t="s">
        <v>990</v>
      </c>
      <c r="B238" s="1507"/>
      <c r="C238" s="1507"/>
      <c r="D238" s="1501"/>
      <c r="E238" s="1511"/>
      <c r="F238" s="2170"/>
      <c r="G238" s="2171"/>
      <c r="H238" s="2856" t="s">
        <v>1146</v>
      </c>
      <c r="I238" s="2857"/>
      <c r="J238" s="2826"/>
      <c r="K238" s="2858"/>
      <c r="L238" s="2448"/>
      <c r="M238" s="2449"/>
      <c r="N238" s="1516"/>
      <c r="O238" s="1517"/>
      <c r="P238" s="1509" t="s">
        <v>1038</v>
      </c>
      <c r="Q238" s="1517"/>
      <c r="R238" s="1517"/>
      <c r="S238" s="1517"/>
      <c r="T238" s="1517"/>
      <c r="U238" s="1517"/>
      <c r="V238" s="1517"/>
      <c r="W238" s="1517"/>
      <c r="X238" s="1517"/>
      <c r="Y238" s="1517"/>
      <c r="Z238" s="1517"/>
      <c r="AA238" s="1517"/>
      <c r="AB238" s="1517"/>
      <c r="AC238" s="1517"/>
      <c r="AD238" s="1517"/>
      <c r="AE238" s="1524"/>
      <c r="AF238" s="2847"/>
      <c r="AG238" s="2848"/>
      <c r="AH238" s="2848"/>
      <c r="AI238" s="2847"/>
      <c r="AJ238" s="2848"/>
      <c r="AK238" s="2848"/>
      <c r="AL238" s="2329"/>
      <c r="AM238" s="2164"/>
      <c r="AN238" s="2164"/>
      <c r="AO238" s="2164"/>
      <c r="AP238" s="2164"/>
      <c r="AQ238" s="2164"/>
      <c r="AR238" s="2164"/>
      <c r="AS238" s="2164"/>
      <c r="AT238" s="2164"/>
      <c r="AU238" s="2164"/>
      <c r="AV238" s="2164"/>
      <c r="AW238" s="2164"/>
      <c r="AX238" s="2164"/>
      <c r="AY238" s="2164"/>
      <c r="AZ238" s="2164"/>
      <c r="BA238" s="2164"/>
      <c r="BB238" s="2164"/>
      <c r="BC238" s="2164"/>
      <c r="BD238" s="2164"/>
      <c r="BE238" s="2164"/>
      <c r="BF238" s="2164"/>
      <c r="BG238" s="7511"/>
    </row>
    <row customHeight="1" ht="11.25">
      <c r="A239" s="1507" t="s">
        <v>990</v>
      </c>
      <c r="B239" s="1507" t="s">
        <v>1022</v>
      </c>
      <c r="C239" s="1507"/>
      <c r="D239" s="1501"/>
      <c r="E239" s="1511"/>
      <c r="F239" s="2170"/>
      <c r="G239" s="7510" t="s">
        <v>684</v>
      </c>
      <c r="H239" s="2856" t="s">
        <v>1151</v>
      </c>
      <c r="I239" s="2857" t="s">
        <v>1023</v>
      </c>
      <c r="J239" s="2826" t="s">
        <v>1071</v>
      </c>
      <c r="K239" s="2858" t="s">
        <v>1152</v>
      </c>
      <c r="L239" s="2448" t="s">
        <v>19</v>
      </c>
      <c r="M239" s="2449"/>
      <c r="N239" s="2327"/>
      <c r="O239" s="1518" t="s">
        <v>371</v>
      </c>
      <c r="P239" s="1519"/>
      <c r="Q239" s="1519"/>
      <c r="R239" s="1519"/>
      <c r="S239" s="1519"/>
      <c r="T239" s="1519"/>
      <c r="U239" s="1519"/>
      <c r="V239" s="1519"/>
      <c r="W239" s="1519"/>
      <c r="X239" s="1519"/>
      <c r="Y239" s="1519"/>
      <c r="Z239" s="1519"/>
      <c r="AA239" s="1519"/>
      <c r="AB239" s="1519"/>
      <c r="AC239" s="1519"/>
      <c r="AD239" s="1519"/>
      <c r="AE239" s="1519"/>
      <c r="AF239" s="2847">
        <v>6</v>
      </c>
      <c r="AG239" s="2848" t="s">
        <v>1067</v>
      </c>
      <c r="AH239" s="2848" t="s">
        <v>1104</v>
      </c>
      <c r="AI239" s="2847"/>
      <c r="AJ239" s="2848"/>
      <c r="AK239" s="2848"/>
      <c r="AL239" s="2329"/>
      <c r="AM239" s="2164"/>
      <c r="AN239" s="2164"/>
      <c r="AO239" s="2164"/>
      <c r="AP239" s="2164"/>
      <c r="AQ239" s="2164"/>
      <c r="AR239" s="2164"/>
      <c r="AS239" s="2164"/>
      <c r="AT239" s="2164"/>
      <c r="AU239" s="2164"/>
      <c r="AV239" s="2164"/>
      <c r="AW239" s="2164"/>
      <c r="AX239" s="2164"/>
      <c r="AY239" s="2164"/>
      <c r="AZ239" s="2164"/>
      <c r="BA239" s="2164"/>
      <c r="BB239" s="2164"/>
      <c r="BC239" s="2164"/>
      <c r="BD239" s="2164"/>
      <c r="BE239" s="2164"/>
      <c r="BF239" s="2164"/>
      <c r="BG239" s="7511"/>
    </row>
    <row customHeight="1" ht="11.25">
      <c r="A240" s="1507" t="s">
        <v>990</v>
      </c>
      <c r="B240" s="1507"/>
      <c r="C240" s="1507"/>
      <c r="D240" s="1501"/>
      <c r="E240" s="1511"/>
      <c r="F240" s="2170"/>
      <c r="G240" s="2171"/>
      <c r="H240" s="2856" t="s">
        <v>1149</v>
      </c>
      <c r="I240" s="2857"/>
      <c r="J240" s="2826"/>
      <c r="K240" s="2858"/>
      <c r="L240" s="2448"/>
      <c r="M240" s="2449"/>
      <c r="N240" s="2849"/>
      <c r="O240" s="2850">
        <v>1</v>
      </c>
      <c r="P240" s="2851" t="s">
        <v>65</v>
      </c>
      <c r="Q240" s="7512" t="s">
        <v>1153</v>
      </c>
      <c r="R240" s="7513" t="s">
        <v>1083</v>
      </c>
      <c r="S240" s="7513" t="s">
        <v>1154</v>
      </c>
      <c r="T240" s="7513" t="s">
        <v>1154</v>
      </c>
      <c r="U240" s="7513" t="s">
        <v>1155</v>
      </c>
      <c r="V240" s="7513" t="s">
        <v>1156</v>
      </c>
      <c r="W240" s="7513" t="s">
        <v>1157</v>
      </c>
      <c r="X240" s="7513" t="s">
        <v>1158</v>
      </c>
      <c r="Y240" s="7513" t="s">
        <v>92</v>
      </c>
      <c r="Z240" s="1516"/>
      <c r="AA240" s="1517"/>
      <c r="AB240" s="1517"/>
      <c r="AC240" s="1521"/>
      <c r="AD240" s="1521"/>
      <c r="AE240" s="1522"/>
      <c r="AF240" s="2847"/>
      <c r="AG240" s="2848"/>
      <c r="AH240" s="2848"/>
      <c r="AI240" s="2847"/>
      <c r="AJ240" s="2848"/>
      <c r="AK240" s="2848"/>
      <c r="AL240" s="2329"/>
      <c r="AM240" s="2164"/>
      <c r="AN240" s="2164"/>
      <c r="AO240" s="2164"/>
      <c r="AP240" s="2164"/>
      <c r="AQ240" s="2164"/>
      <c r="AR240" s="2164"/>
      <c r="AS240" s="2164"/>
      <c r="AT240" s="2164"/>
      <c r="AU240" s="2164"/>
      <c r="AV240" s="2164"/>
      <c r="AW240" s="2164"/>
      <c r="AX240" s="2164"/>
      <c r="AY240" s="2164"/>
      <c r="AZ240" s="2164"/>
      <c r="BA240" s="2164"/>
      <c r="BB240" s="2164"/>
      <c r="BC240" s="2164"/>
      <c r="BD240" s="2164"/>
      <c r="BE240" s="2164"/>
      <c r="BF240" s="2164"/>
      <c r="BG240" s="7511"/>
    </row>
    <row customHeight="1" ht="11.25">
      <c r="A241" s="1507" t="s">
        <v>990</v>
      </c>
      <c r="B241" s="1507"/>
      <c r="C241" s="1507"/>
      <c r="D241" s="1501"/>
      <c r="E241" s="1511"/>
      <c r="F241" s="2170"/>
      <c r="G241" s="2171"/>
      <c r="H241" s="2856" t="s">
        <v>1149</v>
      </c>
      <c r="I241" s="2857"/>
      <c r="J241" s="2826"/>
      <c r="K241" s="2858"/>
      <c r="L241" s="2448"/>
      <c r="M241" s="2449"/>
      <c r="N241" s="2849"/>
      <c r="O241" s="2850"/>
      <c r="P241" s="2852"/>
      <c r="Q241" s="7512"/>
      <c r="R241" s="2854"/>
      <c r="S241" s="2855"/>
      <c r="T241" s="2854"/>
      <c r="U241" s="2854"/>
      <c r="V241" s="2854"/>
      <c r="W241" s="2854"/>
      <c r="X241" s="2854"/>
      <c r="Y241" s="2854"/>
      <c r="Z241" s="2169"/>
      <c r="AA241" s="2135">
        <v>1</v>
      </c>
      <c r="AB241" s="1520" t="s">
        <v>1035</v>
      </c>
      <c r="AC241" s="1510">
        <v>107185.74388</v>
      </c>
      <c r="AD241" s="1520" t="str">
        <f>AB241</f>
        <v>      Амортизационные отчисления с выделением результатов переоценки основных средств и нематериальных активов</v>
      </c>
      <c r="AE241" s="1510"/>
      <c r="AF241" s="2847"/>
      <c r="AG241" s="2848"/>
      <c r="AH241" s="2848"/>
      <c r="AI241" s="2847"/>
      <c r="AJ241" s="2848"/>
      <c r="AK241" s="2848"/>
      <c r="AL241" s="2329"/>
      <c r="AM241" s="2164"/>
      <c r="AN241" s="2164"/>
      <c r="AO241" s="2164"/>
      <c r="AP241" s="2164"/>
      <c r="AQ241" s="2164"/>
      <c r="AR241" s="2164"/>
      <c r="AS241" s="2164"/>
      <c r="AT241" s="2164"/>
      <c r="AU241" s="2164"/>
      <c r="AV241" s="2164"/>
      <c r="AW241" s="2164"/>
      <c r="AX241" s="2164"/>
      <c r="AY241" s="2164"/>
      <c r="AZ241" s="2164"/>
      <c r="BA241" s="2164"/>
      <c r="BB241" s="2164"/>
      <c r="BC241" s="2164"/>
      <c r="BD241" s="2164"/>
      <c r="BE241" s="2164"/>
      <c r="BF241" s="2164"/>
      <c r="BG241" s="7511"/>
    </row>
    <row customHeight="1" ht="11.25">
      <c r="A242" s="1507" t="s">
        <v>990</v>
      </c>
      <c r="B242" s="1507"/>
      <c r="C242" s="1507"/>
      <c r="D242" s="1501"/>
      <c r="E242" s="1511"/>
      <c r="F242" s="2171"/>
      <c r="G242" s="2171"/>
      <c r="H242" s="2171"/>
      <c r="I242" s="2171"/>
      <c r="J242" s="2171"/>
      <c r="K242" s="2171"/>
      <c r="L242" s="2171"/>
      <c r="M242" s="2171"/>
      <c r="N242" s="2171"/>
      <c r="O242" s="2171"/>
      <c r="P242" s="2171"/>
      <c r="Q242" s="2171"/>
      <c r="R242" s="2171"/>
      <c r="S242" s="2171"/>
      <c r="T242" s="2171"/>
      <c r="U242" s="2171"/>
      <c r="V242" s="2171"/>
      <c r="W242" s="2171"/>
      <c r="X242" s="2171"/>
      <c r="Y242" s="2171"/>
      <c r="Z242" s="7510" t="s">
        <v>684</v>
      </c>
      <c r="AA242" s="2155" t="s">
        <v>107</v>
      </c>
      <c r="AB242" s="1520" t="s">
        <v>1036</v>
      </c>
      <c r="AC242" s="1510">
        <v>20407.78758</v>
      </c>
      <c r="AD242" s="1520" t="str">
        <f>AB242</f>
        <v>  Прочие собственные средства</v>
      </c>
      <c r="AE242" s="1510"/>
      <c r="AF242" s="2172"/>
      <c r="AG242" s="2100"/>
      <c r="AH242" s="2100"/>
      <c r="AI242" s="2172"/>
      <c r="AJ242" s="2100"/>
      <c r="AK242" s="2328"/>
      <c r="AL242" s="2329"/>
      <c r="AM242" s="2164"/>
      <c r="AN242" s="2164"/>
      <c r="AO242" s="2164"/>
      <c r="AP242" s="2164"/>
      <c r="AQ242" s="2164"/>
      <c r="AR242" s="2164"/>
      <c r="AS242" s="2164"/>
      <c r="AT242" s="2164"/>
      <c r="AU242" s="2164"/>
      <c r="AV242" s="2164"/>
      <c r="AW242" s="2164"/>
      <c r="AX242" s="2164"/>
      <c r="AY242" s="2164"/>
      <c r="AZ242" s="2164"/>
      <c r="BA242" s="2164"/>
      <c r="BB242" s="2164"/>
      <c r="BC242" s="2164"/>
      <c r="BD242" s="2164"/>
      <c r="BE242" s="2164"/>
      <c r="BF242" s="2164"/>
      <c r="BG242" s="7511"/>
    </row>
    <row customHeight="1" ht="11.25">
      <c r="A243" s="1507" t="s">
        <v>990</v>
      </c>
      <c r="B243" s="1507"/>
      <c r="C243" s="1507"/>
      <c r="D243" s="1501"/>
      <c r="E243" s="1511"/>
      <c r="F243" s="2170"/>
      <c r="G243" s="2171"/>
      <c r="H243" s="2856" t="s">
        <v>1149</v>
      </c>
      <c r="I243" s="2857"/>
      <c r="J243" s="2826"/>
      <c r="K243" s="2858"/>
      <c r="L243" s="2448"/>
      <c r="M243" s="2449"/>
      <c r="N243" s="2849"/>
      <c r="O243" s="2850"/>
      <c r="P243" s="2853"/>
      <c r="Q243" s="7512"/>
      <c r="R243" s="2854"/>
      <c r="S243" s="2855"/>
      <c r="T243" s="2854"/>
      <c r="U243" s="2854"/>
      <c r="V243" s="2854"/>
      <c r="W243" s="2854"/>
      <c r="X243" s="2854"/>
      <c r="Y243" s="2854"/>
      <c r="Z243" s="1516"/>
      <c r="AA243" s="1517"/>
      <c r="AB243" s="1582" t="s">
        <v>1037</v>
      </c>
      <c r="AC243" s="1521"/>
      <c r="AD243" s="1521"/>
      <c r="AE243" s="1523"/>
      <c r="AF243" s="2847"/>
      <c r="AG243" s="2848"/>
      <c r="AH243" s="2848"/>
      <c r="AI243" s="2847"/>
      <c r="AJ243" s="2848"/>
      <c r="AK243" s="2848"/>
      <c r="AL243" s="2329"/>
      <c r="AM243" s="2164"/>
      <c r="AN243" s="2164"/>
      <c r="AO243" s="2164"/>
      <c r="AP243" s="2164"/>
      <c r="AQ243" s="2164"/>
      <c r="AR243" s="2164"/>
      <c r="AS243" s="2164"/>
      <c r="AT243" s="2164"/>
      <c r="AU243" s="2164"/>
      <c r="AV243" s="2164"/>
      <c r="AW243" s="2164"/>
      <c r="AX243" s="2164"/>
      <c r="AY243" s="2164"/>
      <c r="AZ243" s="2164"/>
      <c r="BA243" s="2164"/>
      <c r="BB243" s="2164"/>
      <c r="BC243" s="2164"/>
      <c r="BD243" s="2164"/>
      <c r="BE243" s="2164"/>
      <c r="BF243" s="2164"/>
      <c r="BG243" s="7511"/>
    </row>
    <row customHeight="1" ht="11.25">
      <c r="A244" s="1507" t="s">
        <v>990</v>
      </c>
      <c r="B244" s="1507"/>
      <c r="C244" s="1507"/>
      <c r="D244" s="1501"/>
      <c r="E244" s="1511"/>
      <c r="F244" s="2170"/>
      <c r="G244" s="2171"/>
      <c r="H244" s="2856" t="s">
        <v>1149</v>
      </c>
      <c r="I244" s="2857"/>
      <c r="J244" s="2826"/>
      <c r="K244" s="2858"/>
      <c r="L244" s="2448"/>
      <c r="M244" s="2449"/>
      <c r="N244" s="1516"/>
      <c r="O244" s="1517"/>
      <c r="P244" s="1509" t="s">
        <v>1038</v>
      </c>
      <c r="Q244" s="1517"/>
      <c r="R244" s="1517"/>
      <c r="S244" s="1517"/>
      <c r="T244" s="1517"/>
      <c r="U244" s="1517"/>
      <c r="V244" s="1517"/>
      <c r="W244" s="1517"/>
      <c r="X244" s="1517"/>
      <c r="Y244" s="1517"/>
      <c r="Z244" s="1517"/>
      <c r="AA244" s="1517"/>
      <c r="AB244" s="1517"/>
      <c r="AC244" s="1517"/>
      <c r="AD244" s="1517"/>
      <c r="AE244" s="1524"/>
      <c r="AF244" s="2847"/>
      <c r="AG244" s="2848"/>
      <c r="AH244" s="2848"/>
      <c r="AI244" s="2847"/>
      <c r="AJ244" s="2848"/>
      <c r="AK244" s="2848"/>
      <c r="AL244" s="2329"/>
      <c r="AM244" s="2164"/>
      <c r="AN244" s="2164"/>
      <c r="AO244" s="2164"/>
      <c r="AP244" s="2164"/>
      <c r="AQ244" s="2164"/>
      <c r="AR244" s="2164"/>
      <c r="AS244" s="2164"/>
      <c r="AT244" s="2164"/>
      <c r="AU244" s="2164"/>
      <c r="AV244" s="2164"/>
      <c r="AW244" s="2164"/>
      <c r="AX244" s="2164"/>
      <c r="AY244" s="2164"/>
      <c r="AZ244" s="2164"/>
      <c r="BA244" s="2164"/>
      <c r="BB244" s="2164"/>
      <c r="BC244" s="2164"/>
      <c r="BD244" s="2164"/>
      <c r="BE244" s="2164"/>
      <c r="BF244" s="2164"/>
      <c r="BG244" s="7511"/>
    </row>
    <row customHeight="1" ht="11.25">
      <c r="A245" s="1507" t="s">
        <v>990</v>
      </c>
      <c r="B245" s="1507" t="s">
        <v>1022</v>
      </c>
      <c r="C245" s="1507"/>
      <c r="D245" s="1501"/>
      <c r="E245" s="1511"/>
      <c r="F245" s="2170"/>
      <c r="G245" s="7510" t="s">
        <v>684</v>
      </c>
      <c r="H245" s="2856" t="s">
        <v>1159</v>
      </c>
      <c r="I245" s="2857" t="s">
        <v>1023</v>
      </c>
      <c r="J245" s="2826" t="s">
        <v>1071</v>
      </c>
      <c r="K245" s="2858" t="s">
        <v>1160</v>
      </c>
      <c r="L245" s="2448" t="s">
        <v>19</v>
      </c>
      <c r="M245" s="2449"/>
      <c r="N245" s="2327"/>
      <c r="O245" s="1518" t="s">
        <v>371</v>
      </c>
      <c r="P245" s="1519"/>
      <c r="Q245" s="1519"/>
      <c r="R245" s="1519"/>
      <c r="S245" s="1519"/>
      <c r="T245" s="1519"/>
      <c r="U245" s="1519"/>
      <c r="V245" s="1519"/>
      <c r="W245" s="1519"/>
      <c r="X245" s="1519"/>
      <c r="Y245" s="1519"/>
      <c r="Z245" s="1519"/>
      <c r="AA245" s="1519"/>
      <c r="AB245" s="1519"/>
      <c r="AC245" s="1519"/>
      <c r="AD245" s="1519"/>
      <c r="AE245" s="1519"/>
      <c r="AF245" s="2847">
        <v>6</v>
      </c>
      <c r="AG245" s="2848" t="s">
        <v>1067</v>
      </c>
      <c r="AH245" s="2848" t="s">
        <v>1104</v>
      </c>
      <c r="AI245" s="2847"/>
      <c r="AJ245" s="2848"/>
      <c r="AK245" s="2848"/>
      <c r="AL245" s="2329"/>
      <c r="AM245" s="2164"/>
      <c r="AN245" s="2164"/>
      <c r="AO245" s="2164"/>
      <c r="AP245" s="2164"/>
      <c r="AQ245" s="2164"/>
      <c r="AR245" s="2164"/>
      <c r="AS245" s="2164"/>
      <c r="AT245" s="2164"/>
      <c r="AU245" s="2164"/>
      <c r="AV245" s="2164"/>
      <c r="AW245" s="2164"/>
      <c r="AX245" s="2164"/>
      <c r="AY245" s="2164"/>
      <c r="AZ245" s="2164"/>
      <c r="BA245" s="2164"/>
      <c r="BB245" s="2164"/>
      <c r="BC245" s="2164"/>
      <c r="BD245" s="2164"/>
      <c r="BE245" s="2164"/>
      <c r="BF245" s="2164"/>
      <c r="BG245" s="7511"/>
    </row>
    <row customHeight="1" ht="11.25">
      <c r="A246" s="1507" t="s">
        <v>990</v>
      </c>
      <c r="B246" s="1507"/>
      <c r="C246" s="1507"/>
      <c r="D246" s="1501"/>
      <c r="E246" s="1511"/>
      <c r="F246" s="2170"/>
      <c r="G246" s="2171"/>
      <c r="H246" s="2856" t="s">
        <v>1151</v>
      </c>
      <c r="I246" s="2857"/>
      <c r="J246" s="2826"/>
      <c r="K246" s="2858"/>
      <c r="L246" s="2448"/>
      <c r="M246" s="2449"/>
      <c r="N246" s="2849"/>
      <c r="O246" s="2850">
        <v>1</v>
      </c>
      <c r="P246" s="2851" t="s">
        <v>65</v>
      </c>
      <c r="Q246" s="7512" t="s">
        <v>1161</v>
      </c>
      <c r="R246" s="7513" t="s">
        <v>1083</v>
      </c>
      <c r="S246" s="7513" t="s">
        <v>1162</v>
      </c>
      <c r="T246" s="7513" t="s">
        <v>1163</v>
      </c>
      <c r="U246" s="7513" t="s">
        <v>1164</v>
      </c>
      <c r="V246" s="7513" t="s">
        <v>1165</v>
      </c>
      <c r="W246" s="7513" t="s">
        <v>1166</v>
      </c>
      <c r="X246" s="7513" t="s">
        <v>1167</v>
      </c>
      <c r="Y246" s="7513" t="s">
        <v>1168</v>
      </c>
      <c r="Z246" s="1516"/>
      <c r="AA246" s="1517"/>
      <c r="AB246" s="1517"/>
      <c r="AC246" s="1521"/>
      <c r="AD246" s="1521"/>
      <c r="AE246" s="1522"/>
      <c r="AF246" s="2847"/>
      <c r="AG246" s="2848"/>
      <c r="AH246" s="2848"/>
      <c r="AI246" s="2847"/>
      <c r="AJ246" s="2848"/>
      <c r="AK246" s="2848"/>
      <c r="AL246" s="2329"/>
      <c r="AM246" s="2164"/>
      <c r="AN246" s="2164"/>
      <c r="AO246" s="2164"/>
      <c r="AP246" s="2164"/>
      <c r="AQ246" s="2164"/>
      <c r="AR246" s="2164"/>
      <c r="AS246" s="2164"/>
      <c r="AT246" s="2164"/>
      <c r="AU246" s="2164"/>
      <c r="AV246" s="2164"/>
      <c r="AW246" s="2164"/>
      <c r="AX246" s="2164"/>
      <c r="AY246" s="2164"/>
      <c r="AZ246" s="2164"/>
      <c r="BA246" s="2164"/>
      <c r="BB246" s="2164"/>
      <c r="BC246" s="2164"/>
      <c r="BD246" s="2164"/>
      <c r="BE246" s="2164"/>
      <c r="BF246" s="2164"/>
      <c r="BG246" s="7511"/>
    </row>
    <row customHeight="1" ht="11.25">
      <c r="A247" s="1507" t="s">
        <v>990</v>
      </c>
      <c r="B247" s="1507"/>
      <c r="C247" s="1507"/>
      <c r="D247" s="1501"/>
      <c r="E247" s="1511"/>
      <c r="F247" s="2170"/>
      <c r="G247" s="2171"/>
      <c r="H247" s="2856" t="s">
        <v>1151</v>
      </c>
      <c r="I247" s="2857"/>
      <c r="J247" s="2826"/>
      <c r="K247" s="2858"/>
      <c r="L247" s="2448"/>
      <c r="M247" s="2449"/>
      <c r="N247" s="2849"/>
      <c r="O247" s="2850"/>
      <c r="P247" s="2852"/>
      <c r="Q247" s="7512"/>
      <c r="R247" s="2854"/>
      <c r="S247" s="2855"/>
      <c r="T247" s="2854"/>
      <c r="U247" s="2854"/>
      <c r="V247" s="2854"/>
      <c r="W247" s="2854"/>
      <c r="X247" s="2854"/>
      <c r="Y247" s="2854"/>
      <c r="Z247" s="2169"/>
      <c r="AA247" s="2135">
        <v>1</v>
      </c>
      <c r="AB247" s="1520" t="s">
        <v>1035</v>
      </c>
      <c r="AC247" s="1510">
        <v>25070.46292</v>
      </c>
      <c r="AD247" s="1520" t="str">
        <f>AB247</f>
        <v>      Амортизационные отчисления с выделением результатов переоценки основных средств и нематериальных активов</v>
      </c>
      <c r="AE247" s="1510"/>
      <c r="AF247" s="2847"/>
      <c r="AG247" s="2848"/>
      <c r="AH247" s="2848"/>
      <c r="AI247" s="2847"/>
      <c r="AJ247" s="2848"/>
      <c r="AK247" s="2848"/>
      <c r="AL247" s="2329"/>
      <c r="AM247" s="2164"/>
      <c r="AN247" s="2164"/>
      <c r="AO247" s="2164"/>
      <c r="AP247" s="2164"/>
      <c r="AQ247" s="2164"/>
      <c r="AR247" s="2164"/>
      <c r="AS247" s="2164"/>
      <c r="AT247" s="2164"/>
      <c r="AU247" s="2164"/>
      <c r="AV247" s="2164"/>
      <c r="AW247" s="2164"/>
      <c r="AX247" s="2164"/>
      <c r="AY247" s="2164"/>
      <c r="AZ247" s="2164"/>
      <c r="BA247" s="2164"/>
      <c r="BB247" s="2164"/>
      <c r="BC247" s="2164"/>
      <c r="BD247" s="2164"/>
      <c r="BE247" s="2164"/>
      <c r="BF247" s="2164"/>
      <c r="BG247" s="7511"/>
    </row>
    <row customHeight="1" ht="11.25">
      <c r="A248" s="1507" t="s">
        <v>990</v>
      </c>
      <c r="B248" s="1507"/>
      <c r="C248" s="1507"/>
      <c r="D248" s="1501"/>
      <c r="E248" s="1511"/>
      <c r="F248" s="2171"/>
      <c r="G248" s="2171"/>
      <c r="H248" s="2171"/>
      <c r="I248" s="2171"/>
      <c r="J248" s="2171"/>
      <c r="K248" s="2171"/>
      <c r="L248" s="2171"/>
      <c r="M248" s="2171"/>
      <c r="N248" s="2171"/>
      <c r="O248" s="2171"/>
      <c r="P248" s="2171"/>
      <c r="Q248" s="2171"/>
      <c r="R248" s="2171"/>
      <c r="S248" s="2171"/>
      <c r="T248" s="2171"/>
      <c r="U248" s="2171"/>
      <c r="V248" s="2171"/>
      <c r="W248" s="2171"/>
      <c r="X248" s="2171"/>
      <c r="Y248" s="2171"/>
      <c r="Z248" s="7510" t="s">
        <v>684</v>
      </c>
      <c r="AA248" s="2155" t="s">
        <v>107</v>
      </c>
      <c r="AB248" s="1520" t="s">
        <v>1036</v>
      </c>
      <c r="AC248" s="1510">
        <v>4690.16775</v>
      </c>
      <c r="AD248" s="1520" t="str">
        <f>AB248</f>
        <v>  Прочие собственные средства</v>
      </c>
      <c r="AE248" s="1510"/>
      <c r="AF248" s="2172"/>
      <c r="AG248" s="2100"/>
      <c r="AH248" s="2100"/>
      <c r="AI248" s="2172"/>
      <c r="AJ248" s="2100"/>
      <c r="AK248" s="2328"/>
      <c r="AL248" s="2329"/>
      <c r="AM248" s="2164"/>
      <c r="AN248" s="2164"/>
      <c r="AO248" s="2164"/>
      <c r="AP248" s="2164"/>
      <c r="AQ248" s="2164"/>
      <c r="AR248" s="2164"/>
      <c r="AS248" s="2164"/>
      <c r="AT248" s="2164"/>
      <c r="AU248" s="2164"/>
      <c r="AV248" s="2164"/>
      <c r="AW248" s="2164"/>
      <c r="AX248" s="2164"/>
      <c r="AY248" s="2164"/>
      <c r="AZ248" s="2164"/>
      <c r="BA248" s="2164"/>
      <c r="BB248" s="2164"/>
      <c r="BC248" s="2164"/>
      <c r="BD248" s="2164"/>
      <c r="BE248" s="2164"/>
      <c r="BF248" s="2164"/>
      <c r="BG248" s="7511"/>
    </row>
    <row customHeight="1" ht="11.25">
      <c r="A249" s="1507" t="s">
        <v>990</v>
      </c>
      <c r="B249" s="1507"/>
      <c r="C249" s="1507"/>
      <c r="D249" s="1501"/>
      <c r="E249" s="1511"/>
      <c r="F249" s="2170"/>
      <c r="G249" s="2171"/>
      <c r="H249" s="2856" t="s">
        <v>1151</v>
      </c>
      <c r="I249" s="2857"/>
      <c r="J249" s="2826"/>
      <c r="K249" s="2858"/>
      <c r="L249" s="2448"/>
      <c r="M249" s="2449"/>
      <c r="N249" s="2849"/>
      <c r="O249" s="2850"/>
      <c r="P249" s="2853"/>
      <c r="Q249" s="7512"/>
      <c r="R249" s="2854"/>
      <c r="S249" s="2855"/>
      <c r="T249" s="2854"/>
      <c r="U249" s="2854"/>
      <c r="V249" s="2854"/>
      <c r="W249" s="2854"/>
      <c r="X249" s="2854"/>
      <c r="Y249" s="2854"/>
      <c r="Z249" s="1516"/>
      <c r="AA249" s="1517"/>
      <c r="AB249" s="1582" t="s">
        <v>1037</v>
      </c>
      <c r="AC249" s="1521"/>
      <c r="AD249" s="1521"/>
      <c r="AE249" s="1523"/>
      <c r="AF249" s="2847"/>
      <c r="AG249" s="2848"/>
      <c r="AH249" s="2848"/>
      <c r="AI249" s="2847"/>
      <c r="AJ249" s="2848"/>
      <c r="AK249" s="2848"/>
      <c r="AL249" s="2329"/>
      <c r="AM249" s="2164"/>
      <c r="AN249" s="2164"/>
      <c r="AO249" s="2164"/>
      <c r="AP249" s="2164"/>
      <c r="AQ249" s="2164"/>
      <c r="AR249" s="2164"/>
      <c r="AS249" s="2164"/>
      <c r="AT249" s="2164"/>
      <c r="AU249" s="2164"/>
      <c r="AV249" s="2164"/>
      <c r="AW249" s="2164"/>
      <c r="AX249" s="2164"/>
      <c r="AY249" s="2164"/>
      <c r="AZ249" s="2164"/>
      <c r="BA249" s="2164"/>
      <c r="BB249" s="2164"/>
      <c r="BC249" s="2164"/>
      <c r="BD249" s="2164"/>
      <c r="BE249" s="2164"/>
      <c r="BF249" s="2164"/>
      <c r="BG249" s="7511"/>
    </row>
    <row customHeight="1" ht="11.25">
      <c r="A250" s="1507" t="s">
        <v>990</v>
      </c>
      <c r="B250" s="1507"/>
      <c r="C250" s="1507"/>
      <c r="D250" s="1501"/>
      <c r="E250" s="1511"/>
      <c r="F250" s="2170"/>
      <c r="G250" s="2171"/>
      <c r="H250" s="2856" t="s">
        <v>1151</v>
      </c>
      <c r="I250" s="2857"/>
      <c r="J250" s="2826"/>
      <c r="K250" s="2858"/>
      <c r="L250" s="2448"/>
      <c r="M250" s="2449"/>
      <c r="N250" s="1516"/>
      <c r="O250" s="1517"/>
      <c r="P250" s="1509" t="s">
        <v>1038</v>
      </c>
      <c r="Q250" s="1517"/>
      <c r="R250" s="1517"/>
      <c r="S250" s="1517"/>
      <c r="T250" s="1517"/>
      <c r="U250" s="1517"/>
      <c r="V250" s="1517"/>
      <c r="W250" s="1517"/>
      <c r="X250" s="1517"/>
      <c r="Y250" s="1517"/>
      <c r="Z250" s="1517"/>
      <c r="AA250" s="1517"/>
      <c r="AB250" s="1517"/>
      <c r="AC250" s="1517"/>
      <c r="AD250" s="1517"/>
      <c r="AE250" s="1524"/>
      <c r="AF250" s="2847"/>
      <c r="AG250" s="2848"/>
      <c r="AH250" s="2848"/>
      <c r="AI250" s="2847"/>
      <c r="AJ250" s="2848"/>
      <c r="AK250" s="2848"/>
      <c r="AL250" s="2329"/>
      <c r="AM250" s="2164"/>
      <c r="AN250" s="2164"/>
      <c r="AO250" s="2164"/>
      <c r="AP250" s="2164"/>
      <c r="AQ250" s="2164"/>
      <c r="AR250" s="2164"/>
      <c r="AS250" s="2164"/>
      <c r="AT250" s="2164"/>
      <c r="AU250" s="2164"/>
      <c r="AV250" s="2164"/>
      <c r="AW250" s="2164"/>
      <c r="AX250" s="2164"/>
      <c r="AY250" s="2164"/>
      <c r="AZ250" s="2164"/>
      <c r="BA250" s="2164"/>
      <c r="BB250" s="2164"/>
      <c r="BC250" s="2164"/>
      <c r="BD250" s="2164"/>
      <c r="BE250" s="2164"/>
      <c r="BF250" s="2164"/>
      <c r="BG250" s="7511"/>
    </row>
    <row customHeight="1" ht="11.25">
      <c r="A251" s="1507" t="s">
        <v>990</v>
      </c>
      <c r="B251" s="1507" t="s">
        <v>1022</v>
      </c>
      <c r="C251" s="1507"/>
      <c r="D251" s="1501"/>
      <c r="E251" s="1511"/>
      <c r="F251" s="2170"/>
      <c r="G251" s="7510" t="s">
        <v>684</v>
      </c>
      <c r="H251" s="2856" t="s">
        <v>1169</v>
      </c>
      <c r="I251" s="2857" t="s">
        <v>1023</v>
      </c>
      <c r="J251" s="2826" t="s">
        <v>1071</v>
      </c>
      <c r="K251" s="2858" t="s">
        <v>1170</v>
      </c>
      <c r="L251" s="2448" t="s">
        <v>19</v>
      </c>
      <c r="M251" s="2449"/>
      <c r="N251" s="2327"/>
      <c r="O251" s="1518" t="s">
        <v>371</v>
      </c>
      <c r="P251" s="1519"/>
      <c r="Q251" s="1519"/>
      <c r="R251" s="1519"/>
      <c r="S251" s="1519"/>
      <c r="T251" s="1519"/>
      <c r="U251" s="1519"/>
      <c r="V251" s="1519"/>
      <c r="W251" s="1519"/>
      <c r="X251" s="1519"/>
      <c r="Y251" s="1519"/>
      <c r="Z251" s="1519"/>
      <c r="AA251" s="1519"/>
      <c r="AB251" s="1519"/>
      <c r="AC251" s="1519"/>
      <c r="AD251" s="1519"/>
      <c r="AE251" s="1519"/>
      <c r="AF251" s="2847">
        <v>2</v>
      </c>
      <c r="AG251" s="2848" t="s">
        <v>1067</v>
      </c>
      <c r="AH251" s="2848" t="s">
        <v>1053</v>
      </c>
      <c r="AI251" s="2847"/>
      <c r="AJ251" s="2848"/>
      <c r="AK251" s="2848"/>
      <c r="AL251" s="2329"/>
      <c r="AM251" s="2164"/>
      <c r="AN251" s="2164"/>
      <c r="AO251" s="2164"/>
      <c r="AP251" s="2164"/>
      <c r="AQ251" s="2164"/>
      <c r="AR251" s="2164"/>
      <c r="AS251" s="2164"/>
      <c r="AT251" s="2164"/>
      <c r="AU251" s="2164"/>
      <c r="AV251" s="2164"/>
      <c r="AW251" s="2164"/>
      <c r="AX251" s="2164"/>
      <c r="AY251" s="2164"/>
      <c r="AZ251" s="2164"/>
      <c r="BA251" s="2164"/>
      <c r="BB251" s="2164"/>
      <c r="BC251" s="2164"/>
      <c r="BD251" s="2164"/>
      <c r="BE251" s="2164"/>
      <c r="BF251" s="2164"/>
      <c r="BG251" s="7511"/>
    </row>
    <row customHeight="1" ht="11.25">
      <c r="A252" s="1507" t="s">
        <v>990</v>
      </c>
      <c r="B252" s="1507"/>
      <c r="C252" s="1507"/>
      <c r="D252" s="1501"/>
      <c r="E252" s="1511"/>
      <c r="F252" s="2170"/>
      <c r="G252" s="2171"/>
      <c r="H252" s="2856" t="s">
        <v>1159</v>
      </c>
      <c r="I252" s="2857"/>
      <c r="J252" s="2826"/>
      <c r="K252" s="2858"/>
      <c r="L252" s="2448"/>
      <c r="M252" s="2449"/>
      <c r="N252" s="2849"/>
      <c r="O252" s="2850">
        <v>1</v>
      </c>
      <c r="P252" s="2851" t="s">
        <v>65</v>
      </c>
      <c r="Q252" s="7512" t="s">
        <v>1153</v>
      </c>
      <c r="R252" s="7513" t="s">
        <v>1083</v>
      </c>
      <c r="S252" s="7513" t="s">
        <v>1154</v>
      </c>
      <c r="T252" s="7513" t="s">
        <v>1154</v>
      </c>
      <c r="U252" s="7513" t="s">
        <v>1155</v>
      </c>
      <c r="V252" s="7513" t="s">
        <v>1156</v>
      </c>
      <c r="W252" s="7513" t="s">
        <v>1157</v>
      </c>
      <c r="X252" s="7513" t="s">
        <v>1158</v>
      </c>
      <c r="Y252" s="7513" t="s">
        <v>92</v>
      </c>
      <c r="Z252" s="1516"/>
      <c r="AA252" s="1517"/>
      <c r="AB252" s="1517"/>
      <c r="AC252" s="1521"/>
      <c r="AD252" s="1521"/>
      <c r="AE252" s="1522"/>
      <c r="AF252" s="2847"/>
      <c r="AG252" s="2848"/>
      <c r="AH252" s="2848"/>
      <c r="AI252" s="2847"/>
      <c r="AJ252" s="2848"/>
      <c r="AK252" s="2848"/>
      <c r="AL252" s="2329"/>
      <c r="AM252" s="2164"/>
      <c r="AN252" s="2164"/>
      <c r="AO252" s="2164"/>
      <c r="AP252" s="2164"/>
      <c r="AQ252" s="2164"/>
      <c r="AR252" s="2164"/>
      <c r="AS252" s="2164"/>
      <c r="AT252" s="2164"/>
      <c r="AU252" s="2164"/>
      <c r="AV252" s="2164"/>
      <c r="AW252" s="2164"/>
      <c r="AX252" s="2164"/>
      <c r="AY252" s="2164"/>
      <c r="AZ252" s="2164"/>
      <c r="BA252" s="2164"/>
      <c r="BB252" s="2164"/>
      <c r="BC252" s="2164"/>
      <c r="BD252" s="2164"/>
      <c r="BE252" s="2164"/>
      <c r="BF252" s="2164"/>
      <c r="BG252" s="7511"/>
    </row>
    <row customHeight="1" ht="11.25">
      <c r="A253" s="1507" t="s">
        <v>990</v>
      </c>
      <c r="B253" s="1507"/>
      <c r="C253" s="1507"/>
      <c r="D253" s="1501"/>
      <c r="E253" s="1511"/>
      <c r="F253" s="2170"/>
      <c r="G253" s="2171"/>
      <c r="H253" s="2856" t="s">
        <v>1159</v>
      </c>
      <c r="I253" s="2857"/>
      <c r="J253" s="2826"/>
      <c r="K253" s="2858"/>
      <c r="L253" s="2448"/>
      <c r="M253" s="2449"/>
      <c r="N253" s="2849"/>
      <c r="O253" s="2850"/>
      <c r="P253" s="2852"/>
      <c r="Q253" s="7512"/>
      <c r="R253" s="2854"/>
      <c r="S253" s="2855"/>
      <c r="T253" s="2854"/>
      <c r="U253" s="2854"/>
      <c r="V253" s="2854"/>
      <c r="W253" s="2854"/>
      <c r="X253" s="2854"/>
      <c r="Y253" s="2854"/>
      <c r="Z253" s="2169"/>
      <c r="AA253" s="2135">
        <v>1</v>
      </c>
      <c r="AB253" s="1520" t="s">
        <v>1035</v>
      </c>
      <c r="AC253" s="1510">
        <v>111574.16162</v>
      </c>
      <c r="AD253" s="1520" t="str">
        <f>AB253</f>
        <v>      Амортизационные отчисления с выделением результатов переоценки основных средств и нематериальных активов</v>
      </c>
      <c r="AE253" s="1510"/>
      <c r="AF253" s="2847"/>
      <c r="AG253" s="2848"/>
      <c r="AH253" s="2848"/>
      <c r="AI253" s="2847"/>
      <c r="AJ253" s="2848"/>
      <c r="AK253" s="2848"/>
      <c r="AL253" s="2329"/>
      <c r="AM253" s="2164"/>
      <c r="AN253" s="2164"/>
      <c r="AO253" s="2164"/>
      <c r="AP253" s="2164"/>
      <c r="AQ253" s="2164"/>
      <c r="AR253" s="2164"/>
      <c r="AS253" s="2164"/>
      <c r="AT253" s="2164"/>
      <c r="AU253" s="2164"/>
      <c r="AV253" s="2164"/>
      <c r="AW253" s="2164"/>
      <c r="AX253" s="2164"/>
      <c r="AY253" s="2164"/>
      <c r="AZ253" s="2164"/>
      <c r="BA253" s="2164"/>
      <c r="BB253" s="2164"/>
      <c r="BC253" s="2164"/>
      <c r="BD253" s="2164"/>
      <c r="BE253" s="2164"/>
      <c r="BF253" s="2164"/>
      <c r="BG253" s="7511"/>
    </row>
    <row customHeight="1" ht="11.25">
      <c r="A254" s="1507" t="s">
        <v>990</v>
      </c>
      <c r="B254" s="1507"/>
      <c r="C254" s="1507"/>
      <c r="D254" s="1501"/>
      <c r="E254" s="1511"/>
      <c r="F254" s="2171"/>
      <c r="G254" s="2171"/>
      <c r="H254" s="2171"/>
      <c r="I254" s="2171"/>
      <c r="J254" s="7515"/>
      <c r="K254" s="2171"/>
      <c r="L254" s="2171"/>
      <c r="M254" s="2171"/>
      <c r="N254" s="2171"/>
      <c r="O254" s="2171"/>
      <c r="P254" s="2171"/>
      <c r="Q254" s="7515"/>
      <c r="R254" s="2171"/>
      <c r="S254" s="2171"/>
      <c r="T254" s="2171"/>
      <c r="U254" s="2171"/>
      <c r="V254" s="2171"/>
      <c r="W254" s="2171"/>
      <c r="X254" s="2171"/>
      <c r="Y254" s="2171"/>
      <c r="Z254" s="7510" t="s">
        <v>684</v>
      </c>
      <c r="AA254" s="2155" t="s">
        <v>107</v>
      </c>
      <c r="AB254" s="1520" t="s">
        <v>1036</v>
      </c>
      <c r="AC254" s="1510">
        <v>21822.49387</v>
      </c>
      <c r="AD254" s="1520" t="str">
        <f>AB254</f>
        <v>  Прочие собственные средства</v>
      </c>
      <c r="AE254" s="1510"/>
      <c r="AF254" s="2172"/>
      <c r="AG254" s="2100"/>
      <c r="AH254" s="2100"/>
      <c r="AI254" s="2172"/>
      <c r="AJ254" s="2100"/>
      <c r="AK254" s="2328"/>
      <c r="AL254" s="2329"/>
      <c r="AM254" s="2164"/>
      <c r="AN254" s="2164"/>
      <c r="AO254" s="2164"/>
      <c r="AP254" s="2164"/>
      <c r="AQ254" s="2164"/>
      <c r="AR254" s="2164"/>
      <c r="AS254" s="2164"/>
      <c r="AT254" s="2164"/>
      <c r="AU254" s="2164"/>
      <c r="AV254" s="2164"/>
      <c r="AW254" s="2164"/>
      <c r="AX254" s="2164"/>
      <c r="AY254" s="2164"/>
      <c r="AZ254" s="2164"/>
      <c r="BA254" s="2164"/>
      <c r="BB254" s="2164"/>
      <c r="BC254" s="2164"/>
      <c r="BD254" s="2164"/>
      <c r="BE254" s="2164"/>
      <c r="BF254" s="2164"/>
      <c r="BG254" s="7511"/>
    </row>
    <row customHeight="1" ht="11.25">
      <c r="A255" s="1507" t="s">
        <v>990</v>
      </c>
      <c r="B255" s="1507"/>
      <c r="C255" s="1507"/>
      <c r="D255" s="1501"/>
      <c r="E255" s="1511"/>
      <c r="F255" s="2170"/>
      <c r="G255" s="2171"/>
      <c r="H255" s="2856" t="s">
        <v>1159</v>
      </c>
      <c r="I255" s="2857"/>
      <c r="J255" s="2826"/>
      <c r="K255" s="2858"/>
      <c r="L255" s="2448"/>
      <c r="M255" s="2449"/>
      <c r="N255" s="2849"/>
      <c r="O255" s="2850"/>
      <c r="P255" s="2853"/>
      <c r="Q255" s="7512"/>
      <c r="R255" s="2854"/>
      <c r="S255" s="2855"/>
      <c r="T255" s="2854"/>
      <c r="U255" s="2854"/>
      <c r="V255" s="2854"/>
      <c r="W255" s="2854"/>
      <c r="X255" s="2854"/>
      <c r="Y255" s="2854"/>
      <c r="Z255" s="1516"/>
      <c r="AA255" s="1517"/>
      <c r="AB255" s="1582" t="s">
        <v>1037</v>
      </c>
      <c r="AC255" s="1521"/>
      <c r="AD255" s="1521"/>
      <c r="AE255" s="1523"/>
      <c r="AF255" s="2847"/>
      <c r="AG255" s="2848"/>
      <c r="AH255" s="2848"/>
      <c r="AI255" s="2847"/>
      <c r="AJ255" s="2848"/>
      <c r="AK255" s="2848"/>
      <c r="AL255" s="2329"/>
      <c r="AM255" s="2164"/>
      <c r="AN255" s="2164"/>
      <c r="AO255" s="2164"/>
      <c r="AP255" s="2164"/>
      <c r="AQ255" s="2164"/>
      <c r="AR255" s="2164"/>
      <c r="AS255" s="2164"/>
      <c r="AT255" s="2164"/>
      <c r="AU255" s="2164"/>
      <c r="AV255" s="2164"/>
      <c r="AW255" s="2164"/>
      <c r="AX255" s="2164"/>
      <c r="AY255" s="2164"/>
      <c r="AZ255" s="2164"/>
      <c r="BA255" s="2164"/>
      <c r="BB255" s="2164"/>
      <c r="BC255" s="2164"/>
      <c r="BD255" s="2164"/>
      <c r="BE255" s="2164"/>
      <c r="BF255" s="2164"/>
      <c r="BG255" s="7511"/>
    </row>
    <row customHeight="1" ht="11.25">
      <c r="A256" s="1507" t="s">
        <v>990</v>
      </c>
      <c r="B256" s="1507"/>
      <c r="C256" s="1507"/>
      <c r="D256" s="1501"/>
      <c r="E256" s="1511"/>
      <c r="F256" s="2170"/>
      <c r="G256" s="2171"/>
      <c r="H256" s="2856" t="s">
        <v>1159</v>
      </c>
      <c r="I256" s="2857"/>
      <c r="J256" s="2826"/>
      <c r="K256" s="2858"/>
      <c r="L256" s="2448"/>
      <c r="M256" s="2449"/>
      <c r="N256" s="1516"/>
      <c r="O256" s="1517"/>
      <c r="P256" s="1509" t="s">
        <v>1038</v>
      </c>
      <c r="Q256" s="1517"/>
      <c r="R256" s="1517"/>
      <c r="S256" s="1517"/>
      <c r="T256" s="1517"/>
      <c r="U256" s="1517"/>
      <c r="V256" s="1517"/>
      <c r="W256" s="1517"/>
      <c r="X256" s="1517"/>
      <c r="Y256" s="1517"/>
      <c r="Z256" s="1517"/>
      <c r="AA256" s="1517"/>
      <c r="AB256" s="1517"/>
      <c r="AC256" s="1517"/>
      <c r="AD256" s="1517"/>
      <c r="AE256" s="1524"/>
      <c r="AF256" s="2847"/>
      <c r="AG256" s="2848"/>
      <c r="AH256" s="2848"/>
      <c r="AI256" s="2847"/>
      <c r="AJ256" s="2848"/>
      <c r="AK256" s="2848"/>
      <c r="AL256" s="2329"/>
      <c r="AM256" s="2164"/>
      <c r="AN256" s="2164"/>
      <c r="AO256" s="2164"/>
      <c r="AP256" s="2164"/>
      <c r="AQ256" s="2164"/>
      <c r="AR256" s="2164"/>
      <c r="AS256" s="2164"/>
      <c r="AT256" s="2164"/>
      <c r="AU256" s="2164"/>
      <c r="AV256" s="2164"/>
      <c r="AW256" s="2164"/>
      <c r="AX256" s="2164"/>
      <c r="AY256" s="2164"/>
      <c r="AZ256" s="2164"/>
      <c r="BA256" s="2164"/>
      <c r="BB256" s="2164"/>
      <c r="BC256" s="2164"/>
      <c r="BD256" s="2164"/>
      <c r="BE256" s="2164"/>
      <c r="BF256" s="2164"/>
      <c r="BG256" s="7511"/>
    </row>
    <row customHeight="1" ht="11.25">
      <c r="A257" s="1507" t="s">
        <v>990</v>
      </c>
      <c r="B257" s="1507" t="s">
        <v>22</v>
      </c>
      <c r="C257" s="1507"/>
      <c r="D257" s="1501"/>
      <c r="E257" s="1511"/>
      <c r="F257" s="2170"/>
      <c r="G257" s="7510" t="s">
        <v>684</v>
      </c>
      <c r="H257" s="2856" t="s">
        <v>1171</v>
      </c>
      <c r="I257" s="2857" t="s">
        <v>1096</v>
      </c>
      <c r="J257" s="7514" t="s">
        <v>22</v>
      </c>
      <c r="K257" s="2858" t="s">
        <v>1172</v>
      </c>
      <c r="L257" s="2448" t="s">
        <v>19</v>
      </c>
      <c r="M257" s="2449"/>
      <c r="N257" s="2327"/>
      <c r="O257" s="1518" t="s">
        <v>371</v>
      </c>
      <c r="P257" s="1519"/>
      <c r="Q257" s="1519"/>
      <c r="R257" s="1519"/>
      <c r="S257" s="1519"/>
      <c r="T257" s="1519"/>
      <c r="U257" s="1519"/>
      <c r="V257" s="1519"/>
      <c r="W257" s="1519"/>
      <c r="X257" s="1519"/>
      <c r="Y257" s="1519"/>
      <c r="Z257" s="1519"/>
      <c r="AA257" s="1519"/>
      <c r="AB257" s="1519"/>
      <c r="AC257" s="1519"/>
      <c r="AD257" s="1519"/>
      <c r="AE257" s="1519"/>
      <c r="AF257" s="2847">
        <v>1</v>
      </c>
      <c r="AG257" s="2848" t="s">
        <v>1026</v>
      </c>
      <c r="AH257" s="2848" t="s">
        <v>1063</v>
      </c>
      <c r="AI257" s="2847"/>
      <c r="AJ257" s="2848"/>
      <c r="AK257" s="2848"/>
      <c r="AL257" s="2329"/>
      <c r="AM257" s="2164"/>
      <c r="AN257" s="2164"/>
      <c r="AO257" s="2164"/>
      <c r="AP257" s="2164"/>
      <c r="AQ257" s="2164"/>
      <c r="AR257" s="2164"/>
      <c r="AS257" s="2164"/>
      <c r="AT257" s="2164"/>
      <c r="AU257" s="2164"/>
      <c r="AV257" s="2164"/>
      <c r="AW257" s="2164"/>
      <c r="AX257" s="2164"/>
      <c r="AY257" s="2164"/>
      <c r="AZ257" s="2164"/>
      <c r="BA257" s="2164"/>
      <c r="BB257" s="2164"/>
      <c r="BC257" s="2164"/>
      <c r="BD257" s="2164"/>
      <c r="BE257" s="2164"/>
      <c r="BF257" s="2164"/>
      <c r="BG257" s="7511"/>
    </row>
    <row customHeight="1" ht="11.25">
      <c r="A258" s="1507" t="s">
        <v>990</v>
      </c>
      <c r="B258" s="1507"/>
      <c r="C258" s="1507"/>
      <c r="D258" s="1501"/>
      <c r="E258" s="1511"/>
      <c r="F258" s="2170"/>
      <c r="G258" s="2171"/>
      <c r="H258" s="2856" t="s">
        <v>1169</v>
      </c>
      <c r="I258" s="2857"/>
      <c r="J258" s="7514"/>
      <c r="K258" s="2858"/>
      <c r="L258" s="2448"/>
      <c r="M258" s="2449"/>
      <c r="N258" s="2849"/>
      <c r="O258" s="2850">
        <v>1</v>
      </c>
      <c r="P258" s="2851" t="s">
        <v>65</v>
      </c>
      <c r="Q258" s="7512" t="s">
        <v>1153</v>
      </c>
      <c r="R258" s="7513" t="s">
        <v>1083</v>
      </c>
      <c r="S258" s="7513" t="s">
        <v>1154</v>
      </c>
      <c r="T258" s="7513" t="s">
        <v>1154</v>
      </c>
      <c r="U258" s="7513" t="s">
        <v>1155</v>
      </c>
      <c r="V258" s="7513" t="s">
        <v>1156</v>
      </c>
      <c r="W258" s="7513" t="s">
        <v>1157</v>
      </c>
      <c r="X258" s="7513" t="s">
        <v>1158</v>
      </c>
      <c r="Y258" s="7513" t="s">
        <v>92</v>
      </c>
      <c r="Z258" s="1516"/>
      <c r="AA258" s="1517"/>
      <c r="AB258" s="1517"/>
      <c r="AC258" s="1521"/>
      <c r="AD258" s="1521"/>
      <c r="AE258" s="1522"/>
      <c r="AF258" s="2847"/>
      <c r="AG258" s="2848"/>
      <c r="AH258" s="2848"/>
      <c r="AI258" s="2847"/>
      <c r="AJ258" s="2848"/>
      <c r="AK258" s="2848"/>
      <c r="AL258" s="2329"/>
      <c r="AM258" s="2164"/>
      <c r="AN258" s="2164"/>
      <c r="AO258" s="2164"/>
      <c r="AP258" s="2164"/>
      <c r="AQ258" s="2164"/>
      <c r="AR258" s="2164"/>
      <c r="AS258" s="2164"/>
      <c r="AT258" s="2164"/>
      <c r="AU258" s="2164"/>
      <c r="AV258" s="2164"/>
      <c r="AW258" s="2164"/>
      <c r="AX258" s="2164"/>
      <c r="AY258" s="2164"/>
      <c r="AZ258" s="2164"/>
      <c r="BA258" s="2164"/>
      <c r="BB258" s="2164"/>
      <c r="BC258" s="2164"/>
      <c r="BD258" s="2164"/>
      <c r="BE258" s="2164"/>
      <c r="BF258" s="2164"/>
      <c r="BG258" s="7511"/>
    </row>
    <row customHeight="1" ht="11.25">
      <c r="A259" s="1507" t="s">
        <v>990</v>
      </c>
      <c r="B259" s="1507"/>
      <c r="C259" s="1507"/>
      <c r="D259" s="1501"/>
      <c r="E259" s="1511"/>
      <c r="F259" s="2170"/>
      <c r="G259" s="2171"/>
      <c r="H259" s="2856" t="s">
        <v>1169</v>
      </c>
      <c r="I259" s="2857"/>
      <c r="J259" s="7514"/>
      <c r="K259" s="2858"/>
      <c r="L259" s="2448"/>
      <c r="M259" s="2449"/>
      <c r="N259" s="2849"/>
      <c r="O259" s="2850"/>
      <c r="P259" s="2852"/>
      <c r="Q259" s="7512"/>
      <c r="R259" s="2854"/>
      <c r="S259" s="2855"/>
      <c r="T259" s="2854"/>
      <c r="U259" s="2854"/>
      <c r="V259" s="2854"/>
      <c r="W259" s="2854"/>
      <c r="X259" s="2854"/>
      <c r="Y259" s="2854"/>
      <c r="Z259" s="2169"/>
      <c r="AA259" s="2135">
        <v>1</v>
      </c>
      <c r="AB259" s="1520" t="s">
        <v>1035</v>
      </c>
      <c r="AC259" s="1510">
        <v>437.05074</v>
      </c>
      <c r="AD259" s="1520" t="str">
        <f>AB259</f>
        <v>      Амортизационные отчисления с выделением результатов переоценки основных средств и нематериальных активов</v>
      </c>
      <c r="AE259" s="1510"/>
      <c r="AF259" s="2847"/>
      <c r="AG259" s="2848"/>
      <c r="AH259" s="2848"/>
      <c r="AI259" s="2847"/>
      <c r="AJ259" s="2848"/>
      <c r="AK259" s="2848"/>
      <c r="AL259" s="2329"/>
      <c r="AM259" s="2164"/>
      <c r="AN259" s="2164"/>
      <c r="AO259" s="2164"/>
      <c r="AP259" s="2164"/>
      <c r="AQ259" s="2164"/>
      <c r="AR259" s="2164"/>
      <c r="AS259" s="2164"/>
      <c r="AT259" s="2164"/>
      <c r="AU259" s="2164"/>
      <c r="AV259" s="2164"/>
      <c r="AW259" s="2164"/>
      <c r="AX259" s="2164"/>
      <c r="AY259" s="2164"/>
      <c r="AZ259" s="2164"/>
      <c r="BA259" s="2164"/>
      <c r="BB259" s="2164"/>
      <c r="BC259" s="2164"/>
      <c r="BD259" s="2164"/>
      <c r="BE259" s="2164"/>
      <c r="BF259" s="2164"/>
      <c r="BG259" s="7511"/>
    </row>
    <row customHeight="1" ht="11.25">
      <c r="A260" s="1507" t="s">
        <v>990</v>
      </c>
      <c r="B260" s="1507"/>
      <c r="C260" s="1507"/>
      <c r="D260" s="1501"/>
      <c r="E260" s="1511"/>
      <c r="F260" s="2171"/>
      <c r="G260" s="2171"/>
      <c r="H260" s="2171"/>
      <c r="I260" s="2171"/>
      <c r="J260" s="2171"/>
      <c r="K260" s="2171"/>
      <c r="L260" s="2171"/>
      <c r="M260" s="2171"/>
      <c r="N260" s="2171"/>
      <c r="O260" s="2171"/>
      <c r="P260" s="2171"/>
      <c r="Q260" s="2171"/>
      <c r="R260" s="2171"/>
      <c r="S260" s="2171"/>
      <c r="T260" s="2171"/>
      <c r="U260" s="2171"/>
      <c r="V260" s="2171"/>
      <c r="W260" s="2171"/>
      <c r="X260" s="2171"/>
      <c r="Y260" s="2171"/>
      <c r="Z260" s="7510" t="s">
        <v>684</v>
      </c>
      <c r="AA260" s="2155" t="s">
        <v>107</v>
      </c>
      <c r="AB260" s="1520" t="s">
        <v>1036</v>
      </c>
      <c r="AC260" s="1510">
        <v>87.410148</v>
      </c>
      <c r="AD260" s="1520" t="str">
        <f>AB260</f>
        <v>  Прочие собственные средства</v>
      </c>
      <c r="AE260" s="1510"/>
      <c r="AF260" s="2172"/>
      <c r="AG260" s="2100"/>
      <c r="AH260" s="2100"/>
      <c r="AI260" s="2172"/>
      <c r="AJ260" s="2100"/>
      <c r="AK260" s="2328"/>
      <c r="AL260" s="2329"/>
      <c r="AM260" s="2164"/>
      <c r="AN260" s="2164"/>
      <c r="AO260" s="2164"/>
      <c r="AP260" s="2164"/>
      <c r="AQ260" s="2164"/>
      <c r="AR260" s="2164"/>
      <c r="AS260" s="2164"/>
      <c r="AT260" s="2164"/>
      <c r="AU260" s="2164"/>
      <c r="AV260" s="2164"/>
      <c r="AW260" s="2164"/>
      <c r="AX260" s="2164"/>
      <c r="AY260" s="2164"/>
      <c r="AZ260" s="2164"/>
      <c r="BA260" s="2164"/>
      <c r="BB260" s="2164"/>
      <c r="BC260" s="2164"/>
      <c r="BD260" s="2164"/>
      <c r="BE260" s="2164"/>
      <c r="BF260" s="2164"/>
      <c r="BG260" s="7511"/>
    </row>
    <row customHeight="1" ht="11.25">
      <c r="A261" s="1507" t="s">
        <v>990</v>
      </c>
      <c r="B261" s="1507"/>
      <c r="C261" s="1507"/>
      <c r="D261" s="1501"/>
      <c r="E261" s="1511"/>
      <c r="F261" s="2170"/>
      <c r="G261" s="2171"/>
      <c r="H261" s="2856" t="s">
        <v>1169</v>
      </c>
      <c r="I261" s="2857"/>
      <c r="J261" s="7514"/>
      <c r="K261" s="2858"/>
      <c r="L261" s="2448"/>
      <c r="M261" s="2449"/>
      <c r="N261" s="2849"/>
      <c r="O261" s="2850"/>
      <c r="P261" s="2853"/>
      <c r="Q261" s="7512"/>
      <c r="R261" s="2854"/>
      <c r="S261" s="2855"/>
      <c r="T261" s="2854"/>
      <c r="U261" s="2854"/>
      <c r="V261" s="2854"/>
      <c r="W261" s="2854"/>
      <c r="X261" s="2854"/>
      <c r="Y261" s="2854"/>
      <c r="Z261" s="1516"/>
      <c r="AA261" s="1517"/>
      <c r="AB261" s="1582" t="s">
        <v>1037</v>
      </c>
      <c r="AC261" s="1521"/>
      <c r="AD261" s="1521"/>
      <c r="AE261" s="1523"/>
      <c r="AF261" s="2847"/>
      <c r="AG261" s="2848"/>
      <c r="AH261" s="2848"/>
      <c r="AI261" s="2847"/>
      <c r="AJ261" s="2848"/>
      <c r="AK261" s="2848"/>
      <c r="AL261" s="2329"/>
      <c r="AM261" s="2164"/>
      <c r="AN261" s="2164"/>
      <c r="AO261" s="2164"/>
      <c r="AP261" s="2164"/>
      <c r="AQ261" s="2164"/>
      <c r="AR261" s="2164"/>
      <c r="AS261" s="2164"/>
      <c r="AT261" s="2164"/>
      <c r="AU261" s="2164"/>
      <c r="AV261" s="2164"/>
      <c r="AW261" s="2164"/>
      <c r="AX261" s="2164"/>
      <c r="AY261" s="2164"/>
      <c r="AZ261" s="2164"/>
      <c r="BA261" s="2164"/>
      <c r="BB261" s="2164"/>
      <c r="BC261" s="2164"/>
      <c r="BD261" s="2164"/>
      <c r="BE261" s="2164"/>
      <c r="BF261" s="2164"/>
      <c r="BG261" s="7511"/>
    </row>
    <row customHeight="1" ht="11.25">
      <c r="A262" s="1507" t="s">
        <v>990</v>
      </c>
      <c r="B262" s="1507"/>
      <c r="C262" s="1507"/>
      <c r="D262" s="1501"/>
      <c r="E262" s="1511"/>
      <c r="F262" s="2170"/>
      <c r="G262" s="2171"/>
      <c r="H262" s="2856" t="s">
        <v>1169</v>
      </c>
      <c r="I262" s="2857"/>
      <c r="J262" s="7514"/>
      <c r="K262" s="2858"/>
      <c r="L262" s="2448"/>
      <c r="M262" s="2449"/>
      <c r="N262" s="1516"/>
      <c r="O262" s="1517"/>
      <c r="P262" s="1509" t="s">
        <v>1038</v>
      </c>
      <c r="Q262" s="1517"/>
      <c r="R262" s="1517"/>
      <c r="S262" s="1517"/>
      <c r="T262" s="1517"/>
      <c r="U262" s="1517"/>
      <c r="V262" s="1517"/>
      <c r="W262" s="1517"/>
      <c r="X262" s="1517"/>
      <c r="Y262" s="1517"/>
      <c r="Z262" s="1517"/>
      <c r="AA262" s="1517"/>
      <c r="AB262" s="1517"/>
      <c r="AC262" s="1517"/>
      <c r="AD262" s="1517"/>
      <c r="AE262" s="1524"/>
      <c r="AF262" s="2847"/>
      <c r="AG262" s="2848"/>
      <c r="AH262" s="2848"/>
      <c r="AI262" s="2847"/>
      <c r="AJ262" s="2848"/>
      <c r="AK262" s="2848"/>
      <c r="AL262" s="2329"/>
      <c r="AM262" s="2164"/>
      <c r="AN262" s="2164"/>
      <c r="AO262" s="2164"/>
      <c r="AP262" s="2164"/>
      <c r="AQ262" s="2164"/>
      <c r="AR262" s="2164"/>
      <c r="AS262" s="2164"/>
      <c r="AT262" s="2164"/>
      <c r="AU262" s="2164"/>
      <c r="AV262" s="2164"/>
      <c r="AW262" s="2164"/>
      <c r="AX262" s="2164"/>
      <c r="AY262" s="2164"/>
      <c r="AZ262" s="2164"/>
      <c r="BA262" s="2164"/>
      <c r="BB262" s="2164"/>
      <c r="BC262" s="2164"/>
      <c r="BD262" s="2164"/>
      <c r="BE262" s="2164"/>
      <c r="BF262" s="2164"/>
      <c r="BG262" s="7511"/>
    </row>
    <row customHeight="1" ht="11.25">
      <c r="A263" s="1507" t="s">
        <v>990</v>
      </c>
      <c r="B263" s="1507" t="s">
        <v>22</v>
      </c>
      <c r="C263" s="1507"/>
      <c r="D263" s="1501"/>
      <c r="E263" s="1511"/>
      <c r="F263" s="2170"/>
      <c r="G263" s="7510" t="s">
        <v>684</v>
      </c>
      <c r="H263" s="2856" t="s">
        <v>1173</v>
      </c>
      <c r="I263" s="2857" t="s">
        <v>1039</v>
      </c>
      <c r="J263" s="7514" t="s">
        <v>22</v>
      </c>
      <c r="K263" s="2858" t="s">
        <v>1174</v>
      </c>
      <c r="L263" s="2448" t="s">
        <v>19</v>
      </c>
      <c r="M263" s="2449"/>
      <c r="N263" s="2327"/>
      <c r="O263" s="1518" t="s">
        <v>371</v>
      </c>
      <c r="P263" s="1519"/>
      <c r="Q263" s="1519"/>
      <c r="R263" s="1519"/>
      <c r="S263" s="1519"/>
      <c r="T263" s="1519"/>
      <c r="U263" s="1519"/>
      <c r="V263" s="1519"/>
      <c r="W263" s="1519"/>
      <c r="X263" s="1519"/>
      <c r="Y263" s="1519"/>
      <c r="Z263" s="1519"/>
      <c r="AA263" s="1519"/>
      <c r="AB263" s="1519"/>
      <c r="AC263" s="1519"/>
      <c r="AD263" s="1519"/>
      <c r="AE263" s="1519"/>
      <c r="AF263" s="2847">
        <v>1</v>
      </c>
      <c r="AG263" s="2848" t="s">
        <v>1026</v>
      </c>
      <c r="AH263" s="2848" t="s">
        <v>1063</v>
      </c>
      <c r="AI263" s="2847"/>
      <c r="AJ263" s="2848"/>
      <c r="AK263" s="2848"/>
      <c r="AL263" s="2329"/>
      <c r="AM263" s="2164"/>
      <c r="AN263" s="2164"/>
      <c r="AO263" s="2164"/>
      <c r="AP263" s="2164"/>
      <c r="AQ263" s="2164"/>
      <c r="AR263" s="2164"/>
      <c r="AS263" s="2164"/>
      <c r="AT263" s="2164"/>
      <c r="AU263" s="2164"/>
      <c r="AV263" s="2164"/>
      <c r="AW263" s="2164"/>
      <c r="AX263" s="2164"/>
      <c r="AY263" s="2164"/>
      <c r="AZ263" s="2164"/>
      <c r="BA263" s="2164"/>
      <c r="BB263" s="2164"/>
      <c r="BC263" s="2164"/>
      <c r="BD263" s="2164"/>
      <c r="BE263" s="2164"/>
      <c r="BF263" s="2164"/>
      <c r="BG263" s="7511"/>
    </row>
    <row customHeight="1" ht="11.25">
      <c r="A264" s="1507" t="s">
        <v>990</v>
      </c>
      <c r="B264" s="1507"/>
      <c r="C264" s="1507"/>
      <c r="D264" s="1501"/>
      <c r="E264" s="1511"/>
      <c r="F264" s="2170"/>
      <c r="G264" s="2171"/>
      <c r="H264" s="2856" t="s">
        <v>1171</v>
      </c>
      <c r="I264" s="2857"/>
      <c r="J264" s="7514"/>
      <c r="K264" s="2858"/>
      <c r="L264" s="2448"/>
      <c r="M264" s="2449"/>
      <c r="N264" s="2849"/>
      <c r="O264" s="2850">
        <v>1</v>
      </c>
      <c r="P264" s="2851" t="s">
        <v>19</v>
      </c>
      <c r="Q264" s="7516" t="s">
        <v>22</v>
      </c>
      <c r="R264" s="7516" t="s">
        <v>22</v>
      </c>
      <c r="S264" s="7516" t="s">
        <v>22</v>
      </c>
      <c r="T264" s="7516" t="s">
        <v>22</v>
      </c>
      <c r="U264" s="7516" t="s">
        <v>22</v>
      </c>
      <c r="V264" s="7516" t="s">
        <v>22</v>
      </c>
      <c r="W264" s="7516" t="s">
        <v>22</v>
      </c>
      <c r="X264" s="7516" t="s">
        <v>22</v>
      </c>
      <c r="Y264" s="7516" t="s">
        <v>22</v>
      </c>
      <c r="Z264" s="1516"/>
      <c r="AA264" s="1517"/>
      <c r="AB264" s="1517"/>
      <c r="AC264" s="1521"/>
      <c r="AD264" s="1521"/>
      <c r="AE264" s="1522"/>
      <c r="AF264" s="2847"/>
      <c r="AG264" s="2848"/>
      <c r="AH264" s="2848"/>
      <c r="AI264" s="2847"/>
      <c r="AJ264" s="2848"/>
      <c r="AK264" s="2848"/>
      <c r="AL264" s="2329"/>
      <c r="AM264" s="2164"/>
      <c r="AN264" s="2164"/>
      <c r="AO264" s="2164"/>
      <c r="AP264" s="2164"/>
      <c r="AQ264" s="2164"/>
      <c r="AR264" s="2164"/>
      <c r="AS264" s="2164"/>
      <c r="AT264" s="2164"/>
      <c r="AU264" s="2164"/>
      <c r="AV264" s="2164"/>
      <c r="AW264" s="2164"/>
      <c r="AX264" s="2164"/>
      <c r="AY264" s="2164"/>
      <c r="AZ264" s="2164"/>
      <c r="BA264" s="2164"/>
      <c r="BB264" s="2164"/>
      <c r="BC264" s="2164"/>
      <c r="BD264" s="2164"/>
      <c r="BE264" s="2164"/>
      <c r="BF264" s="2164"/>
      <c r="BG264" s="7511"/>
    </row>
    <row customHeight="1" ht="11.25">
      <c r="A265" s="1507" t="s">
        <v>990</v>
      </c>
      <c r="B265" s="1507"/>
      <c r="C265" s="1507"/>
      <c r="D265" s="1501"/>
      <c r="E265" s="1511"/>
      <c r="F265" s="2170"/>
      <c r="G265" s="2171"/>
      <c r="H265" s="2856" t="s">
        <v>1171</v>
      </c>
      <c r="I265" s="2857"/>
      <c r="J265" s="7514"/>
      <c r="K265" s="2858"/>
      <c r="L265" s="2448"/>
      <c r="M265" s="2449"/>
      <c r="N265" s="2849"/>
      <c r="O265" s="2850"/>
      <c r="P265" s="2852"/>
      <c r="Q265" s="7512"/>
      <c r="R265" s="2854"/>
      <c r="S265" s="2855"/>
      <c r="T265" s="2854"/>
      <c r="U265" s="2854"/>
      <c r="V265" s="2854"/>
      <c r="W265" s="2854"/>
      <c r="X265" s="2854"/>
      <c r="Y265" s="2854"/>
      <c r="Z265" s="2169"/>
      <c r="AA265" s="2135">
        <v>1</v>
      </c>
      <c r="AB265" s="1520" t="s">
        <v>1035</v>
      </c>
      <c r="AC265" s="1510">
        <v>5905.35609</v>
      </c>
      <c r="AD265" s="1520" t="str">
        <f>AB265</f>
        <v>      Амортизационные отчисления с выделением результатов переоценки основных средств и нематериальных активов</v>
      </c>
      <c r="AE265" s="1510"/>
      <c r="AF265" s="2847"/>
      <c r="AG265" s="2848"/>
      <c r="AH265" s="2848"/>
      <c r="AI265" s="2847"/>
      <c r="AJ265" s="2848"/>
      <c r="AK265" s="2848"/>
      <c r="AL265" s="2329"/>
      <c r="AM265" s="2164"/>
      <c r="AN265" s="2164"/>
      <c r="AO265" s="2164"/>
      <c r="AP265" s="2164"/>
      <c r="AQ265" s="2164"/>
      <c r="AR265" s="2164"/>
      <c r="AS265" s="2164"/>
      <c r="AT265" s="2164"/>
      <c r="AU265" s="2164"/>
      <c r="AV265" s="2164"/>
      <c r="AW265" s="2164"/>
      <c r="AX265" s="2164"/>
      <c r="AY265" s="2164"/>
      <c r="AZ265" s="2164"/>
      <c r="BA265" s="2164"/>
      <c r="BB265" s="2164"/>
      <c r="BC265" s="2164"/>
      <c r="BD265" s="2164"/>
      <c r="BE265" s="2164"/>
      <c r="BF265" s="2164"/>
      <c r="BG265" s="7511"/>
    </row>
    <row customHeight="1" ht="11.25">
      <c r="A266" s="1507" t="s">
        <v>990</v>
      </c>
      <c r="B266" s="1507"/>
      <c r="C266" s="1507"/>
      <c r="D266" s="1501"/>
      <c r="E266" s="1511"/>
      <c r="F266" s="2171"/>
      <c r="G266" s="2171"/>
      <c r="H266" s="2171"/>
      <c r="I266" s="2171"/>
      <c r="J266" s="2171"/>
      <c r="K266" s="2171"/>
      <c r="L266" s="2171"/>
      <c r="M266" s="2171"/>
      <c r="N266" s="2171"/>
      <c r="O266" s="2171"/>
      <c r="P266" s="2171"/>
      <c r="Q266" s="7515"/>
      <c r="R266" s="2171"/>
      <c r="S266" s="2171"/>
      <c r="T266" s="2171"/>
      <c r="U266" s="2171"/>
      <c r="V266" s="2171"/>
      <c r="W266" s="2171"/>
      <c r="X266" s="2171"/>
      <c r="Y266" s="2171"/>
      <c r="Z266" s="7510" t="s">
        <v>684</v>
      </c>
      <c r="AA266" s="2155" t="s">
        <v>107</v>
      </c>
      <c r="AB266" s="1520" t="s">
        <v>1036</v>
      </c>
      <c r="AC266" s="1510">
        <v>1181.07122</v>
      </c>
      <c r="AD266" s="1520" t="str">
        <f>AB266</f>
        <v>  Прочие собственные средства</v>
      </c>
      <c r="AE266" s="1510"/>
      <c r="AF266" s="2172"/>
      <c r="AG266" s="2100"/>
      <c r="AH266" s="2100"/>
      <c r="AI266" s="2172"/>
      <c r="AJ266" s="2100"/>
      <c r="AK266" s="2328"/>
      <c r="AL266" s="2329"/>
      <c r="AM266" s="2164"/>
      <c r="AN266" s="2164"/>
      <c r="AO266" s="2164"/>
      <c r="AP266" s="2164"/>
      <c r="AQ266" s="2164"/>
      <c r="AR266" s="2164"/>
      <c r="AS266" s="2164"/>
      <c r="AT266" s="2164"/>
      <c r="AU266" s="2164"/>
      <c r="AV266" s="2164"/>
      <c r="AW266" s="2164"/>
      <c r="AX266" s="2164"/>
      <c r="AY266" s="2164"/>
      <c r="AZ266" s="2164"/>
      <c r="BA266" s="2164"/>
      <c r="BB266" s="2164"/>
      <c r="BC266" s="2164"/>
      <c r="BD266" s="2164"/>
      <c r="BE266" s="2164"/>
      <c r="BF266" s="2164"/>
      <c r="BG266" s="7511"/>
    </row>
    <row customHeight="1" ht="11.25">
      <c r="A267" s="1507" t="s">
        <v>990</v>
      </c>
      <c r="B267" s="1507"/>
      <c r="C267" s="1507"/>
      <c r="D267" s="1501"/>
      <c r="E267" s="1511"/>
      <c r="F267" s="2170"/>
      <c r="G267" s="2171"/>
      <c r="H267" s="2856" t="s">
        <v>1171</v>
      </c>
      <c r="I267" s="2857"/>
      <c r="J267" s="7514"/>
      <c r="K267" s="2858"/>
      <c r="L267" s="2448"/>
      <c r="M267" s="2449"/>
      <c r="N267" s="2849"/>
      <c r="O267" s="2850"/>
      <c r="P267" s="2853"/>
      <c r="Q267" s="7512"/>
      <c r="R267" s="2854"/>
      <c r="S267" s="2855"/>
      <c r="T267" s="2854"/>
      <c r="U267" s="2854"/>
      <c r="V267" s="2854"/>
      <c r="W267" s="2854"/>
      <c r="X267" s="2854"/>
      <c r="Y267" s="2854"/>
      <c r="Z267" s="1516"/>
      <c r="AA267" s="1517"/>
      <c r="AB267" s="1582" t="s">
        <v>1037</v>
      </c>
      <c r="AC267" s="1521"/>
      <c r="AD267" s="1521"/>
      <c r="AE267" s="1523"/>
      <c r="AF267" s="2847"/>
      <c r="AG267" s="2848"/>
      <c r="AH267" s="2848"/>
      <c r="AI267" s="2847"/>
      <c r="AJ267" s="2848"/>
      <c r="AK267" s="2848"/>
      <c r="AL267" s="2329"/>
      <c r="AM267" s="2164"/>
      <c r="AN267" s="2164"/>
      <c r="AO267" s="2164"/>
      <c r="AP267" s="2164"/>
      <c r="AQ267" s="2164"/>
      <c r="AR267" s="2164"/>
      <c r="AS267" s="2164"/>
      <c r="AT267" s="2164"/>
      <c r="AU267" s="2164"/>
      <c r="AV267" s="2164"/>
      <c r="AW267" s="2164"/>
      <c r="AX267" s="2164"/>
      <c r="AY267" s="2164"/>
      <c r="AZ267" s="2164"/>
      <c r="BA267" s="2164"/>
      <c r="BB267" s="2164"/>
      <c r="BC267" s="2164"/>
      <c r="BD267" s="2164"/>
      <c r="BE267" s="2164"/>
      <c r="BF267" s="2164"/>
      <c r="BG267" s="7511"/>
    </row>
    <row customHeight="1" ht="11.25">
      <c r="A268" s="1507" t="s">
        <v>990</v>
      </c>
      <c r="B268" s="1507"/>
      <c r="C268" s="1507"/>
      <c r="D268" s="1501"/>
      <c r="E268" s="1511"/>
      <c r="F268" s="2170"/>
      <c r="G268" s="2171"/>
      <c r="H268" s="2856" t="s">
        <v>1171</v>
      </c>
      <c r="I268" s="2857"/>
      <c r="J268" s="7514"/>
      <c r="K268" s="2858"/>
      <c r="L268" s="2448"/>
      <c r="M268" s="2449"/>
      <c r="N268" s="1516"/>
      <c r="O268" s="1517"/>
      <c r="P268" s="1509" t="s">
        <v>1038</v>
      </c>
      <c r="Q268" s="1517"/>
      <c r="R268" s="1517"/>
      <c r="S268" s="1517"/>
      <c r="T268" s="1517"/>
      <c r="U268" s="1517"/>
      <c r="V268" s="1517"/>
      <c r="W268" s="1517"/>
      <c r="X268" s="1517"/>
      <c r="Y268" s="1517"/>
      <c r="Z268" s="1517"/>
      <c r="AA268" s="1517"/>
      <c r="AB268" s="1517"/>
      <c r="AC268" s="1517"/>
      <c r="AD268" s="1517"/>
      <c r="AE268" s="1524"/>
      <c r="AF268" s="2847"/>
      <c r="AG268" s="2848"/>
      <c r="AH268" s="2848"/>
      <c r="AI268" s="2847"/>
      <c r="AJ268" s="2848"/>
      <c r="AK268" s="2848"/>
      <c r="AL268" s="2329"/>
      <c r="AM268" s="2164"/>
      <c r="AN268" s="2164"/>
      <c r="AO268" s="2164"/>
      <c r="AP268" s="2164"/>
      <c r="AQ268" s="2164"/>
      <c r="AR268" s="2164"/>
      <c r="AS268" s="2164"/>
      <c r="AT268" s="2164"/>
      <c r="AU268" s="2164"/>
      <c r="AV268" s="2164"/>
      <c r="AW268" s="2164"/>
      <c r="AX268" s="2164"/>
      <c r="AY268" s="2164"/>
      <c r="AZ268" s="2164"/>
      <c r="BA268" s="2164"/>
      <c r="BB268" s="2164"/>
      <c r="BC268" s="2164"/>
      <c r="BD268" s="2164"/>
      <c r="BE268" s="2164"/>
      <c r="BF268" s="2164"/>
      <c r="BG268" s="7511"/>
    </row>
    <row customHeight="1" ht="11.25">
      <c r="A269" s="1507" t="s">
        <v>990</v>
      </c>
      <c r="B269" s="1507" t="s">
        <v>1022</v>
      </c>
      <c r="C269" s="1507"/>
      <c r="D269" s="1501"/>
      <c r="E269" s="1511"/>
      <c r="F269" s="2170"/>
      <c r="G269" s="7510" t="s">
        <v>684</v>
      </c>
      <c r="H269" s="2856" t="s">
        <v>1175</v>
      </c>
      <c r="I269" s="2857" t="s">
        <v>1023</v>
      </c>
      <c r="J269" s="2826" t="s">
        <v>1024</v>
      </c>
      <c r="K269" s="2858" t="s">
        <v>1176</v>
      </c>
      <c r="L269" s="2448" t="s">
        <v>19</v>
      </c>
      <c r="M269" s="2449"/>
      <c r="N269" s="2327"/>
      <c r="O269" s="1518" t="s">
        <v>371</v>
      </c>
      <c r="P269" s="1519"/>
      <c r="Q269" s="1519"/>
      <c r="R269" s="1519"/>
      <c r="S269" s="1519"/>
      <c r="T269" s="1519"/>
      <c r="U269" s="1519"/>
      <c r="V269" s="1519"/>
      <c r="W269" s="1519"/>
      <c r="X269" s="1519"/>
      <c r="Y269" s="1519"/>
      <c r="Z269" s="1519"/>
      <c r="AA269" s="1519"/>
      <c r="AB269" s="1519"/>
      <c r="AC269" s="1519"/>
      <c r="AD269" s="1519"/>
      <c r="AE269" s="1519"/>
      <c r="AF269" s="2847">
        <v>3</v>
      </c>
      <c r="AG269" s="2848" t="s">
        <v>1026</v>
      </c>
      <c r="AH269" s="2848" t="s">
        <v>1051</v>
      </c>
      <c r="AI269" s="2847"/>
      <c r="AJ269" s="2848"/>
      <c r="AK269" s="2848"/>
      <c r="AL269" s="2329"/>
      <c r="AM269" s="2164"/>
      <c r="AN269" s="2164"/>
      <c r="AO269" s="2164"/>
      <c r="AP269" s="2164"/>
      <c r="AQ269" s="2164"/>
      <c r="AR269" s="2164"/>
      <c r="AS269" s="2164"/>
      <c r="AT269" s="2164"/>
      <c r="AU269" s="2164"/>
      <c r="AV269" s="2164"/>
      <c r="AW269" s="2164"/>
      <c r="AX269" s="2164"/>
      <c r="AY269" s="2164"/>
      <c r="AZ269" s="2164"/>
      <c r="BA269" s="2164"/>
      <c r="BB269" s="2164"/>
      <c r="BC269" s="2164"/>
      <c r="BD269" s="2164"/>
      <c r="BE269" s="2164"/>
      <c r="BF269" s="2164"/>
      <c r="BG269" s="7511"/>
    </row>
    <row customHeight="1" ht="11.25">
      <c r="A270" s="1507" t="s">
        <v>990</v>
      </c>
      <c r="B270" s="1507"/>
      <c r="C270" s="1507"/>
      <c r="D270" s="1501"/>
      <c r="E270" s="1511"/>
      <c r="F270" s="2170"/>
      <c r="G270" s="2171"/>
      <c r="H270" s="2856" t="s">
        <v>1173</v>
      </c>
      <c r="I270" s="2857"/>
      <c r="J270" s="2826"/>
      <c r="K270" s="2858"/>
      <c r="L270" s="2448"/>
      <c r="M270" s="2449"/>
      <c r="N270" s="2849"/>
      <c r="O270" s="2850">
        <v>1</v>
      </c>
      <c r="P270" s="2851" t="s">
        <v>65</v>
      </c>
      <c r="Q270" s="7512" t="s">
        <v>1153</v>
      </c>
      <c r="R270" s="7513" t="s">
        <v>1083</v>
      </c>
      <c r="S270" s="7513" t="s">
        <v>1154</v>
      </c>
      <c r="T270" s="7513" t="s">
        <v>1154</v>
      </c>
      <c r="U270" s="7513" t="s">
        <v>1155</v>
      </c>
      <c r="V270" s="7513" t="s">
        <v>1156</v>
      </c>
      <c r="W270" s="7513" t="s">
        <v>1157</v>
      </c>
      <c r="X270" s="7513" t="s">
        <v>1158</v>
      </c>
      <c r="Y270" s="7513" t="s">
        <v>92</v>
      </c>
      <c r="Z270" s="1516"/>
      <c r="AA270" s="1517"/>
      <c r="AB270" s="1517"/>
      <c r="AC270" s="1521"/>
      <c r="AD270" s="1521"/>
      <c r="AE270" s="1522"/>
      <c r="AF270" s="2847"/>
      <c r="AG270" s="2848"/>
      <c r="AH270" s="2848"/>
      <c r="AI270" s="2847"/>
      <c r="AJ270" s="2848"/>
      <c r="AK270" s="2848"/>
      <c r="AL270" s="2329"/>
      <c r="AM270" s="2164"/>
      <c r="AN270" s="2164"/>
      <c r="AO270" s="2164"/>
      <c r="AP270" s="2164"/>
      <c r="AQ270" s="2164"/>
      <c r="AR270" s="2164"/>
      <c r="AS270" s="2164"/>
      <c r="AT270" s="2164"/>
      <c r="AU270" s="2164"/>
      <c r="AV270" s="2164"/>
      <c r="AW270" s="2164"/>
      <c r="AX270" s="2164"/>
      <c r="AY270" s="2164"/>
      <c r="AZ270" s="2164"/>
      <c r="BA270" s="2164"/>
      <c r="BB270" s="2164"/>
      <c r="BC270" s="2164"/>
      <c r="BD270" s="2164"/>
      <c r="BE270" s="2164"/>
      <c r="BF270" s="2164"/>
      <c r="BG270" s="7511"/>
    </row>
    <row customHeight="1" ht="11.25">
      <c r="A271" s="1507" t="s">
        <v>990</v>
      </c>
      <c r="B271" s="1507"/>
      <c r="C271" s="1507"/>
      <c r="D271" s="1501"/>
      <c r="E271" s="1511"/>
      <c r="F271" s="2170"/>
      <c r="G271" s="2171"/>
      <c r="H271" s="2856" t="s">
        <v>1173</v>
      </c>
      <c r="I271" s="2857"/>
      <c r="J271" s="2826"/>
      <c r="K271" s="2858"/>
      <c r="L271" s="2448"/>
      <c r="M271" s="2449"/>
      <c r="N271" s="2849"/>
      <c r="O271" s="2850"/>
      <c r="P271" s="2852"/>
      <c r="Q271" s="7512"/>
      <c r="R271" s="2854"/>
      <c r="S271" s="2855"/>
      <c r="T271" s="2854"/>
      <c r="U271" s="2854"/>
      <c r="V271" s="2854"/>
      <c r="W271" s="2854"/>
      <c r="X271" s="2854"/>
      <c r="Y271" s="2854"/>
      <c r="Z271" s="2169"/>
      <c r="AA271" s="2135">
        <v>1</v>
      </c>
      <c r="AB271" s="1520" t="s">
        <v>1035</v>
      </c>
      <c r="AC271" s="1510">
        <v>21.505</v>
      </c>
      <c r="AD271" s="1520" t="str">
        <f>AB271</f>
        <v>      Амортизационные отчисления с выделением результатов переоценки основных средств и нематериальных активов</v>
      </c>
      <c r="AE271" s="1510"/>
      <c r="AF271" s="2847"/>
      <c r="AG271" s="2848"/>
      <c r="AH271" s="2848"/>
      <c r="AI271" s="2847"/>
      <c r="AJ271" s="2848"/>
      <c r="AK271" s="2848"/>
      <c r="AL271" s="2329"/>
      <c r="AM271" s="2164"/>
      <c r="AN271" s="2164"/>
      <c r="AO271" s="2164"/>
      <c r="AP271" s="2164"/>
      <c r="AQ271" s="2164"/>
      <c r="AR271" s="2164"/>
      <c r="AS271" s="2164"/>
      <c r="AT271" s="2164"/>
      <c r="AU271" s="2164"/>
      <c r="AV271" s="2164"/>
      <c r="AW271" s="2164"/>
      <c r="AX271" s="2164"/>
      <c r="AY271" s="2164"/>
      <c r="AZ271" s="2164"/>
      <c r="BA271" s="2164"/>
      <c r="BB271" s="2164"/>
      <c r="BC271" s="2164"/>
      <c r="BD271" s="2164"/>
      <c r="BE271" s="2164"/>
      <c r="BF271" s="2164"/>
      <c r="BG271" s="7511"/>
    </row>
    <row customHeight="1" ht="11.25">
      <c r="A272" s="1507" t="s">
        <v>990</v>
      </c>
      <c r="B272" s="1507"/>
      <c r="C272" s="1507"/>
      <c r="D272" s="1501"/>
      <c r="E272" s="1511"/>
      <c r="F272" s="2171"/>
      <c r="G272" s="2171"/>
      <c r="H272" s="2171"/>
      <c r="I272" s="2171"/>
      <c r="J272" s="2171"/>
      <c r="K272" s="2171"/>
      <c r="L272" s="2171"/>
      <c r="M272" s="2171"/>
      <c r="N272" s="2171"/>
      <c r="O272" s="2171"/>
      <c r="P272" s="2171"/>
      <c r="Q272" s="2171"/>
      <c r="R272" s="2171"/>
      <c r="S272" s="2171"/>
      <c r="T272" s="2171"/>
      <c r="U272" s="2171"/>
      <c r="V272" s="2171"/>
      <c r="W272" s="2171"/>
      <c r="X272" s="2171"/>
      <c r="Y272" s="2171"/>
      <c r="Z272" s="7510" t="s">
        <v>684</v>
      </c>
      <c r="AA272" s="2155" t="s">
        <v>107</v>
      </c>
      <c r="AB272" s="1520" t="s">
        <v>1036</v>
      </c>
      <c r="AC272" s="1510">
        <v>5439.101</v>
      </c>
      <c r="AD272" s="1520" t="str">
        <f>AB272</f>
        <v>  Прочие собственные средства</v>
      </c>
      <c r="AE272" s="1510"/>
      <c r="AF272" s="2172"/>
      <c r="AG272" s="2100"/>
      <c r="AH272" s="2100"/>
      <c r="AI272" s="2172"/>
      <c r="AJ272" s="2100"/>
      <c r="AK272" s="2328"/>
      <c r="AL272" s="2329"/>
      <c r="AM272" s="2164"/>
      <c r="AN272" s="2164"/>
      <c r="AO272" s="2164"/>
      <c r="AP272" s="2164"/>
      <c r="AQ272" s="2164"/>
      <c r="AR272" s="2164"/>
      <c r="AS272" s="2164"/>
      <c r="AT272" s="2164"/>
      <c r="AU272" s="2164"/>
      <c r="AV272" s="2164"/>
      <c r="AW272" s="2164"/>
      <c r="AX272" s="2164"/>
      <c r="AY272" s="2164"/>
      <c r="AZ272" s="2164"/>
      <c r="BA272" s="2164"/>
      <c r="BB272" s="2164"/>
      <c r="BC272" s="2164"/>
      <c r="BD272" s="2164"/>
      <c r="BE272" s="2164"/>
      <c r="BF272" s="2164"/>
      <c r="BG272" s="7511"/>
    </row>
    <row customHeight="1" ht="11.25">
      <c r="A273" s="1507" t="s">
        <v>990</v>
      </c>
      <c r="B273" s="1507"/>
      <c r="C273" s="1507"/>
      <c r="D273" s="1501"/>
      <c r="E273" s="1511"/>
      <c r="F273" s="2170"/>
      <c r="G273" s="2171"/>
      <c r="H273" s="2856" t="s">
        <v>1173</v>
      </c>
      <c r="I273" s="2857"/>
      <c r="J273" s="2826"/>
      <c r="K273" s="2858"/>
      <c r="L273" s="2448"/>
      <c r="M273" s="2449"/>
      <c r="N273" s="2849"/>
      <c r="O273" s="2850"/>
      <c r="P273" s="2853"/>
      <c r="Q273" s="7512"/>
      <c r="R273" s="2854"/>
      <c r="S273" s="2855"/>
      <c r="T273" s="2854"/>
      <c r="U273" s="2854"/>
      <c r="V273" s="2854"/>
      <c r="W273" s="2854"/>
      <c r="X273" s="2854"/>
      <c r="Y273" s="2854"/>
      <c r="Z273" s="1516"/>
      <c r="AA273" s="1517"/>
      <c r="AB273" s="1582" t="s">
        <v>1037</v>
      </c>
      <c r="AC273" s="1521"/>
      <c r="AD273" s="1521"/>
      <c r="AE273" s="1523"/>
      <c r="AF273" s="2847"/>
      <c r="AG273" s="2848"/>
      <c r="AH273" s="2848"/>
      <c r="AI273" s="2847"/>
      <c r="AJ273" s="2848"/>
      <c r="AK273" s="2848"/>
      <c r="AL273" s="2329"/>
      <c r="AM273" s="2164"/>
      <c r="AN273" s="2164"/>
      <c r="AO273" s="2164"/>
      <c r="AP273" s="2164"/>
      <c r="AQ273" s="2164"/>
      <c r="AR273" s="2164"/>
      <c r="AS273" s="2164"/>
      <c r="AT273" s="2164"/>
      <c r="AU273" s="2164"/>
      <c r="AV273" s="2164"/>
      <c r="AW273" s="2164"/>
      <c r="AX273" s="2164"/>
      <c r="AY273" s="2164"/>
      <c r="AZ273" s="2164"/>
      <c r="BA273" s="2164"/>
      <c r="BB273" s="2164"/>
      <c r="BC273" s="2164"/>
      <c r="BD273" s="2164"/>
      <c r="BE273" s="2164"/>
      <c r="BF273" s="2164"/>
      <c r="BG273" s="7511"/>
    </row>
    <row customHeight="1" ht="11.25">
      <c r="A274" s="1507" t="s">
        <v>990</v>
      </c>
      <c r="B274" s="1507"/>
      <c r="C274" s="1507"/>
      <c r="D274" s="1501"/>
      <c r="E274" s="1511"/>
      <c r="F274" s="2170"/>
      <c r="G274" s="2171"/>
      <c r="H274" s="2856" t="s">
        <v>1173</v>
      </c>
      <c r="I274" s="2857"/>
      <c r="J274" s="2826"/>
      <c r="K274" s="2858"/>
      <c r="L274" s="2448"/>
      <c r="M274" s="2449"/>
      <c r="N274" s="1516"/>
      <c r="O274" s="1517"/>
      <c r="P274" s="1509" t="s">
        <v>1038</v>
      </c>
      <c r="Q274" s="1517"/>
      <c r="R274" s="1517"/>
      <c r="S274" s="1517"/>
      <c r="T274" s="1517"/>
      <c r="U274" s="1517"/>
      <c r="V274" s="1517"/>
      <c r="W274" s="1517"/>
      <c r="X274" s="1517"/>
      <c r="Y274" s="1517"/>
      <c r="Z274" s="1517"/>
      <c r="AA274" s="1517"/>
      <c r="AB274" s="1517"/>
      <c r="AC274" s="1517"/>
      <c r="AD274" s="1517"/>
      <c r="AE274" s="1524"/>
      <c r="AF274" s="2847"/>
      <c r="AG274" s="2848"/>
      <c r="AH274" s="2848"/>
      <c r="AI274" s="2847"/>
      <c r="AJ274" s="2848"/>
      <c r="AK274" s="2848"/>
      <c r="AL274" s="2329"/>
      <c r="AM274" s="2164"/>
      <c r="AN274" s="2164"/>
      <c r="AO274" s="2164"/>
      <c r="AP274" s="2164"/>
      <c r="AQ274" s="2164"/>
      <c r="AR274" s="2164"/>
      <c r="AS274" s="2164"/>
      <c r="AT274" s="2164"/>
      <c r="AU274" s="2164"/>
      <c r="AV274" s="2164"/>
      <c r="AW274" s="2164"/>
      <c r="AX274" s="2164"/>
      <c r="AY274" s="2164"/>
      <c r="AZ274" s="2164"/>
      <c r="BA274" s="2164"/>
      <c r="BB274" s="2164"/>
      <c r="BC274" s="2164"/>
      <c r="BD274" s="2164"/>
      <c r="BE274" s="2164"/>
      <c r="BF274" s="2164"/>
      <c r="BG274" s="7511"/>
    </row>
    <row customHeight="1" ht="11.25">
      <c r="A275" s="1507" t="s">
        <v>990</v>
      </c>
      <c r="B275" s="1507" t="s">
        <v>1022</v>
      </c>
      <c r="C275" s="1507"/>
      <c r="D275" s="1501"/>
      <c r="E275" s="1511"/>
      <c r="F275" s="2170"/>
      <c r="G275" s="7510" t="s">
        <v>684</v>
      </c>
      <c r="H275" s="2856" t="s">
        <v>1177</v>
      </c>
      <c r="I275" s="2857" t="s">
        <v>1023</v>
      </c>
      <c r="J275" s="2826" t="s">
        <v>1024</v>
      </c>
      <c r="K275" s="2858" t="s">
        <v>1178</v>
      </c>
      <c r="L275" s="2448" t="s">
        <v>19</v>
      </c>
      <c r="M275" s="2449"/>
      <c r="N275" s="2327"/>
      <c r="O275" s="1518" t="s">
        <v>371</v>
      </c>
      <c r="P275" s="1519"/>
      <c r="Q275" s="1519"/>
      <c r="R275" s="1519"/>
      <c r="S275" s="1519"/>
      <c r="T275" s="1519"/>
      <c r="U275" s="1519"/>
      <c r="V275" s="1519"/>
      <c r="W275" s="1519"/>
      <c r="X275" s="1519"/>
      <c r="Y275" s="1519"/>
      <c r="Z275" s="1519"/>
      <c r="AA275" s="1519"/>
      <c r="AB275" s="1519"/>
      <c r="AC275" s="1519"/>
      <c r="AD275" s="1519"/>
      <c r="AE275" s="1519"/>
      <c r="AF275" s="2847">
        <v>3</v>
      </c>
      <c r="AG275" s="2848" t="s">
        <v>1026</v>
      </c>
      <c r="AH275" s="2848" t="s">
        <v>1051</v>
      </c>
      <c r="AI275" s="2847"/>
      <c r="AJ275" s="2848"/>
      <c r="AK275" s="2848"/>
      <c r="AL275" s="2329"/>
      <c r="AM275" s="2164"/>
      <c r="AN275" s="2164"/>
      <c r="AO275" s="2164"/>
      <c r="AP275" s="2164"/>
      <c r="AQ275" s="2164"/>
      <c r="AR275" s="2164"/>
      <c r="AS275" s="2164"/>
      <c r="AT275" s="2164"/>
      <c r="AU275" s="2164"/>
      <c r="AV275" s="2164"/>
      <c r="AW275" s="2164"/>
      <c r="AX275" s="2164"/>
      <c r="AY275" s="2164"/>
      <c r="AZ275" s="2164"/>
      <c r="BA275" s="2164"/>
      <c r="BB275" s="2164"/>
      <c r="BC275" s="2164"/>
      <c r="BD275" s="2164"/>
      <c r="BE275" s="2164"/>
      <c r="BF275" s="2164"/>
      <c r="BG275" s="7511"/>
    </row>
    <row customHeight="1" ht="11.25">
      <c r="A276" s="1507" t="s">
        <v>990</v>
      </c>
      <c r="B276" s="1507"/>
      <c r="C276" s="1507"/>
      <c r="D276" s="1501"/>
      <c r="E276" s="1511"/>
      <c r="F276" s="2170"/>
      <c r="G276" s="2171"/>
      <c r="H276" s="2856" t="s">
        <v>1175</v>
      </c>
      <c r="I276" s="2857"/>
      <c r="J276" s="2826"/>
      <c r="K276" s="2858"/>
      <c r="L276" s="2448"/>
      <c r="M276" s="2449"/>
      <c r="N276" s="2849"/>
      <c r="O276" s="2850">
        <v>1</v>
      </c>
      <c r="P276" s="2851" t="s">
        <v>65</v>
      </c>
      <c r="Q276" s="7512" t="s">
        <v>1153</v>
      </c>
      <c r="R276" s="7513" t="s">
        <v>1083</v>
      </c>
      <c r="S276" s="7513" t="s">
        <v>1154</v>
      </c>
      <c r="T276" s="7513" t="s">
        <v>1154</v>
      </c>
      <c r="U276" s="7513" t="s">
        <v>1155</v>
      </c>
      <c r="V276" s="7513" t="s">
        <v>1156</v>
      </c>
      <c r="W276" s="7513" t="s">
        <v>1157</v>
      </c>
      <c r="X276" s="7513" t="s">
        <v>1158</v>
      </c>
      <c r="Y276" s="7513" t="s">
        <v>92</v>
      </c>
      <c r="Z276" s="1516"/>
      <c r="AA276" s="1517"/>
      <c r="AB276" s="1517"/>
      <c r="AC276" s="1521"/>
      <c r="AD276" s="1521"/>
      <c r="AE276" s="1522"/>
      <c r="AF276" s="2847"/>
      <c r="AG276" s="2848"/>
      <c r="AH276" s="2848"/>
      <c r="AI276" s="2847"/>
      <c r="AJ276" s="2848"/>
      <c r="AK276" s="2848"/>
      <c r="AL276" s="2329"/>
      <c r="AM276" s="2164"/>
      <c r="AN276" s="2164"/>
      <c r="AO276" s="2164"/>
      <c r="AP276" s="2164"/>
      <c r="AQ276" s="2164"/>
      <c r="AR276" s="2164"/>
      <c r="AS276" s="2164"/>
      <c r="AT276" s="2164"/>
      <c r="AU276" s="2164"/>
      <c r="AV276" s="2164"/>
      <c r="AW276" s="2164"/>
      <c r="AX276" s="2164"/>
      <c r="AY276" s="2164"/>
      <c r="AZ276" s="2164"/>
      <c r="BA276" s="2164"/>
      <c r="BB276" s="2164"/>
      <c r="BC276" s="2164"/>
      <c r="BD276" s="2164"/>
      <c r="BE276" s="2164"/>
      <c r="BF276" s="2164"/>
      <c r="BG276" s="7511"/>
    </row>
    <row customHeight="1" ht="11.25">
      <c r="A277" s="1507" t="s">
        <v>990</v>
      </c>
      <c r="B277" s="1507"/>
      <c r="C277" s="1507"/>
      <c r="D277" s="1501"/>
      <c r="E277" s="1511"/>
      <c r="F277" s="2170"/>
      <c r="G277" s="2171"/>
      <c r="H277" s="2856" t="s">
        <v>1175</v>
      </c>
      <c r="I277" s="2857"/>
      <c r="J277" s="2826"/>
      <c r="K277" s="2858"/>
      <c r="L277" s="2448"/>
      <c r="M277" s="2449"/>
      <c r="N277" s="2849"/>
      <c r="O277" s="2850"/>
      <c r="P277" s="2852"/>
      <c r="Q277" s="7512"/>
      <c r="R277" s="2854"/>
      <c r="S277" s="2855"/>
      <c r="T277" s="2854"/>
      <c r="U277" s="2854"/>
      <c r="V277" s="2854"/>
      <c r="W277" s="2854"/>
      <c r="X277" s="2854"/>
      <c r="Y277" s="2854"/>
      <c r="Z277" s="2169"/>
      <c r="AA277" s="2135">
        <v>1</v>
      </c>
      <c r="AB277" s="1520" t="s">
        <v>1036</v>
      </c>
      <c r="AC277" s="1510">
        <v>1570.8</v>
      </c>
      <c r="AD277" s="1520" t="str">
        <f>AB277</f>
        <v>  Прочие собственные средства</v>
      </c>
      <c r="AE277" s="1510"/>
      <c r="AF277" s="2847"/>
      <c r="AG277" s="2848"/>
      <c r="AH277" s="2848"/>
      <c r="AI277" s="2847"/>
      <c r="AJ277" s="2848"/>
      <c r="AK277" s="2848"/>
      <c r="AL277" s="2329"/>
      <c r="AM277" s="2164"/>
      <c r="AN277" s="2164"/>
      <c r="AO277" s="2164"/>
      <c r="AP277" s="2164"/>
      <c r="AQ277" s="2164"/>
      <c r="AR277" s="2164"/>
      <c r="AS277" s="2164"/>
      <c r="AT277" s="2164"/>
      <c r="AU277" s="2164"/>
      <c r="AV277" s="2164"/>
      <c r="AW277" s="2164"/>
      <c r="AX277" s="2164"/>
      <c r="AY277" s="2164"/>
      <c r="AZ277" s="2164"/>
      <c r="BA277" s="2164"/>
      <c r="BB277" s="2164"/>
      <c r="BC277" s="2164"/>
      <c r="BD277" s="2164"/>
      <c r="BE277" s="2164"/>
      <c r="BF277" s="2164"/>
      <c r="BG277" s="7511"/>
    </row>
    <row customHeight="1" ht="11.25">
      <c r="A278" s="1507" t="s">
        <v>990</v>
      </c>
      <c r="B278" s="1507"/>
      <c r="C278" s="1507"/>
      <c r="D278" s="1501"/>
      <c r="E278" s="1511"/>
      <c r="F278" s="2170"/>
      <c r="G278" s="2171"/>
      <c r="H278" s="2856" t="s">
        <v>1175</v>
      </c>
      <c r="I278" s="2857"/>
      <c r="J278" s="2826"/>
      <c r="K278" s="2858"/>
      <c r="L278" s="2448"/>
      <c r="M278" s="2449"/>
      <c r="N278" s="2849"/>
      <c r="O278" s="2850"/>
      <c r="P278" s="2853"/>
      <c r="Q278" s="7512"/>
      <c r="R278" s="2854"/>
      <c r="S278" s="2855"/>
      <c r="T278" s="2854"/>
      <c r="U278" s="2854"/>
      <c r="V278" s="2854"/>
      <c r="W278" s="2854"/>
      <c r="X278" s="2854"/>
      <c r="Y278" s="2854"/>
      <c r="Z278" s="1516"/>
      <c r="AA278" s="1517"/>
      <c r="AB278" s="1582" t="s">
        <v>1037</v>
      </c>
      <c r="AC278" s="1521"/>
      <c r="AD278" s="1521"/>
      <c r="AE278" s="1523"/>
      <c r="AF278" s="2847"/>
      <c r="AG278" s="2848"/>
      <c r="AH278" s="2848"/>
      <c r="AI278" s="2847"/>
      <c r="AJ278" s="2848"/>
      <c r="AK278" s="2848"/>
      <c r="AL278" s="2329"/>
      <c r="AM278" s="2164"/>
      <c r="AN278" s="2164"/>
      <c r="AO278" s="2164"/>
      <c r="AP278" s="2164"/>
      <c r="AQ278" s="2164"/>
      <c r="AR278" s="2164"/>
      <c r="AS278" s="2164"/>
      <c r="AT278" s="2164"/>
      <c r="AU278" s="2164"/>
      <c r="AV278" s="2164"/>
      <c r="AW278" s="2164"/>
      <c r="AX278" s="2164"/>
      <c r="AY278" s="2164"/>
      <c r="AZ278" s="2164"/>
      <c r="BA278" s="2164"/>
      <c r="BB278" s="2164"/>
      <c r="BC278" s="2164"/>
      <c r="BD278" s="2164"/>
      <c r="BE278" s="2164"/>
      <c r="BF278" s="2164"/>
      <c r="BG278" s="7511"/>
    </row>
    <row customHeight="1" ht="11.25">
      <c r="A279" s="1507" t="s">
        <v>990</v>
      </c>
      <c r="B279" s="1507"/>
      <c r="C279" s="1507"/>
      <c r="D279" s="1501"/>
      <c r="E279" s="1511"/>
      <c r="F279" s="2170"/>
      <c r="G279" s="2171"/>
      <c r="H279" s="2856" t="s">
        <v>1175</v>
      </c>
      <c r="I279" s="2857"/>
      <c r="J279" s="2826"/>
      <c r="K279" s="2858"/>
      <c r="L279" s="2448"/>
      <c r="M279" s="2449"/>
      <c r="N279" s="1516"/>
      <c r="O279" s="1517"/>
      <c r="P279" s="1509" t="s">
        <v>1038</v>
      </c>
      <c r="Q279" s="1517"/>
      <c r="R279" s="1517"/>
      <c r="S279" s="1517"/>
      <c r="T279" s="1517"/>
      <c r="U279" s="1517"/>
      <c r="V279" s="1517"/>
      <c r="W279" s="1517"/>
      <c r="X279" s="1517"/>
      <c r="Y279" s="1517"/>
      <c r="Z279" s="1517"/>
      <c r="AA279" s="1517"/>
      <c r="AB279" s="1517"/>
      <c r="AC279" s="1517"/>
      <c r="AD279" s="1517"/>
      <c r="AE279" s="1524"/>
      <c r="AF279" s="2847"/>
      <c r="AG279" s="2848"/>
      <c r="AH279" s="2848"/>
      <c r="AI279" s="2847"/>
      <c r="AJ279" s="2848"/>
      <c r="AK279" s="2848"/>
      <c r="AL279" s="2329"/>
      <c r="AM279" s="2164"/>
      <c r="AN279" s="2164"/>
      <c r="AO279" s="2164"/>
      <c r="AP279" s="2164"/>
      <c r="AQ279" s="2164"/>
      <c r="AR279" s="2164"/>
      <c r="AS279" s="2164"/>
      <c r="AT279" s="2164"/>
      <c r="AU279" s="2164"/>
      <c r="AV279" s="2164"/>
      <c r="AW279" s="2164"/>
      <c r="AX279" s="2164"/>
      <c r="AY279" s="2164"/>
      <c r="AZ279" s="2164"/>
      <c r="BA279" s="2164"/>
      <c r="BB279" s="2164"/>
      <c r="BC279" s="2164"/>
      <c r="BD279" s="2164"/>
      <c r="BE279" s="2164"/>
      <c r="BF279" s="2164"/>
      <c r="BG279" s="7511"/>
    </row>
    <row customHeight="1" ht="12">
      <c r="A280" s="1507" t="s">
        <v>990</v>
      </c>
      <c r="B280" s="1507"/>
      <c r="C280" s="1507"/>
      <c r="D280" s="1501"/>
      <c r="E280" s="1511"/>
      <c r="F280" s="2878"/>
      <c r="G280" s="1531"/>
      <c r="H280" s="1531"/>
      <c r="I280" s="2876" t="s">
        <v>1179</v>
      </c>
      <c r="J280" s="2876"/>
      <c r="K280" s="2876"/>
      <c r="L280" s="1514"/>
      <c r="M280" s="1514"/>
      <c r="N280" s="1515"/>
      <c r="O280" s="1515"/>
      <c r="P280" s="1515"/>
      <c r="Q280" s="1515"/>
      <c r="R280" s="1515"/>
      <c r="S280" s="1515"/>
      <c r="T280" s="1515"/>
      <c r="U280" s="1515"/>
      <c r="V280" s="1515"/>
      <c r="W280" s="1515"/>
      <c r="X280" s="1515"/>
      <c r="Y280" s="1515"/>
      <c r="Z280" s="1515"/>
      <c r="AA280" s="1515"/>
      <c r="AB280" s="1515"/>
      <c r="AC280" s="1515"/>
      <c r="AD280" s="1515"/>
      <c r="AE280" s="1515"/>
      <c r="AF280" s="1515"/>
      <c r="AG280" s="1514"/>
      <c r="AH280" s="1514"/>
      <c r="AI280" s="1515"/>
      <c r="AJ280" s="1514"/>
      <c r="AK280" s="1515"/>
      <c r="AL280" s="2329"/>
      <c r="AM280" s="2164"/>
      <c r="AN280" s="2164"/>
      <c r="AO280" s="2164"/>
      <c r="AP280" s="2164"/>
      <c r="AQ280" s="2164"/>
      <c r="AR280" s="2164"/>
      <c r="AS280" s="2164"/>
      <c r="AT280" s="2164"/>
      <c r="AU280" s="2164"/>
      <c r="AV280" s="2164"/>
      <c r="AW280" s="2164"/>
      <c r="AX280" s="2164"/>
      <c r="AY280" s="2164"/>
      <c r="AZ280" s="2164"/>
      <c r="BA280" s="2164"/>
      <c r="BB280" s="2164"/>
      <c r="BC280" s="2164"/>
      <c r="BD280" s="2164"/>
      <c r="BE280" s="2164"/>
      <c r="BF280" s="2164"/>
      <c r="BG280" s="4573"/>
    </row>
    <row customHeight="1" ht="0.75">
      <c r="A281" s="1507" t="s">
        <v>990</v>
      </c>
      <c r="B281" s="1507"/>
      <c r="C281" s="1507"/>
      <c r="D281" s="1501"/>
      <c r="E281" s="1511"/>
      <c r="F281" s="2877">
        <v>2025</v>
      </c>
      <c r="G281" s="2856"/>
      <c r="H281" s="2881" t="s">
        <v>371</v>
      </c>
      <c r="I281" s="2882"/>
      <c r="J281" s="2883"/>
      <c r="K281" s="2883"/>
      <c r="L281" s="2875"/>
      <c r="M281" s="2609"/>
      <c r="N281" s="2377"/>
      <c r="O281" s="2376"/>
      <c r="P281" s="2377"/>
      <c r="Q281" s="2377"/>
      <c r="R281" s="2377"/>
      <c r="S281" s="2377"/>
      <c r="T281" s="2377"/>
      <c r="U281" s="2377"/>
      <c r="V281" s="2377"/>
      <c r="W281" s="2377"/>
      <c r="X281" s="2377"/>
      <c r="Y281" s="2377"/>
      <c r="Z281" s="2377"/>
      <c r="AA281" s="2377"/>
      <c r="AB281" s="2377"/>
      <c r="AC281" s="2377"/>
      <c r="AD281" s="2377"/>
      <c r="AE281" s="2377"/>
      <c r="AF281" s="2879"/>
      <c r="AG281" s="2875"/>
      <c r="AH281" s="2875"/>
      <c r="AI281" s="2879"/>
      <c r="AJ281" s="2875"/>
      <c r="AK281" s="2875"/>
      <c r="AL281" s="2329"/>
      <c r="AM281" s="2164"/>
      <c r="AN281" s="2164"/>
      <c r="AO281" s="2164"/>
      <c r="AP281" s="2164"/>
      <c r="AQ281" s="2164"/>
      <c r="AR281" s="2164"/>
      <c r="AS281" s="2164"/>
      <c r="AT281" s="2164"/>
      <c r="AU281" s="2164"/>
      <c r="AV281" s="2164"/>
      <c r="AW281" s="2164"/>
      <c r="AX281" s="2164"/>
      <c r="AY281" s="2164"/>
      <c r="AZ281" s="2164"/>
      <c r="BA281" s="2164"/>
      <c r="BB281" s="2164"/>
      <c r="BC281" s="2164"/>
      <c r="BD281" s="2164"/>
      <c r="BE281" s="2164"/>
      <c r="BF281" s="2164"/>
      <c r="BG281" s="4573"/>
    </row>
    <row customHeight="1" ht="0.75">
      <c r="A282" s="1507" t="s">
        <v>990</v>
      </c>
      <c r="B282" s="1507"/>
      <c r="C282" s="1507"/>
      <c r="D282" s="1501"/>
      <c r="E282" s="1511"/>
      <c r="F282" s="2877"/>
      <c r="G282" s="2856"/>
      <c r="H282" s="2881"/>
      <c r="I282" s="2882"/>
      <c r="J282" s="2883"/>
      <c r="K282" s="2883"/>
      <c r="L282" s="2875"/>
      <c r="M282" s="2609"/>
      <c r="N282" s="2884"/>
      <c r="O282" s="2885"/>
      <c r="P282" s="2929"/>
      <c r="Q282" s="2880"/>
      <c r="R282" s="2880"/>
      <c r="S282" s="2880"/>
      <c r="T282" s="2880"/>
      <c r="U282" s="2880"/>
      <c r="V282" s="2880"/>
      <c r="W282" s="2880"/>
      <c r="X282" s="2880"/>
      <c r="Y282" s="2880"/>
      <c r="Z282" s="2378"/>
      <c r="AA282" s="2379"/>
      <c r="AB282" s="2379"/>
      <c r="AC282" s="2380"/>
      <c r="AD282" s="2380"/>
      <c r="AE282" s="2381"/>
      <c r="AF282" s="2879"/>
      <c r="AG282" s="2875"/>
      <c r="AH282" s="2875"/>
      <c r="AI282" s="2879"/>
      <c r="AJ282" s="2875"/>
      <c r="AK282" s="2875"/>
      <c r="AL282" s="2329"/>
      <c r="AM282" s="2164"/>
      <c r="AN282" s="2164"/>
      <c r="AO282" s="2164"/>
      <c r="AP282" s="2164"/>
      <c r="AQ282" s="2164"/>
      <c r="AR282" s="2164"/>
      <c r="AS282" s="2164"/>
      <c r="AT282" s="2164"/>
      <c r="AU282" s="2164"/>
      <c r="AV282" s="2164"/>
      <c r="AW282" s="2164"/>
      <c r="AX282" s="2164"/>
      <c r="AY282" s="2164"/>
      <c r="AZ282" s="2164"/>
      <c r="BA282" s="2164"/>
      <c r="BB282" s="2164"/>
      <c r="BC282" s="2164"/>
      <c r="BD282" s="2164"/>
      <c r="BE282" s="2164"/>
      <c r="BF282" s="2164"/>
      <c r="BG282" s="4573"/>
    </row>
    <row customHeight="1" ht="0.75">
      <c r="A283" s="1507" t="s">
        <v>990</v>
      </c>
      <c r="B283" s="1507"/>
      <c r="C283" s="1507"/>
      <c r="D283" s="1501"/>
      <c r="E283" s="1511"/>
      <c r="F283" s="2877"/>
      <c r="G283" s="2856"/>
      <c r="H283" s="2881"/>
      <c r="I283" s="2882"/>
      <c r="J283" s="2883"/>
      <c r="K283" s="2883"/>
      <c r="L283" s="2875"/>
      <c r="M283" s="2609"/>
      <c r="N283" s="2884"/>
      <c r="O283" s="2885"/>
      <c r="P283" s="2930"/>
      <c r="Q283" s="2880"/>
      <c r="R283" s="2880"/>
      <c r="S283" s="2880"/>
      <c r="T283" s="2880"/>
      <c r="U283" s="2880"/>
      <c r="V283" s="2880"/>
      <c r="W283" s="2880"/>
      <c r="X283" s="2880"/>
      <c r="Y283" s="2880"/>
      <c r="Z283" s="2382"/>
      <c r="AA283" s="2383"/>
      <c r="AB283" s="2384"/>
      <c r="AC283" s="2385"/>
      <c r="AD283" s="2384"/>
      <c r="AE283" s="2385"/>
      <c r="AF283" s="2879"/>
      <c r="AG283" s="2875"/>
      <c r="AH283" s="2875"/>
      <c r="AI283" s="2879"/>
      <c r="AJ283" s="2875"/>
      <c r="AK283" s="2875"/>
      <c r="AL283" s="2329"/>
      <c r="AM283" s="2164"/>
      <c r="AN283" s="2164"/>
      <c r="AO283" s="2164"/>
      <c r="AP283" s="2164"/>
      <c r="AQ283" s="2164"/>
      <c r="AR283" s="2164"/>
      <c r="AS283" s="2164"/>
      <c r="AT283" s="2164"/>
      <c r="AU283" s="2164"/>
      <c r="AV283" s="2164"/>
      <c r="AW283" s="2164"/>
      <c r="AX283" s="2164"/>
      <c r="AY283" s="2164"/>
      <c r="AZ283" s="2164"/>
      <c r="BA283" s="2164"/>
      <c r="BB283" s="2164"/>
      <c r="BC283" s="2164"/>
      <c r="BD283" s="2164"/>
      <c r="BE283" s="2164"/>
      <c r="BF283" s="2164"/>
      <c r="BG283" s="4573"/>
    </row>
    <row customHeight="1" ht="0.75">
      <c r="A284" s="1507" t="s">
        <v>990</v>
      </c>
      <c r="B284" s="1507"/>
      <c r="C284" s="1507"/>
      <c r="D284" s="1501"/>
      <c r="E284" s="1511"/>
      <c r="F284" s="2877"/>
      <c r="G284" s="2856"/>
      <c r="H284" s="2881"/>
      <c r="I284" s="2882"/>
      <c r="J284" s="2883"/>
      <c r="K284" s="2883"/>
      <c r="L284" s="2875"/>
      <c r="M284" s="2609"/>
      <c r="N284" s="2884"/>
      <c r="O284" s="2885"/>
      <c r="P284" s="2931"/>
      <c r="Q284" s="2880"/>
      <c r="R284" s="2880"/>
      <c r="S284" s="2880"/>
      <c r="T284" s="2880"/>
      <c r="U284" s="2880"/>
      <c r="V284" s="2880"/>
      <c r="W284" s="2880"/>
      <c r="X284" s="2880"/>
      <c r="Y284" s="2880"/>
      <c r="Z284" s="2378"/>
      <c r="AA284" s="2379"/>
      <c r="AB284" s="2386"/>
      <c r="AC284" s="2380"/>
      <c r="AD284" s="2380"/>
      <c r="AE284" s="2387"/>
      <c r="AF284" s="2879"/>
      <c r="AG284" s="2875"/>
      <c r="AH284" s="2875"/>
      <c r="AI284" s="2879"/>
      <c r="AJ284" s="2875"/>
      <c r="AK284" s="2875"/>
      <c r="AL284" s="2329"/>
      <c r="AM284" s="2164"/>
      <c r="AN284" s="2164"/>
      <c r="AO284" s="2164"/>
      <c r="AP284" s="2164"/>
      <c r="AQ284" s="2164"/>
      <c r="AR284" s="2164"/>
      <c r="AS284" s="2164"/>
      <c r="AT284" s="2164"/>
      <c r="AU284" s="2164"/>
      <c r="AV284" s="2164"/>
      <c r="AW284" s="2164"/>
      <c r="AX284" s="2164"/>
      <c r="AY284" s="2164"/>
      <c r="AZ284" s="2164"/>
      <c r="BA284" s="2164"/>
      <c r="BB284" s="2164"/>
      <c r="BC284" s="2164"/>
      <c r="BD284" s="2164"/>
      <c r="BE284" s="2164"/>
      <c r="BF284" s="2164"/>
      <c r="BG284" s="4573"/>
    </row>
    <row customHeight="1" ht="0.75">
      <c r="A285" s="1507" t="s">
        <v>990</v>
      </c>
      <c r="B285" s="1507"/>
      <c r="C285" s="1507"/>
      <c r="D285" s="1501"/>
      <c r="E285" s="1511"/>
      <c r="F285" s="2877"/>
      <c r="G285" s="2856"/>
      <c r="H285" s="2881"/>
      <c r="I285" s="2882"/>
      <c r="J285" s="2883"/>
      <c r="K285" s="2883"/>
      <c r="L285" s="2875"/>
      <c r="M285" s="2609"/>
      <c r="N285" s="2379"/>
      <c r="O285" s="2379"/>
      <c r="P285" s="2386"/>
      <c r="Q285" s="2379"/>
      <c r="R285" s="2379"/>
      <c r="S285" s="2379"/>
      <c r="T285" s="2379"/>
      <c r="U285" s="2379"/>
      <c r="V285" s="2379"/>
      <c r="W285" s="2379"/>
      <c r="X285" s="2379"/>
      <c r="Y285" s="2379"/>
      <c r="Z285" s="2379"/>
      <c r="AA285" s="2379"/>
      <c r="AB285" s="2379"/>
      <c r="AC285" s="2379"/>
      <c r="AD285" s="2379"/>
      <c r="AE285" s="2388"/>
      <c r="AF285" s="2879"/>
      <c r="AG285" s="2875"/>
      <c r="AH285" s="2875"/>
      <c r="AI285" s="2879"/>
      <c r="AJ285" s="2875"/>
      <c r="AK285" s="2875"/>
      <c r="AL285" s="2329"/>
      <c r="AM285" s="2164"/>
      <c r="AN285" s="2164"/>
      <c r="AO285" s="2164"/>
      <c r="AP285" s="2164"/>
      <c r="AQ285" s="2164"/>
      <c r="AR285" s="2164"/>
      <c r="AS285" s="2164"/>
      <c r="AT285" s="2164"/>
      <c r="AU285" s="2164"/>
      <c r="AV285" s="2164"/>
      <c r="AW285" s="2164"/>
      <c r="AX285" s="2164"/>
      <c r="AY285" s="2164"/>
      <c r="AZ285" s="2164"/>
      <c r="BA285" s="2164"/>
      <c r="BB285" s="2164"/>
      <c r="BC285" s="2164"/>
      <c r="BD285" s="2164"/>
      <c r="BE285" s="2164"/>
      <c r="BF285" s="2164"/>
      <c r="BG285" s="4573"/>
    </row>
    <row customHeight="1" ht="11.25">
      <c r="A286" s="1507" t="s">
        <v>990</v>
      </c>
      <c r="B286" s="1507" t="s">
        <v>1022</v>
      </c>
      <c r="C286" s="1507"/>
      <c r="D286" s="1501"/>
      <c r="E286" s="1511"/>
      <c r="F286" s="2170"/>
      <c r="G286" s="4557" t="s">
        <v>684</v>
      </c>
      <c r="H286" s="2856" t="s">
        <v>106</v>
      </c>
      <c r="I286" s="2857" t="s">
        <v>1023</v>
      </c>
      <c r="J286" s="2826" t="s">
        <v>1024</v>
      </c>
      <c r="K286" s="2858" t="s">
        <v>1025</v>
      </c>
      <c r="L286" s="2448" t="s">
        <v>19</v>
      </c>
      <c r="M286" s="2449"/>
      <c r="N286" s="2327"/>
      <c r="O286" s="1518" t="s">
        <v>371</v>
      </c>
      <c r="P286" s="1519"/>
      <c r="Q286" s="1519"/>
      <c r="R286" s="1519"/>
      <c r="S286" s="1519"/>
      <c r="T286" s="1519"/>
      <c r="U286" s="1519"/>
      <c r="V286" s="1519"/>
      <c r="W286" s="1519"/>
      <c r="X286" s="1519"/>
      <c r="Y286" s="1519"/>
      <c r="Z286" s="1519"/>
      <c r="AA286" s="1519"/>
      <c r="AB286" s="1519"/>
      <c r="AC286" s="1519"/>
      <c r="AD286" s="1519"/>
      <c r="AE286" s="1519"/>
      <c r="AF286" s="2847">
        <v>4</v>
      </c>
      <c r="AG286" s="2848" t="s">
        <v>1026</v>
      </c>
      <c r="AH286" s="2848" t="s">
        <v>1027</v>
      </c>
      <c r="AI286" s="2847"/>
      <c r="AJ286" s="2848"/>
      <c r="AK286" s="2848"/>
      <c r="AL286" s="2329"/>
      <c r="AM286" s="2164"/>
      <c r="AN286" s="2164"/>
      <c r="AO286" s="2164"/>
      <c r="AP286" s="2164"/>
      <c r="AQ286" s="2164"/>
      <c r="AR286" s="2164"/>
      <c r="AS286" s="2164"/>
      <c r="AT286" s="2164"/>
      <c r="AU286" s="2164"/>
      <c r="AV286" s="2164"/>
      <c r="AW286" s="2164"/>
      <c r="AX286" s="2164"/>
      <c r="AY286" s="2164"/>
      <c r="AZ286" s="2164"/>
      <c r="BA286" s="2164"/>
      <c r="BB286" s="2164"/>
      <c r="BC286" s="2164"/>
      <c r="BD286" s="2164"/>
      <c r="BE286" s="2164"/>
      <c r="BF286" s="2164"/>
      <c r="BG286" s="4573"/>
    </row>
    <row customHeight="1" ht="11.25">
      <c r="A287" s="1507" t="s">
        <v>990</v>
      </c>
      <c r="B287" s="1507"/>
      <c r="C287" s="1507"/>
      <c r="D287" s="1501"/>
      <c r="E287" s="1511"/>
      <c r="F287" s="2170"/>
      <c r="G287" s="2171"/>
      <c r="H287" s="2856" t="s">
        <v>371</v>
      </c>
      <c r="I287" s="2857"/>
      <c r="J287" s="2826"/>
      <c r="K287" s="2858"/>
      <c r="L287" s="2448"/>
      <c r="M287" s="2449"/>
      <c r="N287" s="2849"/>
      <c r="O287" s="2850">
        <v>1</v>
      </c>
      <c r="P287" s="2851" t="s">
        <v>65</v>
      </c>
      <c r="Q287" s="4672" t="s">
        <v>1028</v>
      </c>
      <c r="R287" s="4673" t="s">
        <v>1029</v>
      </c>
      <c r="S287" s="4673" t="s">
        <v>1030</v>
      </c>
      <c r="T287" s="4673" t="s">
        <v>1030</v>
      </c>
      <c r="U287" s="4673" t="s">
        <v>1031</v>
      </c>
      <c r="V287" s="4673" t="s">
        <v>1032</v>
      </c>
      <c r="W287" s="4673" t="s">
        <v>1033</v>
      </c>
      <c r="X287" s="4673" t="s">
        <v>1034</v>
      </c>
      <c r="Y287" s="4673" t="s">
        <v>106</v>
      </c>
      <c r="Z287" s="1516"/>
      <c r="AA287" s="1517"/>
      <c r="AB287" s="1517"/>
      <c r="AC287" s="1521"/>
      <c r="AD287" s="1521"/>
      <c r="AE287" s="1522"/>
      <c r="AF287" s="2847"/>
      <c r="AG287" s="2848"/>
      <c r="AH287" s="2848"/>
      <c r="AI287" s="2847"/>
      <c r="AJ287" s="2848"/>
      <c r="AK287" s="2848"/>
      <c r="AL287" s="2329"/>
      <c r="AM287" s="2164"/>
      <c r="AN287" s="2164"/>
      <c r="AO287" s="2164"/>
      <c r="AP287" s="2164"/>
      <c r="AQ287" s="2164"/>
      <c r="AR287" s="2164"/>
      <c r="AS287" s="2164"/>
      <c r="AT287" s="2164"/>
      <c r="AU287" s="2164"/>
      <c r="AV287" s="2164"/>
      <c r="AW287" s="2164"/>
      <c r="AX287" s="2164"/>
      <c r="AY287" s="2164"/>
      <c r="AZ287" s="2164"/>
      <c r="BA287" s="2164"/>
      <c r="BB287" s="2164"/>
      <c r="BC287" s="2164"/>
      <c r="BD287" s="2164"/>
      <c r="BE287" s="2164"/>
      <c r="BF287" s="2164"/>
      <c r="BG287" s="4573"/>
    </row>
    <row customHeight="1" ht="11.25">
      <c r="A288" s="1507" t="s">
        <v>990</v>
      </c>
      <c r="B288" s="1507"/>
      <c r="C288" s="1507"/>
      <c r="D288" s="1501"/>
      <c r="E288" s="1511"/>
      <c r="F288" s="2170"/>
      <c r="G288" s="2171"/>
      <c r="H288" s="2856" t="s">
        <v>371</v>
      </c>
      <c r="I288" s="2857"/>
      <c r="J288" s="2826"/>
      <c r="K288" s="2858"/>
      <c r="L288" s="2448"/>
      <c r="M288" s="2449"/>
      <c r="N288" s="2849"/>
      <c r="O288" s="2850"/>
      <c r="P288" s="2852"/>
      <c r="Q288" s="4672"/>
      <c r="R288" s="2854"/>
      <c r="S288" s="2855"/>
      <c r="T288" s="2854"/>
      <c r="U288" s="2854"/>
      <c r="V288" s="2854"/>
      <c r="W288" s="2854"/>
      <c r="X288" s="2854"/>
      <c r="Y288" s="2854"/>
      <c r="Z288" s="2169"/>
      <c r="AA288" s="2135">
        <v>1</v>
      </c>
      <c r="AB288" s="1520" t="s">
        <v>1035</v>
      </c>
      <c r="AC288" s="1510">
        <v>30316.8058</v>
      </c>
      <c r="AD288" s="1520" t="str">
        <f>AB288</f>
        <v>      Амортизационные отчисления с выделением результатов переоценки основных средств и нематериальных активов</v>
      </c>
      <c r="AE288" s="1510"/>
      <c r="AF288" s="2847"/>
      <c r="AG288" s="2848"/>
      <c r="AH288" s="2848"/>
      <c r="AI288" s="2847"/>
      <c r="AJ288" s="2848"/>
      <c r="AK288" s="2848"/>
      <c r="AL288" s="2329"/>
      <c r="AM288" s="2164"/>
      <c r="AN288" s="2164"/>
      <c r="AO288" s="2164"/>
      <c r="AP288" s="2164"/>
      <c r="AQ288" s="2164"/>
      <c r="AR288" s="2164"/>
      <c r="AS288" s="2164"/>
      <c r="AT288" s="2164"/>
      <c r="AU288" s="2164"/>
      <c r="AV288" s="2164"/>
      <c r="AW288" s="2164"/>
      <c r="AX288" s="2164"/>
      <c r="AY288" s="2164"/>
      <c r="AZ288" s="2164"/>
      <c r="BA288" s="2164"/>
      <c r="BB288" s="2164"/>
      <c r="BC288" s="2164"/>
      <c r="BD288" s="2164"/>
      <c r="BE288" s="2164"/>
      <c r="BF288" s="2164"/>
      <c r="BG288" s="4573"/>
    </row>
    <row customHeight="1" ht="11.25">
      <c r="A289" s="1507" t="s">
        <v>990</v>
      </c>
      <c r="B289" s="1507"/>
      <c r="C289" s="1507"/>
      <c r="D289" s="1501"/>
      <c r="E289" s="1511"/>
      <c r="F289" s="2171"/>
      <c r="G289" s="2171"/>
      <c r="H289" s="2171"/>
      <c r="I289" s="2171"/>
      <c r="J289" s="2171"/>
      <c r="K289" s="2171"/>
      <c r="L289" s="2171"/>
      <c r="M289" s="2171"/>
      <c r="N289" s="2171"/>
      <c r="O289" s="2171"/>
      <c r="P289" s="2171"/>
      <c r="Q289" s="2171"/>
      <c r="R289" s="2171"/>
      <c r="S289" s="2171"/>
      <c r="T289" s="2171"/>
      <c r="U289" s="2171"/>
      <c r="V289" s="2171"/>
      <c r="W289" s="2171"/>
      <c r="X289" s="2171"/>
      <c r="Y289" s="2171"/>
      <c r="Z289" s="4557" t="s">
        <v>684</v>
      </c>
      <c r="AA289" s="2155" t="s">
        <v>107</v>
      </c>
      <c r="AB289" s="1520" t="s">
        <v>1036</v>
      </c>
      <c r="AC289" s="1510">
        <v>5563.21426</v>
      </c>
      <c r="AD289" s="1520" t="str">
        <f>AB289</f>
        <v>  Прочие собственные средства</v>
      </c>
      <c r="AE289" s="1510"/>
      <c r="AF289" s="2172"/>
      <c r="AG289" s="2100"/>
      <c r="AH289" s="2100"/>
      <c r="AI289" s="2172"/>
      <c r="AJ289" s="2100"/>
      <c r="AK289" s="2328"/>
      <c r="AL289" s="2329"/>
      <c r="AM289" s="2164"/>
      <c r="AN289" s="2164"/>
      <c r="AO289" s="2164"/>
      <c r="AP289" s="2164"/>
      <c r="AQ289" s="2164"/>
      <c r="AR289" s="2164"/>
      <c r="AS289" s="2164"/>
      <c r="AT289" s="2164"/>
      <c r="AU289" s="2164"/>
      <c r="AV289" s="2164"/>
      <c r="AW289" s="2164"/>
      <c r="AX289" s="2164"/>
      <c r="AY289" s="2164"/>
      <c r="AZ289" s="2164"/>
      <c r="BA289" s="2164"/>
      <c r="BB289" s="2164"/>
      <c r="BC289" s="2164"/>
      <c r="BD289" s="2164"/>
      <c r="BE289" s="2164"/>
      <c r="BF289" s="2164"/>
      <c r="BG289" s="4573"/>
    </row>
    <row customHeight="1" ht="11.25">
      <c r="A290" s="1507" t="s">
        <v>990</v>
      </c>
      <c r="B290" s="1507"/>
      <c r="C290" s="1507"/>
      <c r="D290" s="1501"/>
      <c r="E290" s="1511"/>
      <c r="F290" s="2170"/>
      <c r="G290" s="2171"/>
      <c r="H290" s="2856" t="s">
        <v>371</v>
      </c>
      <c r="I290" s="2857"/>
      <c r="J290" s="2826"/>
      <c r="K290" s="2858"/>
      <c r="L290" s="2448"/>
      <c r="M290" s="2449"/>
      <c r="N290" s="2849"/>
      <c r="O290" s="2850"/>
      <c r="P290" s="2853"/>
      <c r="Q290" s="4672"/>
      <c r="R290" s="2854"/>
      <c r="S290" s="2855"/>
      <c r="T290" s="2854"/>
      <c r="U290" s="2854"/>
      <c r="V290" s="2854"/>
      <c r="W290" s="2854"/>
      <c r="X290" s="2854"/>
      <c r="Y290" s="2854"/>
      <c r="Z290" s="1516"/>
      <c r="AA290" s="1517"/>
      <c r="AB290" s="1582" t="s">
        <v>1037</v>
      </c>
      <c r="AC290" s="1521"/>
      <c r="AD290" s="1521"/>
      <c r="AE290" s="1523"/>
      <c r="AF290" s="2847"/>
      <c r="AG290" s="2848"/>
      <c r="AH290" s="2848"/>
      <c r="AI290" s="2847"/>
      <c r="AJ290" s="2848"/>
      <c r="AK290" s="2848"/>
      <c r="AL290" s="2329"/>
      <c r="AM290" s="2164"/>
      <c r="AN290" s="2164"/>
      <c r="AO290" s="2164"/>
      <c r="AP290" s="2164"/>
      <c r="AQ290" s="2164"/>
      <c r="AR290" s="2164"/>
      <c r="AS290" s="2164"/>
      <c r="AT290" s="2164"/>
      <c r="AU290" s="2164"/>
      <c r="AV290" s="2164"/>
      <c r="AW290" s="2164"/>
      <c r="AX290" s="2164"/>
      <c r="AY290" s="2164"/>
      <c r="AZ290" s="2164"/>
      <c r="BA290" s="2164"/>
      <c r="BB290" s="2164"/>
      <c r="BC290" s="2164"/>
      <c r="BD290" s="2164"/>
      <c r="BE290" s="2164"/>
      <c r="BF290" s="2164"/>
      <c r="BG290" s="4573"/>
    </row>
    <row customHeight="1" ht="11.25">
      <c r="A291" s="1507" t="s">
        <v>990</v>
      </c>
      <c r="B291" s="1507"/>
      <c r="C291" s="1507"/>
      <c r="D291" s="1501"/>
      <c r="E291" s="1511"/>
      <c r="F291" s="2170"/>
      <c r="G291" s="2171"/>
      <c r="H291" s="2856" t="s">
        <v>371</v>
      </c>
      <c r="I291" s="2857"/>
      <c r="J291" s="2826"/>
      <c r="K291" s="2858"/>
      <c r="L291" s="2448"/>
      <c r="M291" s="2449"/>
      <c r="N291" s="1516"/>
      <c r="O291" s="1517"/>
      <c r="P291" s="1509" t="s">
        <v>1038</v>
      </c>
      <c r="Q291" s="1517"/>
      <c r="R291" s="1517"/>
      <c r="S291" s="1517"/>
      <c r="T291" s="1517"/>
      <c r="U291" s="1517"/>
      <c r="V291" s="1517"/>
      <c r="W291" s="1517"/>
      <c r="X291" s="1517"/>
      <c r="Y291" s="1517"/>
      <c r="Z291" s="1517"/>
      <c r="AA291" s="1517"/>
      <c r="AB291" s="1517"/>
      <c r="AC291" s="1517"/>
      <c r="AD291" s="1517"/>
      <c r="AE291" s="1524"/>
      <c r="AF291" s="2847"/>
      <c r="AG291" s="2848"/>
      <c r="AH291" s="2848"/>
      <c r="AI291" s="2847"/>
      <c r="AJ291" s="2848"/>
      <c r="AK291" s="2848"/>
      <c r="AL291" s="2329"/>
      <c r="AM291" s="2164"/>
      <c r="AN291" s="2164"/>
      <c r="AO291" s="2164"/>
      <c r="AP291" s="2164"/>
      <c r="AQ291" s="2164"/>
      <c r="AR291" s="2164"/>
      <c r="AS291" s="2164"/>
      <c r="AT291" s="2164"/>
      <c r="AU291" s="2164"/>
      <c r="AV291" s="2164"/>
      <c r="AW291" s="2164"/>
      <c r="AX291" s="2164"/>
      <c r="AY291" s="2164"/>
      <c r="AZ291" s="2164"/>
      <c r="BA291" s="2164"/>
      <c r="BB291" s="2164"/>
      <c r="BC291" s="2164"/>
      <c r="BD291" s="2164"/>
      <c r="BE291" s="2164"/>
      <c r="BF291" s="2164"/>
      <c r="BG291" s="4573"/>
    </row>
    <row customHeight="1" ht="11.25">
      <c r="A292" s="1507" t="s">
        <v>990</v>
      </c>
      <c r="B292" s="1507" t="s">
        <v>22</v>
      </c>
      <c r="C292" s="1507"/>
      <c r="D292" s="1501"/>
      <c r="E292" s="1511"/>
      <c r="F292" s="2170"/>
      <c r="G292" s="4557" t="s">
        <v>684</v>
      </c>
      <c r="H292" s="2856" t="s">
        <v>107</v>
      </c>
      <c r="I292" s="2857" t="s">
        <v>1039</v>
      </c>
      <c r="J292" s="4694" t="s">
        <v>22</v>
      </c>
      <c r="K292" s="2858" t="s">
        <v>1040</v>
      </c>
      <c r="L292" s="2448" t="s">
        <v>19</v>
      </c>
      <c r="M292" s="2449"/>
      <c r="N292" s="2327"/>
      <c r="O292" s="1518" t="s">
        <v>371</v>
      </c>
      <c r="P292" s="1519"/>
      <c r="Q292" s="1519"/>
      <c r="R292" s="1519"/>
      <c r="S292" s="1519"/>
      <c r="T292" s="1519"/>
      <c r="U292" s="1519"/>
      <c r="V292" s="1519"/>
      <c r="W292" s="1519"/>
      <c r="X292" s="1519"/>
      <c r="Y292" s="1519"/>
      <c r="Z292" s="1519"/>
      <c r="AA292" s="1519"/>
      <c r="AB292" s="1519"/>
      <c r="AC292" s="1519"/>
      <c r="AD292" s="1519"/>
      <c r="AE292" s="1519"/>
      <c r="AF292" s="2847">
        <v>4</v>
      </c>
      <c r="AG292" s="2848" t="s">
        <v>1026</v>
      </c>
      <c r="AH292" s="2848" t="s">
        <v>1027</v>
      </c>
      <c r="AI292" s="2847"/>
      <c r="AJ292" s="2848"/>
      <c r="AK292" s="2848"/>
      <c r="AL292" s="2329"/>
      <c r="AM292" s="2164"/>
      <c r="AN292" s="2164"/>
      <c r="AO292" s="2164"/>
      <c r="AP292" s="2164"/>
      <c r="AQ292" s="2164"/>
      <c r="AR292" s="2164"/>
      <c r="AS292" s="2164"/>
      <c r="AT292" s="2164"/>
      <c r="AU292" s="2164"/>
      <c r="AV292" s="2164"/>
      <c r="AW292" s="2164"/>
      <c r="AX292" s="2164"/>
      <c r="AY292" s="2164"/>
      <c r="AZ292" s="2164"/>
      <c r="BA292" s="2164"/>
      <c r="BB292" s="2164"/>
      <c r="BC292" s="2164"/>
      <c r="BD292" s="2164"/>
      <c r="BE292" s="2164"/>
      <c r="BF292" s="2164"/>
      <c r="BG292" s="4573"/>
    </row>
    <row customHeight="1" ht="11.25">
      <c r="A293" s="1507" t="s">
        <v>990</v>
      </c>
      <c r="B293" s="1507"/>
      <c r="C293" s="1507"/>
      <c r="D293" s="1501"/>
      <c r="E293" s="1511"/>
      <c r="F293" s="2170"/>
      <c r="G293" s="2171"/>
      <c r="H293" s="2856" t="s">
        <v>106</v>
      </c>
      <c r="I293" s="2857"/>
      <c r="J293" s="4694"/>
      <c r="K293" s="2858"/>
      <c r="L293" s="2448"/>
      <c r="M293" s="2449"/>
      <c r="N293" s="2849"/>
      <c r="O293" s="2850">
        <v>1</v>
      </c>
      <c r="P293" s="2851" t="s">
        <v>65</v>
      </c>
      <c r="Q293" s="4672" t="s">
        <v>1041</v>
      </c>
      <c r="R293" s="4673" t="s">
        <v>1042</v>
      </c>
      <c r="S293" s="4673" t="s">
        <v>1043</v>
      </c>
      <c r="T293" s="4673" t="s">
        <v>1044</v>
      </c>
      <c r="U293" s="4673" t="s">
        <v>1045</v>
      </c>
      <c r="V293" s="4673" t="s">
        <v>1046</v>
      </c>
      <c r="W293" s="4673" t="s">
        <v>1047</v>
      </c>
      <c r="X293" s="4673" t="s">
        <v>1048</v>
      </c>
      <c r="Y293" s="4673" t="s">
        <v>1049</v>
      </c>
      <c r="Z293" s="1516"/>
      <c r="AA293" s="1517"/>
      <c r="AB293" s="1517"/>
      <c r="AC293" s="1521"/>
      <c r="AD293" s="1521"/>
      <c r="AE293" s="1522"/>
      <c r="AF293" s="2847"/>
      <c r="AG293" s="2848"/>
      <c r="AH293" s="2848"/>
      <c r="AI293" s="2847"/>
      <c r="AJ293" s="2848"/>
      <c r="AK293" s="2848"/>
      <c r="AL293" s="2329"/>
      <c r="AM293" s="2164"/>
      <c r="AN293" s="2164"/>
      <c r="AO293" s="2164"/>
      <c r="AP293" s="2164"/>
      <c r="AQ293" s="2164"/>
      <c r="AR293" s="2164"/>
      <c r="AS293" s="2164"/>
      <c r="AT293" s="2164"/>
      <c r="AU293" s="2164"/>
      <c r="AV293" s="2164"/>
      <c r="AW293" s="2164"/>
      <c r="AX293" s="2164"/>
      <c r="AY293" s="2164"/>
      <c r="AZ293" s="2164"/>
      <c r="BA293" s="2164"/>
      <c r="BB293" s="2164"/>
      <c r="BC293" s="2164"/>
      <c r="BD293" s="2164"/>
      <c r="BE293" s="2164"/>
      <c r="BF293" s="2164"/>
      <c r="BG293" s="4573"/>
    </row>
    <row customHeight="1" ht="11.25">
      <c r="A294" s="1507" t="s">
        <v>990</v>
      </c>
      <c r="B294" s="1507"/>
      <c r="C294" s="1507"/>
      <c r="D294" s="1501"/>
      <c r="E294" s="1511"/>
      <c r="F294" s="2170"/>
      <c r="G294" s="2171"/>
      <c r="H294" s="2856" t="s">
        <v>106</v>
      </c>
      <c r="I294" s="2857"/>
      <c r="J294" s="4694"/>
      <c r="K294" s="2858"/>
      <c r="L294" s="2448"/>
      <c r="M294" s="2449"/>
      <c r="N294" s="2849"/>
      <c r="O294" s="2850"/>
      <c r="P294" s="2852"/>
      <c r="Q294" s="4672"/>
      <c r="R294" s="2854"/>
      <c r="S294" s="2855"/>
      <c r="T294" s="2854"/>
      <c r="U294" s="2854"/>
      <c r="V294" s="2854"/>
      <c r="W294" s="2854"/>
      <c r="X294" s="2854"/>
      <c r="Y294" s="2854"/>
      <c r="Z294" s="2169"/>
      <c r="AA294" s="2135">
        <v>1</v>
      </c>
      <c r="AB294" s="1520" t="s">
        <v>1035</v>
      </c>
      <c r="AC294" s="1510">
        <v>9107.99339</v>
      </c>
      <c r="AD294" s="1520" t="str">
        <f>AB294</f>
        <v>      Амортизационные отчисления с выделением результатов переоценки основных средств и нематериальных активов</v>
      </c>
      <c r="AE294" s="1510"/>
      <c r="AF294" s="2847"/>
      <c r="AG294" s="2848"/>
      <c r="AH294" s="2848"/>
      <c r="AI294" s="2847"/>
      <c r="AJ294" s="2848"/>
      <c r="AK294" s="2848"/>
      <c r="AL294" s="2329"/>
      <c r="AM294" s="2164"/>
      <c r="AN294" s="2164"/>
      <c r="AO294" s="2164"/>
      <c r="AP294" s="2164"/>
      <c r="AQ294" s="2164"/>
      <c r="AR294" s="2164"/>
      <c r="AS294" s="2164"/>
      <c r="AT294" s="2164"/>
      <c r="AU294" s="2164"/>
      <c r="AV294" s="2164"/>
      <c r="AW294" s="2164"/>
      <c r="AX294" s="2164"/>
      <c r="AY294" s="2164"/>
      <c r="AZ294" s="2164"/>
      <c r="BA294" s="2164"/>
      <c r="BB294" s="2164"/>
      <c r="BC294" s="2164"/>
      <c r="BD294" s="2164"/>
      <c r="BE294" s="2164"/>
      <c r="BF294" s="2164"/>
      <c r="BG294" s="4573"/>
    </row>
    <row customHeight="1" ht="11.25">
      <c r="A295" s="1507" t="s">
        <v>990</v>
      </c>
      <c r="B295" s="1507"/>
      <c r="C295" s="1507"/>
      <c r="D295" s="1501"/>
      <c r="E295" s="1511"/>
      <c r="F295" s="2171"/>
      <c r="G295" s="2171"/>
      <c r="H295" s="2171"/>
      <c r="I295" s="2171"/>
      <c r="J295" s="4695"/>
      <c r="K295" s="2171"/>
      <c r="L295" s="2171"/>
      <c r="M295" s="2171"/>
      <c r="N295" s="2171"/>
      <c r="O295" s="2171"/>
      <c r="P295" s="2171"/>
      <c r="Q295" s="2171"/>
      <c r="R295" s="2171"/>
      <c r="S295" s="2171"/>
      <c r="T295" s="2171"/>
      <c r="U295" s="2171"/>
      <c r="V295" s="2171"/>
      <c r="W295" s="2171"/>
      <c r="X295" s="2171"/>
      <c r="Y295" s="2171"/>
      <c r="Z295" s="4557" t="s">
        <v>684</v>
      </c>
      <c r="AA295" s="2155" t="s">
        <v>107</v>
      </c>
      <c r="AB295" s="1520" t="s">
        <v>1036</v>
      </c>
      <c r="AC295" s="1510">
        <v>1769.50005</v>
      </c>
      <c r="AD295" s="1520" t="str">
        <f>AB295</f>
        <v>  Прочие собственные средства</v>
      </c>
      <c r="AE295" s="1510"/>
      <c r="AF295" s="2172"/>
      <c r="AG295" s="2100"/>
      <c r="AH295" s="2100"/>
      <c r="AI295" s="2172"/>
      <c r="AJ295" s="2100"/>
      <c r="AK295" s="2328"/>
      <c r="AL295" s="2329"/>
      <c r="AM295" s="2164"/>
      <c r="AN295" s="2164"/>
      <c r="AO295" s="2164"/>
      <c r="AP295" s="2164"/>
      <c r="AQ295" s="2164"/>
      <c r="AR295" s="2164"/>
      <c r="AS295" s="2164"/>
      <c r="AT295" s="2164"/>
      <c r="AU295" s="2164"/>
      <c r="AV295" s="2164"/>
      <c r="AW295" s="2164"/>
      <c r="AX295" s="2164"/>
      <c r="AY295" s="2164"/>
      <c r="AZ295" s="2164"/>
      <c r="BA295" s="2164"/>
      <c r="BB295" s="2164"/>
      <c r="BC295" s="2164"/>
      <c r="BD295" s="2164"/>
      <c r="BE295" s="2164"/>
      <c r="BF295" s="2164"/>
      <c r="BG295" s="4573"/>
    </row>
    <row customHeight="1" ht="11.25">
      <c r="A296" s="1507" t="s">
        <v>990</v>
      </c>
      <c r="B296" s="1507"/>
      <c r="C296" s="1507"/>
      <c r="D296" s="1501"/>
      <c r="E296" s="1511"/>
      <c r="F296" s="2170"/>
      <c r="G296" s="2171"/>
      <c r="H296" s="2856" t="s">
        <v>106</v>
      </c>
      <c r="I296" s="2857"/>
      <c r="J296" s="4694"/>
      <c r="K296" s="2858"/>
      <c r="L296" s="2448"/>
      <c r="M296" s="2449"/>
      <c r="N296" s="2849"/>
      <c r="O296" s="2850"/>
      <c r="P296" s="2853"/>
      <c r="Q296" s="4672"/>
      <c r="R296" s="2854"/>
      <c r="S296" s="2855"/>
      <c r="T296" s="2854"/>
      <c r="U296" s="2854"/>
      <c r="V296" s="2854"/>
      <c r="W296" s="2854"/>
      <c r="X296" s="2854"/>
      <c r="Y296" s="2854"/>
      <c r="Z296" s="1516"/>
      <c r="AA296" s="1517"/>
      <c r="AB296" s="1582" t="s">
        <v>1037</v>
      </c>
      <c r="AC296" s="1521"/>
      <c r="AD296" s="1521"/>
      <c r="AE296" s="1523"/>
      <c r="AF296" s="2847"/>
      <c r="AG296" s="2848"/>
      <c r="AH296" s="2848"/>
      <c r="AI296" s="2847"/>
      <c r="AJ296" s="2848"/>
      <c r="AK296" s="2848"/>
      <c r="AL296" s="2329"/>
      <c r="AM296" s="2164"/>
      <c r="AN296" s="2164"/>
      <c r="AO296" s="2164"/>
      <c r="AP296" s="2164"/>
      <c r="AQ296" s="2164"/>
      <c r="AR296" s="2164"/>
      <c r="AS296" s="2164"/>
      <c r="AT296" s="2164"/>
      <c r="AU296" s="2164"/>
      <c r="AV296" s="2164"/>
      <c r="AW296" s="2164"/>
      <c r="AX296" s="2164"/>
      <c r="AY296" s="2164"/>
      <c r="AZ296" s="2164"/>
      <c r="BA296" s="2164"/>
      <c r="BB296" s="2164"/>
      <c r="BC296" s="2164"/>
      <c r="BD296" s="2164"/>
      <c r="BE296" s="2164"/>
      <c r="BF296" s="2164"/>
      <c r="BG296" s="4573"/>
    </row>
    <row customHeight="1" ht="11.25">
      <c r="A297" s="1507" t="s">
        <v>990</v>
      </c>
      <c r="B297" s="1507"/>
      <c r="C297" s="1507"/>
      <c r="D297" s="1501"/>
      <c r="E297" s="1511"/>
      <c r="F297" s="2170"/>
      <c r="G297" s="2171"/>
      <c r="H297" s="2856" t="s">
        <v>106</v>
      </c>
      <c r="I297" s="2857"/>
      <c r="J297" s="4694"/>
      <c r="K297" s="2858"/>
      <c r="L297" s="2448"/>
      <c r="M297" s="2449"/>
      <c r="N297" s="1516"/>
      <c r="O297" s="1517"/>
      <c r="P297" s="1509" t="s">
        <v>1038</v>
      </c>
      <c r="Q297" s="1517"/>
      <c r="R297" s="1517"/>
      <c r="S297" s="1517"/>
      <c r="T297" s="1517"/>
      <c r="U297" s="1517"/>
      <c r="V297" s="1517"/>
      <c r="W297" s="1517"/>
      <c r="X297" s="1517"/>
      <c r="Y297" s="1517"/>
      <c r="Z297" s="1517"/>
      <c r="AA297" s="1517"/>
      <c r="AB297" s="1517"/>
      <c r="AC297" s="1517"/>
      <c r="AD297" s="1517"/>
      <c r="AE297" s="1524"/>
      <c r="AF297" s="2847"/>
      <c r="AG297" s="2848"/>
      <c r="AH297" s="2848"/>
      <c r="AI297" s="2847"/>
      <c r="AJ297" s="2848"/>
      <c r="AK297" s="2848"/>
      <c r="AL297" s="2329"/>
      <c r="AM297" s="2164"/>
      <c r="AN297" s="2164"/>
      <c r="AO297" s="2164"/>
      <c r="AP297" s="2164"/>
      <c r="AQ297" s="2164"/>
      <c r="AR297" s="2164"/>
      <c r="AS297" s="2164"/>
      <c r="AT297" s="2164"/>
      <c r="AU297" s="2164"/>
      <c r="AV297" s="2164"/>
      <c r="AW297" s="2164"/>
      <c r="AX297" s="2164"/>
      <c r="AY297" s="2164"/>
      <c r="AZ297" s="2164"/>
      <c r="BA297" s="2164"/>
      <c r="BB297" s="2164"/>
      <c r="BC297" s="2164"/>
      <c r="BD297" s="2164"/>
      <c r="BE297" s="2164"/>
      <c r="BF297" s="2164"/>
      <c r="BG297" s="4573"/>
    </row>
    <row customHeight="1" ht="11.25">
      <c r="A298" s="1507" t="s">
        <v>990</v>
      </c>
      <c r="B298" s="1507" t="s">
        <v>1022</v>
      </c>
      <c r="C298" s="1507"/>
      <c r="D298" s="1501"/>
      <c r="E298" s="1511"/>
      <c r="F298" s="2170"/>
      <c r="G298" s="4557" t="s">
        <v>684</v>
      </c>
      <c r="H298" s="2856" t="s">
        <v>90</v>
      </c>
      <c r="I298" s="2857" t="s">
        <v>1023</v>
      </c>
      <c r="J298" s="2826" t="s">
        <v>1024</v>
      </c>
      <c r="K298" s="2858" t="s">
        <v>1050</v>
      </c>
      <c r="L298" s="2448" t="s">
        <v>19</v>
      </c>
      <c r="M298" s="2449"/>
      <c r="N298" s="2327"/>
      <c r="O298" s="1518" t="s">
        <v>371</v>
      </c>
      <c r="P298" s="1519"/>
      <c r="Q298" s="1519"/>
      <c r="R298" s="1519"/>
      <c r="S298" s="1519"/>
      <c r="T298" s="1519"/>
      <c r="U298" s="1519"/>
      <c r="V298" s="1519"/>
      <c r="W298" s="1519"/>
      <c r="X298" s="1519"/>
      <c r="Y298" s="1519"/>
      <c r="Z298" s="1519"/>
      <c r="AA298" s="1519"/>
      <c r="AB298" s="1519"/>
      <c r="AC298" s="1519"/>
      <c r="AD298" s="1519"/>
      <c r="AE298" s="1519"/>
      <c r="AF298" s="2847">
        <v>3</v>
      </c>
      <c r="AG298" s="2848" t="s">
        <v>1026</v>
      </c>
      <c r="AH298" s="2848" t="s">
        <v>1051</v>
      </c>
      <c r="AI298" s="2847"/>
      <c r="AJ298" s="2848"/>
      <c r="AK298" s="2848"/>
      <c r="AL298" s="2329"/>
      <c r="AM298" s="2164"/>
      <c r="AN298" s="2164"/>
      <c r="AO298" s="2164"/>
      <c r="AP298" s="2164"/>
      <c r="AQ298" s="2164"/>
      <c r="AR298" s="2164"/>
      <c r="AS298" s="2164"/>
      <c r="AT298" s="2164"/>
      <c r="AU298" s="2164"/>
      <c r="AV298" s="2164"/>
      <c r="AW298" s="2164"/>
      <c r="AX298" s="2164"/>
      <c r="AY298" s="2164"/>
      <c r="AZ298" s="2164"/>
      <c r="BA298" s="2164"/>
      <c r="BB298" s="2164"/>
      <c r="BC298" s="2164"/>
      <c r="BD298" s="2164"/>
      <c r="BE298" s="2164"/>
      <c r="BF298" s="2164"/>
      <c r="BG298" s="4573"/>
    </row>
    <row customHeight="1" ht="11.25">
      <c r="A299" s="1507" t="s">
        <v>990</v>
      </c>
      <c r="B299" s="1507"/>
      <c r="C299" s="1507"/>
      <c r="D299" s="1501"/>
      <c r="E299" s="1511"/>
      <c r="F299" s="2170"/>
      <c r="G299" s="2171"/>
      <c r="H299" s="2856" t="s">
        <v>107</v>
      </c>
      <c r="I299" s="2857"/>
      <c r="J299" s="2826"/>
      <c r="K299" s="2858"/>
      <c r="L299" s="2448"/>
      <c r="M299" s="2449"/>
      <c r="N299" s="2849"/>
      <c r="O299" s="2850">
        <v>1</v>
      </c>
      <c r="P299" s="2851" t="s">
        <v>65</v>
      </c>
      <c r="Q299" s="4672" t="s">
        <v>1028</v>
      </c>
      <c r="R299" s="4673" t="s">
        <v>1029</v>
      </c>
      <c r="S299" s="4673" t="s">
        <v>1030</v>
      </c>
      <c r="T299" s="4673" t="s">
        <v>1030</v>
      </c>
      <c r="U299" s="4673" t="s">
        <v>1031</v>
      </c>
      <c r="V299" s="4673" t="s">
        <v>1032</v>
      </c>
      <c r="W299" s="4673" t="s">
        <v>1033</v>
      </c>
      <c r="X299" s="4673" t="s">
        <v>1034</v>
      </c>
      <c r="Y299" s="4673" t="s">
        <v>106</v>
      </c>
      <c r="Z299" s="1516"/>
      <c r="AA299" s="1517"/>
      <c r="AB299" s="1517"/>
      <c r="AC299" s="1521"/>
      <c r="AD299" s="1521"/>
      <c r="AE299" s="1522"/>
      <c r="AF299" s="2847"/>
      <c r="AG299" s="2848"/>
      <c r="AH299" s="2848"/>
      <c r="AI299" s="2847"/>
      <c r="AJ299" s="2848"/>
      <c r="AK299" s="2848"/>
      <c r="AL299" s="2329"/>
      <c r="AM299" s="2164"/>
      <c r="AN299" s="2164"/>
      <c r="AO299" s="2164"/>
      <c r="AP299" s="2164"/>
      <c r="AQ299" s="2164"/>
      <c r="AR299" s="2164"/>
      <c r="AS299" s="2164"/>
      <c r="AT299" s="2164"/>
      <c r="AU299" s="2164"/>
      <c r="AV299" s="2164"/>
      <c r="AW299" s="2164"/>
      <c r="AX299" s="2164"/>
      <c r="AY299" s="2164"/>
      <c r="AZ299" s="2164"/>
      <c r="BA299" s="2164"/>
      <c r="BB299" s="2164"/>
      <c r="BC299" s="2164"/>
      <c r="BD299" s="2164"/>
      <c r="BE299" s="2164"/>
      <c r="BF299" s="2164"/>
      <c r="BG299" s="4573"/>
    </row>
    <row customHeight="1" ht="11.25">
      <c r="A300" s="1507" t="s">
        <v>990</v>
      </c>
      <c r="B300" s="1507"/>
      <c r="C300" s="1507"/>
      <c r="D300" s="1501"/>
      <c r="E300" s="1511"/>
      <c r="F300" s="2170"/>
      <c r="G300" s="2171"/>
      <c r="H300" s="2856" t="s">
        <v>107</v>
      </c>
      <c r="I300" s="2857"/>
      <c r="J300" s="2826"/>
      <c r="K300" s="2858"/>
      <c r="L300" s="2448"/>
      <c r="M300" s="2449"/>
      <c r="N300" s="2849"/>
      <c r="O300" s="2850"/>
      <c r="P300" s="2852"/>
      <c r="Q300" s="4672"/>
      <c r="R300" s="2854"/>
      <c r="S300" s="2855"/>
      <c r="T300" s="2854"/>
      <c r="U300" s="2854"/>
      <c r="V300" s="2854"/>
      <c r="W300" s="2854"/>
      <c r="X300" s="2854"/>
      <c r="Y300" s="2854"/>
      <c r="Z300" s="2169"/>
      <c r="AA300" s="2135">
        <v>1</v>
      </c>
      <c r="AB300" s="1520" t="s">
        <v>1035</v>
      </c>
      <c r="AC300" s="1510">
        <v>25285.05718</v>
      </c>
      <c r="AD300" s="1520" t="str">
        <f>AB300</f>
        <v>      Амортизационные отчисления с выделением результатов переоценки основных средств и нематериальных активов</v>
      </c>
      <c r="AE300" s="1510"/>
      <c r="AF300" s="2847"/>
      <c r="AG300" s="2848"/>
      <c r="AH300" s="2848"/>
      <c r="AI300" s="2847"/>
      <c r="AJ300" s="2848"/>
      <c r="AK300" s="2848"/>
      <c r="AL300" s="2329"/>
      <c r="AM300" s="2164"/>
      <c r="AN300" s="2164"/>
      <c r="AO300" s="2164"/>
      <c r="AP300" s="2164"/>
      <c r="AQ300" s="2164"/>
      <c r="AR300" s="2164"/>
      <c r="AS300" s="2164"/>
      <c r="AT300" s="2164"/>
      <c r="AU300" s="2164"/>
      <c r="AV300" s="2164"/>
      <c r="AW300" s="2164"/>
      <c r="AX300" s="2164"/>
      <c r="AY300" s="2164"/>
      <c r="AZ300" s="2164"/>
      <c r="BA300" s="2164"/>
      <c r="BB300" s="2164"/>
      <c r="BC300" s="2164"/>
      <c r="BD300" s="2164"/>
      <c r="BE300" s="2164"/>
      <c r="BF300" s="2164"/>
      <c r="BG300" s="4573"/>
    </row>
    <row customHeight="1" ht="11.25">
      <c r="A301" s="1507" t="s">
        <v>990</v>
      </c>
      <c r="B301" s="1507"/>
      <c r="C301" s="1507"/>
      <c r="D301" s="1501"/>
      <c r="E301" s="1511"/>
      <c r="F301" s="2171"/>
      <c r="G301" s="2171"/>
      <c r="H301" s="2171"/>
      <c r="I301" s="2171"/>
      <c r="J301" s="2171"/>
      <c r="K301" s="2171"/>
      <c r="L301" s="2171"/>
      <c r="M301" s="2171"/>
      <c r="N301" s="2171"/>
      <c r="O301" s="2171"/>
      <c r="P301" s="2171"/>
      <c r="Q301" s="2171"/>
      <c r="R301" s="2171"/>
      <c r="S301" s="2171"/>
      <c r="T301" s="2171"/>
      <c r="U301" s="2171"/>
      <c r="V301" s="2171"/>
      <c r="W301" s="2171"/>
      <c r="X301" s="2171"/>
      <c r="Y301" s="2171"/>
      <c r="Z301" s="4557" t="s">
        <v>684</v>
      </c>
      <c r="AA301" s="2155" t="s">
        <v>107</v>
      </c>
      <c r="AB301" s="1520" t="s">
        <v>1036</v>
      </c>
      <c r="AC301" s="1510">
        <v>4588.12372</v>
      </c>
      <c r="AD301" s="1520" t="str">
        <f>AB301</f>
        <v>  Прочие собственные средства</v>
      </c>
      <c r="AE301" s="1510"/>
      <c r="AF301" s="2172"/>
      <c r="AG301" s="2100"/>
      <c r="AH301" s="2100"/>
      <c r="AI301" s="2172"/>
      <c r="AJ301" s="2100"/>
      <c r="AK301" s="2328"/>
      <c r="AL301" s="2329"/>
      <c r="AM301" s="2164"/>
      <c r="AN301" s="2164"/>
      <c r="AO301" s="2164"/>
      <c r="AP301" s="2164"/>
      <c r="AQ301" s="2164"/>
      <c r="AR301" s="2164"/>
      <c r="AS301" s="2164"/>
      <c r="AT301" s="2164"/>
      <c r="AU301" s="2164"/>
      <c r="AV301" s="2164"/>
      <c r="AW301" s="2164"/>
      <c r="AX301" s="2164"/>
      <c r="AY301" s="2164"/>
      <c r="AZ301" s="2164"/>
      <c r="BA301" s="2164"/>
      <c r="BB301" s="2164"/>
      <c r="BC301" s="2164"/>
      <c r="BD301" s="2164"/>
      <c r="BE301" s="2164"/>
      <c r="BF301" s="2164"/>
      <c r="BG301" s="4573"/>
    </row>
    <row customHeight="1" ht="11.25">
      <c r="A302" s="1507" t="s">
        <v>990</v>
      </c>
      <c r="B302" s="1507"/>
      <c r="C302" s="1507"/>
      <c r="D302" s="1501"/>
      <c r="E302" s="1511"/>
      <c r="F302" s="2170"/>
      <c r="G302" s="2171"/>
      <c r="H302" s="2856" t="s">
        <v>107</v>
      </c>
      <c r="I302" s="2857"/>
      <c r="J302" s="2826"/>
      <c r="K302" s="2858"/>
      <c r="L302" s="2448"/>
      <c r="M302" s="2449"/>
      <c r="N302" s="2849"/>
      <c r="O302" s="2850"/>
      <c r="P302" s="2853"/>
      <c r="Q302" s="4672"/>
      <c r="R302" s="2854"/>
      <c r="S302" s="2855"/>
      <c r="T302" s="2854"/>
      <c r="U302" s="2854"/>
      <c r="V302" s="2854"/>
      <c r="W302" s="2854"/>
      <c r="X302" s="2854"/>
      <c r="Y302" s="2854"/>
      <c r="Z302" s="1516"/>
      <c r="AA302" s="1517"/>
      <c r="AB302" s="1582" t="s">
        <v>1037</v>
      </c>
      <c r="AC302" s="1521"/>
      <c r="AD302" s="1521"/>
      <c r="AE302" s="1523"/>
      <c r="AF302" s="2847"/>
      <c r="AG302" s="2848"/>
      <c r="AH302" s="2848"/>
      <c r="AI302" s="2847"/>
      <c r="AJ302" s="2848"/>
      <c r="AK302" s="2848"/>
      <c r="AL302" s="2329"/>
      <c r="AM302" s="2164"/>
      <c r="AN302" s="2164"/>
      <c r="AO302" s="2164"/>
      <c r="AP302" s="2164"/>
      <c r="AQ302" s="2164"/>
      <c r="AR302" s="2164"/>
      <c r="AS302" s="2164"/>
      <c r="AT302" s="2164"/>
      <c r="AU302" s="2164"/>
      <c r="AV302" s="2164"/>
      <c r="AW302" s="2164"/>
      <c r="AX302" s="2164"/>
      <c r="AY302" s="2164"/>
      <c r="AZ302" s="2164"/>
      <c r="BA302" s="2164"/>
      <c r="BB302" s="2164"/>
      <c r="BC302" s="2164"/>
      <c r="BD302" s="2164"/>
      <c r="BE302" s="2164"/>
      <c r="BF302" s="2164"/>
      <c r="BG302" s="4573"/>
    </row>
    <row customHeight="1" ht="11.25">
      <c r="A303" s="1507" t="s">
        <v>990</v>
      </c>
      <c r="B303" s="1507"/>
      <c r="C303" s="1507"/>
      <c r="D303" s="1501"/>
      <c r="E303" s="1511"/>
      <c r="F303" s="2170"/>
      <c r="G303" s="2171"/>
      <c r="H303" s="2856" t="s">
        <v>107</v>
      </c>
      <c r="I303" s="2857"/>
      <c r="J303" s="2826"/>
      <c r="K303" s="2858"/>
      <c r="L303" s="2448"/>
      <c r="M303" s="2449"/>
      <c r="N303" s="1516"/>
      <c r="O303" s="1517"/>
      <c r="P303" s="1509" t="s">
        <v>1038</v>
      </c>
      <c r="Q303" s="1517"/>
      <c r="R303" s="1517"/>
      <c r="S303" s="1517"/>
      <c r="T303" s="1517"/>
      <c r="U303" s="1517"/>
      <c r="V303" s="1517"/>
      <c r="W303" s="1517"/>
      <c r="X303" s="1517"/>
      <c r="Y303" s="1517"/>
      <c r="Z303" s="1517"/>
      <c r="AA303" s="1517"/>
      <c r="AB303" s="1517"/>
      <c r="AC303" s="1517"/>
      <c r="AD303" s="1517"/>
      <c r="AE303" s="1524"/>
      <c r="AF303" s="2847"/>
      <c r="AG303" s="2848"/>
      <c r="AH303" s="2848"/>
      <c r="AI303" s="2847"/>
      <c r="AJ303" s="2848"/>
      <c r="AK303" s="2848"/>
      <c r="AL303" s="2329"/>
      <c r="AM303" s="2164"/>
      <c r="AN303" s="2164"/>
      <c r="AO303" s="2164"/>
      <c r="AP303" s="2164"/>
      <c r="AQ303" s="2164"/>
      <c r="AR303" s="2164"/>
      <c r="AS303" s="2164"/>
      <c r="AT303" s="2164"/>
      <c r="AU303" s="2164"/>
      <c r="AV303" s="2164"/>
      <c r="AW303" s="2164"/>
      <c r="AX303" s="2164"/>
      <c r="AY303" s="2164"/>
      <c r="AZ303" s="2164"/>
      <c r="BA303" s="2164"/>
      <c r="BB303" s="2164"/>
      <c r="BC303" s="2164"/>
      <c r="BD303" s="2164"/>
      <c r="BE303" s="2164"/>
      <c r="BF303" s="2164"/>
      <c r="BG303" s="4573"/>
    </row>
    <row customHeight="1" ht="11.25">
      <c r="A304" s="1507" t="s">
        <v>990</v>
      </c>
      <c r="B304" s="1507" t="s">
        <v>1022</v>
      </c>
      <c r="C304" s="1507"/>
      <c r="D304" s="1501"/>
      <c r="E304" s="1511"/>
      <c r="F304" s="2170"/>
      <c r="G304" s="4557" t="s">
        <v>684</v>
      </c>
      <c r="H304" s="2856" t="s">
        <v>91</v>
      </c>
      <c r="I304" s="2857" t="s">
        <v>1023</v>
      </c>
      <c r="J304" s="2826" t="s">
        <v>1024</v>
      </c>
      <c r="K304" s="2858" t="s">
        <v>1052</v>
      </c>
      <c r="L304" s="2448" t="s">
        <v>19</v>
      </c>
      <c r="M304" s="2449"/>
      <c r="N304" s="2327"/>
      <c r="O304" s="1518" t="s">
        <v>371</v>
      </c>
      <c r="P304" s="1519"/>
      <c r="Q304" s="1519"/>
      <c r="R304" s="1519"/>
      <c r="S304" s="1519"/>
      <c r="T304" s="1519"/>
      <c r="U304" s="1519"/>
      <c r="V304" s="1519"/>
      <c r="W304" s="1519"/>
      <c r="X304" s="1519"/>
      <c r="Y304" s="1519"/>
      <c r="Z304" s="1519"/>
      <c r="AA304" s="1519"/>
      <c r="AB304" s="1519"/>
      <c r="AC304" s="1519"/>
      <c r="AD304" s="1519"/>
      <c r="AE304" s="1519"/>
      <c r="AF304" s="2847">
        <v>2</v>
      </c>
      <c r="AG304" s="2848" t="s">
        <v>1026</v>
      </c>
      <c r="AH304" s="2848" t="s">
        <v>1053</v>
      </c>
      <c r="AI304" s="2847"/>
      <c r="AJ304" s="2848"/>
      <c r="AK304" s="2848"/>
      <c r="AL304" s="2329"/>
      <c r="AM304" s="2164"/>
      <c r="AN304" s="2164"/>
      <c r="AO304" s="2164"/>
      <c r="AP304" s="2164"/>
      <c r="AQ304" s="2164"/>
      <c r="AR304" s="2164"/>
      <c r="AS304" s="2164"/>
      <c r="AT304" s="2164"/>
      <c r="AU304" s="2164"/>
      <c r="AV304" s="2164"/>
      <c r="AW304" s="2164"/>
      <c r="AX304" s="2164"/>
      <c r="AY304" s="2164"/>
      <c r="AZ304" s="2164"/>
      <c r="BA304" s="2164"/>
      <c r="BB304" s="2164"/>
      <c r="BC304" s="2164"/>
      <c r="BD304" s="2164"/>
      <c r="BE304" s="2164"/>
      <c r="BF304" s="2164"/>
      <c r="BG304" s="4573"/>
    </row>
    <row customHeight="1" ht="11.25">
      <c r="A305" s="1507" t="s">
        <v>990</v>
      </c>
      <c r="B305" s="1507"/>
      <c r="C305" s="1507"/>
      <c r="D305" s="1501"/>
      <c r="E305" s="1511"/>
      <c r="F305" s="2170"/>
      <c r="G305" s="2171"/>
      <c r="H305" s="2856" t="s">
        <v>90</v>
      </c>
      <c r="I305" s="2857"/>
      <c r="J305" s="2826"/>
      <c r="K305" s="2858"/>
      <c r="L305" s="2448"/>
      <c r="M305" s="2449"/>
      <c r="N305" s="2849"/>
      <c r="O305" s="2850">
        <v>1</v>
      </c>
      <c r="P305" s="2851" t="s">
        <v>65</v>
      </c>
      <c r="Q305" s="4672" t="s">
        <v>1054</v>
      </c>
      <c r="R305" s="4673" t="s">
        <v>1029</v>
      </c>
      <c r="S305" s="4673" t="s">
        <v>1055</v>
      </c>
      <c r="T305" s="4673" t="s">
        <v>1056</v>
      </c>
      <c r="U305" s="4673" t="s">
        <v>1057</v>
      </c>
      <c r="V305" s="4673" t="s">
        <v>1058</v>
      </c>
      <c r="W305" s="4673" t="s">
        <v>1059</v>
      </c>
      <c r="X305" s="4673" t="s">
        <v>1060</v>
      </c>
      <c r="Y305" s="4673" t="s">
        <v>19</v>
      </c>
      <c r="Z305" s="1516"/>
      <c r="AA305" s="1517"/>
      <c r="AB305" s="1517"/>
      <c r="AC305" s="1521"/>
      <c r="AD305" s="1521"/>
      <c r="AE305" s="1522"/>
      <c r="AF305" s="2847"/>
      <c r="AG305" s="2848"/>
      <c r="AH305" s="2848"/>
      <c r="AI305" s="2847"/>
      <c r="AJ305" s="2848"/>
      <c r="AK305" s="2848"/>
      <c r="AL305" s="2329"/>
      <c r="AM305" s="2164"/>
      <c r="AN305" s="2164"/>
      <c r="AO305" s="2164"/>
      <c r="AP305" s="2164"/>
      <c r="AQ305" s="2164"/>
      <c r="AR305" s="2164"/>
      <c r="AS305" s="2164"/>
      <c r="AT305" s="2164"/>
      <c r="AU305" s="2164"/>
      <c r="AV305" s="2164"/>
      <c r="AW305" s="2164"/>
      <c r="AX305" s="2164"/>
      <c r="AY305" s="2164"/>
      <c r="AZ305" s="2164"/>
      <c r="BA305" s="2164"/>
      <c r="BB305" s="2164"/>
      <c r="BC305" s="2164"/>
      <c r="BD305" s="2164"/>
      <c r="BE305" s="2164"/>
      <c r="BF305" s="2164"/>
      <c r="BG305" s="4573"/>
    </row>
    <row customHeight="1" ht="11.25">
      <c r="A306" s="1507" t="s">
        <v>990</v>
      </c>
      <c r="B306" s="1507"/>
      <c r="C306" s="1507"/>
      <c r="D306" s="1501"/>
      <c r="E306" s="1511"/>
      <c r="F306" s="2170"/>
      <c r="G306" s="2171"/>
      <c r="H306" s="2856" t="s">
        <v>90</v>
      </c>
      <c r="I306" s="2857"/>
      <c r="J306" s="2826"/>
      <c r="K306" s="2858"/>
      <c r="L306" s="2448"/>
      <c r="M306" s="2449"/>
      <c r="N306" s="2849"/>
      <c r="O306" s="2850"/>
      <c r="P306" s="2852"/>
      <c r="Q306" s="4672"/>
      <c r="R306" s="2854"/>
      <c r="S306" s="2855"/>
      <c r="T306" s="2854"/>
      <c r="U306" s="2854"/>
      <c r="V306" s="2854"/>
      <c r="W306" s="2854"/>
      <c r="X306" s="2854"/>
      <c r="Y306" s="2854"/>
      <c r="Z306" s="2169"/>
      <c r="AA306" s="2135">
        <v>1</v>
      </c>
      <c r="AB306" s="1520" t="s">
        <v>1035</v>
      </c>
      <c r="AC306" s="1510">
        <v>1667.7151</v>
      </c>
      <c r="AD306" s="1520" t="str">
        <f>AB306</f>
        <v>      Амортизационные отчисления с выделением результатов переоценки основных средств и нематериальных активов</v>
      </c>
      <c r="AE306" s="1510"/>
      <c r="AF306" s="2847"/>
      <c r="AG306" s="2848"/>
      <c r="AH306" s="2848"/>
      <c r="AI306" s="2847"/>
      <c r="AJ306" s="2848"/>
      <c r="AK306" s="2848"/>
      <c r="AL306" s="2329"/>
      <c r="AM306" s="2164"/>
      <c r="AN306" s="2164"/>
      <c r="AO306" s="2164"/>
      <c r="AP306" s="2164"/>
      <c r="AQ306" s="2164"/>
      <c r="AR306" s="2164"/>
      <c r="AS306" s="2164"/>
      <c r="AT306" s="2164"/>
      <c r="AU306" s="2164"/>
      <c r="AV306" s="2164"/>
      <c r="AW306" s="2164"/>
      <c r="AX306" s="2164"/>
      <c r="AY306" s="2164"/>
      <c r="AZ306" s="2164"/>
      <c r="BA306" s="2164"/>
      <c r="BB306" s="2164"/>
      <c r="BC306" s="2164"/>
      <c r="BD306" s="2164"/>
      <c r="BE306" s="2164"/>
      <c r="BF306" s="2164"/>
      <c r="BG306" s="4573"/>
    </row>
    <row customHeight="1" ht="11.25">
      <c r="A307" s="1507" t="s">
        <v>990</v>
      </c>
      <c r="B307" s="1507"/>
      <c r="C307" s="1507"/>
      <c r="D307" s="1501"/>
      <c r="E307" s="1511"/>
      <c r="F307" s="2171"/>
      <c r="G307" s="2171"/>
      <c r="H307" s="2171"/>
      <c r="I307" s="2171"/>
      <c r="J307" s="2171"/>
      <c r="K307" s="2171"/>
      <c r="L307" s="2171"/>
      <c r="M307" s="2171"/>
      <c r="N307" s="2171"/>
      <c r="O307" s="2171"/>
      <c r="P307" s="2171"/>
      <c r="Q307" s="2171"/>
      <c r="R307" s="2171"/>
      <c r="S307" s="2171"/>
      <c r="T307" s="2171"/>
      <c r="U307" s="2171"/>
      <c r="V307" s="2171"/>
      <c r="W307" s="2171"/>
      <c r="X307" s="2171"/>
      <c r="Y307" s="2171"/>
      <c r="Z307" s="4557" t="s">
        <v>684</v>
      </c>
      <c r="AA307" s="2155" t="s">
        <v>107</v>
      </c>
      <c r="AB307" s="1520" t="s">
        <v>1036</v>
      </c>
      <c r="AC307" s="1510">
        <v>333.54302</v>
      </c>
      <c r="AD307" s="1520" t="str">
        <f>AB307</f>
        <v>  Прочие собственные средства</v>
      </c>
      <c r="AE307" s="1510"/>
      <c r="AF307" s="2172"/>
      <c r="AG307" s="2100"/>
      <c r="AH307" s="2100"/>
      <c r="AI307" s="2172"/>
      <c r="AJ307" s="2100"/>
      <c r="AK307" s="2328"/>
      <c r="AL307" s="2329"/>
      <c r="AM307" s="2164"/>
      <c r="AN307" s="2164"/>
      <c r="AO307" s="2164"/>
      <c r="AP307" s="2164"/>
      <c r="AQ307" s="2164"/>
      <c r="AR307" s="2164"/>
      <c r="AS307" s="2164"/>
      <c r="AT307" s="2164"/>
      <c r="AU307" s="2164"/>
      <c r="AV307" s="2164"/>
      <c r="AW307" s="2164"/>
      <c r="AX307" s="2164"/>
      <c r="AY307" s="2164"/>
      <c r="AZ307" s="2164"/>
      <c r="BA307" s="2164"/>
      <c r="BB307" s="2164"/>
      <c r="BC307" s="2164"/>
      <c r="BD307" s="2164"/>
      <c r="BE307" s="2164"/>
      <c r="BF307" s="2164"/>
      <c r="BG307" s="4573"/>
    </row>
    <row customHeight="1" ht="11.25">
      <c r="A308" s="1507" t="s">
        <v>990</v>
      </c>
      <c r="B308" s="1507"/>
      <c r="C308" s="1507"/>
      <c r="D308" s="1501"/>
      <c r="E308" s="1511"/>
      <c r="F308" s="2170"/>
      <c r="G308" s="2171"/>
      <c r="H308" s="2856" t="s">
        <v>90</v>
      </c>
      <c r="I308" s="2857"/>
      <c r="J308" s="2826"/>
      <c r="K308" s="2858"/>
      <c r="L308" s="2448"/>
      <c r="M308" s="2449"/>
      <c r="N308" s="2849"/>
      <c r="O308" s="2850"/>
      <c r="P308" s="2853"/>
      <c r="Q308" s="4672"/>
      <c r="R308" s="2854"/>
      <c r="S308" s="2855"/>
      <c r="T308" s="2854"/>
      <c r="U308" s="2854"/>
      <c r="V308" s="2854"/>
      <c r="W308" s="2854"/>
      <c r="X308" s="2854"/>
      <c r="Y308" s="2854"/>
      <c r="Z308" s="1516"/>
      <c r="AA308" s="1517"/>
      <c r="AB308" s="1582" t="s">
        <v>1037</v>
      </c>
      <c r="AC308" s="1521"/>
      <c r="AD308" s="1521"/>
      <c r="AE308" s="1523"/>
      <c r="AF308" s="2847"/>
      <c r="AG308" s="2848"/>
      <c r="AH308" s="2848"/>
      <c r="AI308" s="2847"/>
      <c r="AJ308" s="2848"/>
      <c r="AK308" s="2848"/>
      <c r="AL308" s="2329"/>
      <c r="AM308" s="2164"/>
      <c r="AN308" s="2164"/>
      <c r="AO308" s="2164"/>
      <c r="AP308" s="2164"/>
      <c r="AQ308" s="2164"/>
      <c r="AR308" s="2164"/>
      <c r="AS308" s="2164"/>
      <c r="AT308" s="2164"/>
      <c r="AU308" s="2164"/>
      <c r="AV308" s="2164"/>
      <c r="AW308" s="2164"/>
      <c r="AX308" s="2164"/>
      <c r="AY308" s="2164"/>
      <c r="AZ308" s="2164"/>
      <c r="BA308" s="2164"/>
      <c r="BB308" s="2164"/>
      <c r="BC308" s="2164"/>
      <c r="BD308" s="2164"/>
      <c r="BE308" s="2164"/>
      <c r="BF308" s="2164"/>
      <c r="BG308" s="4573"/>
    </row>
    <row customHeight="1" ht="11.25">
      <c r="A309" s="1507" t="s">
        <v>990</v>
      </c>
      <c r="B309" s="1507"/>
      <c r="C309" s="1507"/>
      <c r="D309" s="1501"/>
      <c r="E309" s="1511"/>
      <c r="F309" s="2170"/>
      <c r="G309" s="2171"/>
      <c r="H309" s="2856" t="s">
        <v>90</v>
      </c>
      <c r="I309" s="2857"/>
      <c r="J309" s="2826"/>
      <c r="K309" s="2858"/>
      <c r="L309" s="2448"/>
      <c r="M309" s="2449"/>
      <c r="N309" s="1516"/>
      <c r="O309" s="1517"/>
      <c r="P309" s="1509" t="s">
        <v>1038</v>
      </c>
      <c r="Q309" s="1517"/>
      <c r="R309" s="1517"/>
      <c r="S309" s="1517"/>
      <c r="T309" s="1517"/>
      <c r="U309" s="1517"/>
      <c r="V309" s="1517"/>
      <c r="W309" s="1517"/>
      <c r="X309" s="1517"/>
      <c r="Y309" s="1517"/>
      <c r="Z309" s="1517"/>
      <c r="AA309" s="1517"/>
      <c r="AB309" s="1517"/>
      <c r="AC309" s="1517"/>
      <c r="AD309" s="1517"/>
      <c r="AE309" s="1524"/>
      <c r="AF309" s="2847"/>
      <c r="AG309" s="2848"/>
      <c r="AH309" s="2848"/>
      <c r="AI309" s="2847"/>
      <c r="AJ309" s="2848"/>
      <c r="AK309" s="2848"/>
      <c r="AL309" s="2329"/>
      <c r="AM309" s="2164"/>
      <c r="AN309" s="2164"/>
      <c r="AO309" s="2164"/>
      <c r="AP309" s="2164"/>
      <c r="AQ309" s="2164"/>
      <c r="AR309" s="2164"/>
      <c r="AS309" s="2164"/>
      <c r="AT309" s="2164"/>
      <c r="AU309" s="2164"/>
      <c r="AV309" s="2164"/>
      <c r="AW309" s="2164"/>
      <c r="AX309" s="2164"/>
      <c r="AY309" s="2164"/>
      <c r="AZ309" s="2164"/>
      <c r="BA309" s="2164"/>
      <c r="BB309" s="2164"/>
      <c r="BC309" s="2164"/>
      <c r="BD309" s="2164"/>
      <c r="BE309" s="2164"/>
      <c r="BF309" s="2164"/>
      <c r="BG309" s="4573"/>
    </row>
    <row customHeight="1" ht="11.25">
      <c r="A310" s="1507" t="s">
        <v>990</v>
      </c>
      <c r="B310" s="1507" t="s">
        <v>1022</v>
      </c>
      <c r="C310" s="1507"/>
      <c r="D310" s="1501"/>
      <c r="E310" s="1511"/>
      <c r="F310" s="2170"/>
      <c r="G310" s="4557" t="s">
        <v>684</v>
      </c>
      <c r="H310" s="2856" t="s">
        <v>108</v>
      </c>
      <c r="I310" s="2857" t="s">
        <v>1023</v>
      </c>
      <c r="J310" s="2826" t="s">
        <v>1024</v>
      </c>
      <c r="K310" s="2858" t="s">
        <v>1061</v>
      </c>
      <c r="L310" s="2448" t="s">
        <v>19</v>
      </c>
      <c r="M310" s="2449"/>
      <c r="N310" s="2327"/>
      <c r="O310" s="1518" t="s">
        <v>371</v>
      </c>
      <c r="P310" s="1519"/>
      <c r="Q310" s="1519"/>
      <c r="R310" s="1519"/>
      <c r="S310" s="1519"/>
      <c r="T310" s="1519"/>
      <c r="U310" s="1519"/>
      <c r="V310" s="1519"/>
      <c r="W310" s="1519"/>
      <c r="X310" s="1519"/>
      <c r="Y310" s="1519"/>
      <c r="Z310" s="1519"/>
      <c r="AA310" s="1519"/>
      <c r="AB310" s="1519"/>
      <c r="AC310" s="1519"/>
      <c r="AD310" s="1519"/>
      <c r="AE310" s="1519"/>
      <c r="AF310" s="2847">
        <v>2</v>
      </c>
      <c r="AG310" s="2848" t="s">
        <v>1026</v>
      </c>
      <c r="AH310" s="2848" t="s">
        <v>1053</v>
      </c>
      <c r="AI310" s="2847"/>
      <c r="AJ310" s="2848"/>
      <c r="AK310" s="2848"/>
      <c r="AL310" s="2329"/>
      <c r="AM310" s="2164"/>
      <c r="AN310" s="2164"/>
      <c r="AO310" s="2164"/>
      <c r="AP310" s="2164"/>
      <c r="AQ310" s="2164"/>
      <c r="AR310" s="2164"/>
      <c r="AS310" s="2164"/>
      <c r="AT310" s="2164"/>
      <c r="AU310" s="2164"/>
      <c r="AV310" s="2164"/>
      <c r="AW310" s="2164"/>
      <c r="AX310" s="2164"/>
      <c r="AY310" s="2164"/>
      <c r="AZ310" s="2164"/>
      <c r="BA310" s="2164"/>
      <c r="BB310" s="2164"/>
      <c r="BC310" s="2164"/>
      <c r="BD310" s="2164"/>
      <c r="BE310" s="2164"/>
      <c r="BF310" s="2164"/>
      <c r="BG310" s="4573"/>
    </row>
    <row customHeight="1" ht="11.25">
      <c r="A311" s="1507" t="s">
        <v>990</v>
      </c>
      <c r="B311" s="1507"/>
      <c r="C311" s="1507"/>
      <c r="D311" s="1501"/>
      <c r="E311" s="1511"/>
      <c r="F311" s="2170"/>
      <c r="G311" s="2171"/>
      <c r="H311" s="2856" t="s">
        <v>91</v>
      </c>
      <c r="I311" s="2857"/>
      <c r="J311" s="2826"/>
      <c r="K311" s="2858"/>
      <c r="L311" s="2448"/>
      <c r="M311" s="2449"/>
      <c r="N311" s="2849"/>
      <c r="O311" s="2850">
        <v>1</v>
      </c>
      <c r="P311" s="2851" t="s">
        <v>65</v>
      </c>
      <c r="Q311" s="4672" t="s">
        <v>1054</v>
      </c>
      <c r="R311" s="4673" t="s">
        <v>1029</v>
      </c>
      <c r="S311" s="4673" t="s">
        <v>1055</v>
      </c>
      <c r="T311" s="4673" t="s">
        <v>1056</v>
      </c>
      <c r="U311" s="4673" t="s">
        <v>1057</v>
      </c>
      <c r="V311" s="4673" t="s">
        <v>1058</v>
      </c>
      <c r="W311" s="4673" t="s">
        <v>1059</v>
      </c>
      <c r="X311" s="4673" t="s">
        <v>1060</v>
      </c>
      <c r="Y311" s="4673" t="s">
        <v>19</v>
      </c>
      <c r="Z311" s="1516"/>
      <c r="AA311" s="1517"/>
      <c r="AB311" s="1517"/>
      <c r="AC311" s="1521"/>
      <c r="AD311" s="1521"/>
      <c r="AE311" s="1522"/>
      <c r="AF311" s="2847"/>
      <c r="AG311" s="2848"/>
      <c r="AH311" s="2848"/>
      <c r="AI311" s="2847"/>
      <c r="AJ311" s="2848"/>
      <c r="AK311" s="2848"/>
      <c r="AL311" s="2329"/>
      <c r="AM311" s="2164"/>
      <c r="AN311" s="2164"/>
      <c r="AO311" s="2164"/>
      <c r="AP311" s="2164"/>
      <c r="AQ311" s="2164"/>
      <c r="AR311" s="2164"/>
      <c r="AS311" s="2164"/>
      <c r="AT311" s="2164"/>
      <c r="AU311" s="2164"/>
      <c r="AV311" s="2164"/>
      <c r="AW311" s="2164"/>
      <c r="AX311" s="2164"/>
      <c r="AY311" s="2164"/>
      <c r="AZ311" s="2164"/>
      <c r="BA311" s="2164"/>
      <c r="BB311" s="2164"/>
      <c r="BC311" s="2164"/>
      <c r="BD311" s="2164"/>
      <c r="BE311" s="2164"/>
      <c r="BF311" s="2164"/>
      <c r="BG311" s="4573"/>
    </row>
    <row customHeight="1" ht="11.25">
      <c r="A312" s="1507" t="s">
        <v>990</v>
      </c>
      <c r="B312" s="1507"/>
      <c r="C312" s="1507"/>
      <c r="D312" s="1501"/>
      <c r="E312" s="1511"/>
      <c r="F312" s="2170"/>
      <c r="G312" s="2171"/>
      <c r="H312" s="2856" t="s">
        <v>91</v>
      </c>
      <c r="I312" s="2857"/>
      <c r="J312" s="2826"/>
      <c r="K312" s="2858"/>
      <c r="L312" s="2448"/>
      <c r="M312" s="2449"/>
      <c r="N312" s="2849"/>
      <c r="O312" s="2850"/>
      <c r="P312" s="2852"/>
      <c r="Q312" s="4672"/>
      <c r="R312" s="2854"/>
      <c r="S312" s="2855"/>
      <c r="T312" s="2854"/>
      <c r="U312" s="2854"/>
      <c r="V312" s="2854"/>
      <c r="W312" s="2854"/>
      <c r="X312" s="2854"/>
      <c r="Y312" s="2854"/>
      <c r="Z312" s="2169"/>
      <c r="AA312" s="2135">
        <v>1</v>
      </c>
      <c r="AB312" s="1520" t="s">
        <v>1035</v>
      </c>
      <c r="AC312" s="1510">
        <v>3297.76163</v>
      </c>
      <c r="AD312" s="1520" t="str">
        <f>AB312</f>
        <v>      Амортизационные отчисления с выделением результатов переоценки основных средств и нематериальных активов</v>
      </c>
      <c r="AE312" s="1510"/>
      <c r="AF312" s="2847"/>
      <c r="AG312" s="2848"/>
      <c r="AH312" s="2848"/>
      <c r="AI312" s="2847"/>
      <c r="AJ312" s="2848"/>
      <c r="AK312" s="2848"/>
      <c r="AL312" s="2329"/>
      <c r="AM312" s="2164"/>
      <c r="AN312" s="2164"/>
      <c r="AO312" s="2164"/>
      <c r="AP312" s="2164"/>
      <c r="AQ312" s="2164"/>
      <c r="AR312" s="2164"/>
      <c r="AS312" s="2164"/>
      <c r="AT312" s="2164"/>
      <c r="AU312" s="2164"/>
      <c r="AV312" s="2164"/>
      <c r="AW312" s="2164"/>
      <c r="AX312" s="2164"/>
      <c r="AY312" s="2164"/>
      <c r="AZ312" s="2164"/>
      <c r="BA312" s="2164"/>
      <c r="BB312" s="2164"/>
      <c r="BC312" s="2164"/>
      <c r="BD312" s="2164"/>
      <c r="BE312" s="2164"/>
      <c r="BF312" s="2164"/>
      <c r="BG312" s="4573"/>
    </row>
    <row customHeight="1" ht="11.25">
      <c r="A313" s="1507" t="s">
        <v>990</v>
      </c>
      <c r="B313" s="1507"/>
      <c r="C313" s="1507"/>
      <c r="D313" s="1501"/>
      <c r="E313" s="1511"/>
      <c r="F313" s="2171"/>
      <c r="G313" s="2171"/>
      <c r="H313" s="2171"/>
      <c r="I313" s="2171"/>
      <c r="J313" s="2171"/>
      <c r="K313" s="2171"/>
      <c r="L313" s="2171"/>
      <c r="M313" s="2171"/>
      <c r="N313" s="2171"/>
      <c r="O313" s="2171"/>
      <c r="P313" s="2171"/>
      <c r="Q313" s="2171"/>
      <c r="R313" s="2171"/>
      <c r="S313" s="2171"/>
      <c r="T313" s="2171"/>
      <c r="U313" s="2171"/>
      <c r="V313" s="2171"/>
      <c r="W313" s="2171"/>
      <c r="X313" s="2171"/>
      <c r="Y313" s="2171"/>
      <c r="Z313" s="4557" t="s">
        <v>684</v>
      </c>
      <c r="AA313" s="2155" t="s">
        <v>107</v>
      </c>
      <c r="AB313" s="1520" t="s">
        <v>1036</v>
      </c>
      <c r="AC313" s="1510">
        <v>659.55233</v>
      </c>
      <c r="AD313" s="1520" t="str">
        <f>AB313</f>
        <v>  Прочие собственные средства</v>
      </c>
      <c r="AE313" s="1510"/>
      <c r="AF313" s="2172"/>
      <c r="AG313" s="2100"/>
      <c r="AH313" s="2100"/>
      <c r="AI313" s="2172"/>
      <c r="AJ313" s="2100"/>
      <c r="AK313" s="2328"/>
      <c r="AL313" s="2329"/>
      <c r="AM313" s="2164"/>
      <c r="AN313" s="2164"/>
      <c r="AO313" s="2164"/>
      <c r="AP313" s="2164"/>
      <c r="AQ313" s="2164"/>
      <c r="AR313" s="2164"/>
      <c r="AS313" s="2164"/>
      <c r="AT313" s="2164"/>
      <c r="AU313" s="2164"/>
      <c r="AV313" s="2164"/>
      <c r="AW313" s="2164"/>
      <c r="AX313" s="2164"/>
      <c r="AY313" s="2164"/>
      <c r="AZ313" s="2164"/>
      <c r="BA313" s="2164"/>
      <c r="BB313" s="2164"/>
      <c r="BC313" s="2164"/>
      <c r="BD313" s="2164"/>
      <c r="BE313" s="2164"/>
      <c r="BF313" s="2164"/>
      <c r="BG313" s="4573"/>
    </row>
    <row customHeight="1" ht="11.25">
      <c r="A314" s="1507" t="s">
        <v>990</v>
      </c>
      <c r="B314" s="1507"/>
      <c r="C314" s="1507"/>
      <c r="D314" s="1501"/>
      <c r="E314" s="1511"/>
      <c r="F314" s="2170"/>
      <c r="G314" s="2171"/>
      <c r="H314" s="2856" t="s">
        <v>91</v>
      </c>
      <c r="I314" s="2857"/>
      <c r="J314" s="2826"/>
      <c r="K314" s="2858"/>
      <c r="L314" s="2448"/>
      <c r="M314" s="2449"/>
      <c r="N314" s="2849"/>
      <c r="O314" s="2850"/>
      <c r="P314" s="2853"/>
      <c r="Q314" s="4672"/>
      <c r="R314" s="2854"/>
      <c r="S314" s="2855"/>
      <c r="T314" s="2854"/>
      <c r="U314" s="2854"/>
      <c r="V314" s="2854"/>
      <c r="W314" s="2854"/>
      <c r="X314" s="2854"/>
      <c r="Y314" s="2854"/>
      <c r="Z314" s="1516"/>
      <c r="AA314" s="1517"/>
      <c r="AB314" s="1582" t="s">
        <v>1037</v>
      </c>
      <c r="AC314" s="1521"/>
      <c r="AD314" s="1521"/>
      <c r="AE314" s="1523"/>
      <c r="AF314" s="2847"/>
      <c r="AG314" s="2848"/>
      <c r="AH314" s="2848"/>
      <c r="AI314" s="2847"/>
      <c r="AJ314" s="2848"/>
      <c r="AK314" s="2848"/>
      <c r="AL314" s="2329"/>
      <c r="AM314" s="2164"/>
      <c r="AN314" s="2164"/>
      <c r="AO314" s="2164"/>
      <c r="AP314" s="2164"/>
      <c r="AQ314" s="2164"/>
      <c r="AR314" s="2164"/>
      <c r="AS314" s="2164"/>
      <c r="AT314" s="2164"/>
      <c r="AU314" s="2164"/>
      <c r="AV314" s="2164"/>
      <c r="AW314" s="2164"/>
      <c r="AX314" s="2164"/>
      <c r="AY314" s="2164"/>
      <c r="AZ314" s="2164"/>
      <c r="BA314" s="2164"/>
      <c r="BB314" s="2164"/>
      <c r="BC314" s="2164"/>
      <c r="BD314" s="2164"/>
      <c r="BE314" s="2164"/>
      <c r="BF314" s="2164"/>
      <c r="BG314" s="4573"/>
    </row>
    <row customHeight="1" ht="11.25">
      <c r="A315" s="1507" t="s">
        <v>990</v>
      </c>
      <c r="B315" s="1507"/>
      <c r="C315" s="1507"/>
      <c r="D315" s="1501"/>
      <c r="E315" s="1511"/>
      <c r="F315" s="2170"/>
      <c r="G315" s="2171"/>
      <c r="H315" s="2856" t="s">
        <v>91</v>
      </c>
      <c r="I315" s="2857"/>
      <c r="J315" s="2826"/>
      <c r="K315" s="2858"/>
      <c r="L315" s="2448"/>
      <c r="M315" s="2449"/>
      <c r="N315" s="1516"/>
      <c r="O315" s="1517"/>
      <c r="P315" s="1509" t="s">
        <v>1038</v>
      </c>
      <c r="Q315" s="1517"/>
      <c r="R315" s="1517"/>
      <c r="S315" s="1517"/>
      <c r="T315" s="1517"/>
      <c r="U315" s="1517"/>
      <c r="V315" s="1517"/>
      <c r="W315" s="1517"/>
      <c r="X315" s="1517"/>
      <c r="Y315" s="1517"/>
      <c r="Z315" s="1517"/>
      <c r="AA315" s="1517"/>
      <c r="AB315" s="1517"/>
      <c r="AC315" s="1517"/>
      <c r="AD315" s="1517"/>
      <c r="AE315" s="1524"/>
      <c r="AF315" s="2847"/>
      <c r="AG315" s="2848"/>
      <c r="AH315" s="2848"/>
      <c r="AI315" s="2847"/>
      <c r="AJ315" s="2848"/>
      <c r="AK315" s="2848"/>
      <c r="AL315" s="2329"/>
      <c r="AM315" s="2164"/>
      <c r="AN315" s="2164"/>
      <c r="AO315" s="2164"/>
      <c r="AP315" s="2164"/>
      <c r="AQ315" s="2164"/>
      <c r="AR315" s="2164"/>
      <c r="AS315" s="2164"/>
      <c r="AT315" s="2164"/>
      <c r="AU315" s="2164"/>
      <c r="AV315" s="2164"/>
      <c r="AW315" s="2164"/>
      <c r="AX315" s="2164"/>
      <c r="AY315" s="2164"/>
      <c r="AZ315" s="2164"/>
      <c r="BA315" s="2164"/>
      <c r="BB315" s="2164"/>
      <c r="BC315" s="2164"/>
      <c r="BD315" s="2164"/>
      <c r="BE315" s="2164"/>
      <c r="BF315" s="2164"/>
      <c r="BG315" s="4573"/>
    </row>
    <row customHeight="1" ht="11.25">
      <c r="A316" s="1507" t="s">
        <v>990</v>
      </c>
      <c r="B316" s="1507" t="s">
        <v>22</v>
      </c>
      <c r="C316" s="1507"/>
      <c r="D316" s="1501"/>
      <c r="E316" s="1511"/>
      <c r="F316" s="2170"/>
      <c r="G316" s="4557" t="s">
        <v>684</v>
      </c>
      <c r="H316" s="2856" t="s">
        <v>92</v>
      </c>
      <c r="I316" s="2857" t="s">
        <v>1039</v>
      </c>
      <c r="J316" s="4694" t="s">
        <v>22</v>
      </c>
      <c r="K316" s="2858" t="s">
        <v>1065</v>
      </c>
      <c r="L316" s="2448" t="s">
        <v>19</v>
      </c>
      <c r="M316" s="2449"/>
      <c r="N316" s="2327"/>
      <c r="O316" s="1518" t="s">
        <v>371</v>
      </c>
      <c r="P316" s="1519"/>
      <c r="Q316" s="1519"/>
      <c r="R316" s="1519"/>
      <c r="S316" s="1519"/>
      <c r="T316" s="1519"/>
      <c r="U316" s="1519"/>
      <c r="V316" s="1519"/>
      <c r="W316" s="1519"/>
      <c r="X316" s="1519"/>
      <c r="Y316" s="1519"/>
      <c r="Z316" s="1519"/>
      <c r="AA316" s="1519"/>
      <c r="AB316" s="1519"/>
      <c r="AC316" s="1519"/>
      <c r="AD316" s="1519"/>
      <c r="AE316" s="1519"/>
      <c r="AF316" s="2847">
        <v>1</v>
      </c>
      <c r="AG316" s="2848" t="s">
        <v>1026</v>
      </c>
      <c r="AH316" s="2848" t="s">
        <v>1053</v>
      </c>
      <c r="AI316" s="2847"/>
      <c r="AJ316" s="2848"/>
      <c r="AK316" s="2848"/>
      <c r="AL316" s="2329"/>
      <c r="AM316" s="2164"/>
      <c r="AN316" s="2164"/>
      <c r="AO316" s="2164"/>
      <c r="AP316" s="2164"/>
      <c r="AQ316" s="2164"/>
      <c r="AR316" s="2164"/>
      <c r="AS316" s="2164"/>
      <c r="AT316" s="2164"/>
      <c r="AU316" s="2164"/>
      <c r="AV316" s="2164"/>
      <c r="AW316" s="2164"/>
      <c r="AX316" s="2164"/>
      <c r="AY316" s="2164"/>
      <c r="AZ316" s="2164"/>
      <c r="BA316" s="2164"/>
      <c r="BB316" s="2164"/>
      <c r="BC316" s="2164"/>
      <c r="BD316" s="2164"/>
      <c r="BE316" s="2164"/>
      <c r="BF316" s="2164"/>
      <c r="BG316" s="4573"/>
    </row>
    <row customHeight="1" ht="11.25">
      <c r="A317" s="1507" t="s">
        <v>990</v>
      </c>
      <c r="B317" s="1507"/>
      <c r="C317" s="1507"/>
      <c r="D317" s="1501"/>
      <c r="E317" s="1511"/>
      <c r="F317" s="2170"/>
      <c r="G317" s="2171"/>
      <c r="H317" s="2856" t="s">
        <v>108</v>
      </c>
      <c r="I317" s="2857"/>
      <c r="J317" s="4694"/>
      <c r="K317" s="2858"/>
      <c r="L317" s="2448"/>
      <c r="M317" s="2449"/>
      <c r="N317" s="2849"/>
      <c r="O317" s="2850">
        <v>1</v>
      </c>
      <c r="P317" s="2851" t="s">
        <v>19</v>
      </c>
      <c r="Q317" s="7507" t="s">
        <v>22</v>
      </c>
      <c r="R317" s="7508" t="s">
        <v>22</v>
      </c>
      <c r="S317" s="7508" t="s">
        <v>22</v>
      </c>
      <c r="T317" s="7508" t="s">
        <v>22</v>
      </c>
      <c r="U317" s="7508" t="s">
        <v>22</v>
      </c>
      <c r="V317" s="7508" t="s">
        <v>22</v>
      </c>
      <c r="W317" s="7508" t="s">
        <v>22</v>
      </c>
      <c r="X317" s="7508" t="s">
        <v>22</v>
      </c>
      <c r="Y317" s="7508" t="s">
        <v>22</v>
      </c>
      <c r="Z317" s="1516"/>
      <c r="AA317" s="1517"/>
      <c r="AB317" s="1517"/>
      <c r="AC317" s="1521"/>
      <c r="AD317" s="1521"/>
      <c r="AE317" s="1522"/>
      <c r="AF317" s="2847"/>
      <c r="AG317" s="2848"/>
      <c r="AH317" s="2848"/>
      <c r="AI317" s="2847"/>
      <c r="AJ317" s="2848"/>
      <c r="AK317" s="2848"/>
      <c r="AL317" s="2329"/>
      <c r="AM317" s="2164"/>
      <c r="AN317" s="2164"/>
      <c r="AO317" s="2164"/>
      <c r="AP317" s="2164"/>
      <c r="AQ317" s="2164"/>
      <c r="AR317" s="2164"/>
      <c r="AS317" s="2164"/>
      <c r="AT317" s="2164"/>
      <c r="AU317" s="2164"/>
      <c r="AV317" s="2164"/>
      <c r="AW317" s="2164"/>
      <c r="AX317" s="2164"/>
      <c r="AY317" s="2164"/>
      <c r="AZ317" s="2164"/>
      <c r="BA317" s="2164"/>
      <c r="BB317" s="2164"/>
      <c r="BC317" s="2164"/>
      <c r="BD317" s="2164"/>
      <c r="BE317" s="2164"/>
      <c r="BF317" s="2164"/>
      <c r="BG317" s="4573"/>
    </row>
    <row customHeight="1" ht="11.25">
      <c r="A318" s="1507" t="s">
        <v>990</v>
      </c>
      <c r="B318" s="1507"/>
      <c r="C318" s="1507"/>
      <c r="D318" s="1501"/>
      <c r="E318" s="1511"/>
      <c r="F318" s="2170"/>
      <c r="G318" s="2171"/>
      <c r="H318" s="2856" t="s">
        <v>108</v>
      </c>
      <c r="I318" s="2857"/>
      <c r="J318" s="4694"/>
      <c r="K318" s="2858"/>
      <c r="L318" s="2448"/>
      <c r="M318" s="2449"/>
      <c r="N318" s="2849"/>
      <c r="O318" s="2850"/>
      <c r="P318" s="2852"/>
      <c r="Q318" s="4672"/>
      <c r="R318" s="2854"/>
      <c r="S318" s="2855"/>
      <c r="T318" s="2854"/>
      <c r="U318" s="2854"/>
      <c r="V318" s="2854"/>
      <c r="W318" s="2854"/>
      <c r="X318" s="2854"/>
      <c r="Y318" s="2854"/>
      <c r="Z318" s="2169"/>
      <c r="AA318" s="2135">
        <v>1</v>
      </c>
      <c r="AB318" s="1520" t="s">
        <v>1035</v>
      </c>
      <c r="AC318" s="1510">
        <v>7937.24493</v>
      </c>
      <c r="AD318" s="1520" t="str">
        <f>AB318</f>
        <v>      Амортизационные отчисления с выделением результатов переоценки основных средств и нематериальных активов</v>
      </c>
      <c r="AE318" s="1510"/>
      <c r="AF318" s="2847"/>
      <c r="AG318" s="2848"/>
      <c r="AH318" s="2848"/>
      <c r="AI318" s="2847"/>
      <c r="AJ318" s="2848"/>
      <c r="AK318" s="2848"/>
      <c r="AL318" s="2329"/>
      <c r="AM318" s="2164"/>
      <c r="AN318" s="2164"/>
      <c r="AO318" s="2164"/>
      <c r="AP318" s="2164"/>
      <c r="AQ318" s="2164"/>
      <c r="AR318" s="2164"/>
      <c r="AS318" s="2164"/>
      <c r="AT318" s="2164"/>
      <c r="AU318" s="2164"/>
      <c r="AV318" s="2164"/>
      <c r="AW318" s="2164"/>
      <c r="AX318" s="2164"/>
      <c r="AY318" s="2164"/>
      <c r="AZ318" s="2164"/>
      <c r="BA318" s="2164"/>
      <c r="BB318" s="2164"/>
      <c r="BC318" s="2164"/>
      <c r="BD318" s="2164"/>
      <c r="BE318" s="2164"/>
      <c r="BF318" s="2164"/>
      <c r="BG318" s="4573"/>
    </row>
    <row customHeight="1" ht="11.25">
      <c r="A319" s="1507" t="s">
        <v>990</v>
      </c>
      <c r="B319" s="1507"/>
      <c r="C319" s="1507"/>
      <c r="D319" s="1501"/>
      <c r="E319" s="1511"/>
      <c r="F319" s="2171"/>
      <c r="G319" s="2171"/>
      <c r="H319" s="2171"/>
      <c r="I319" s="2171"/>
      <c r="J319" s="2171"/>
      <c r="K319" s="2171"/>
      <c r="L319" s="2171"/>
      <c r="M319" s="2171"/>
      <c r="N319" s="2171"/>
      <c r="O319" s="2171"/>
      <c r="P319" s="2171"/>
      <c r="Q319" s="2171"/>
      <c r="R319" s="2171"/>
      <c r="S319" s="2171"/>
      <c r="T319" s="2171"/>
      <c r="U319" s="2171"/>
      <c r="V319" s="2171"/>
      <c r="W319" s="2171"/>
      <c r="X319" s="2171"/>
      <c r="Y319" s="2171"/>
      <c r="Z319" s="4557" t="s">
        <v>684</v>
      </c>
      <c r="AA319" s="2155" t="s">
        <v>107</v>
      </c>
      <c r="AB319" s="1520" t="s">
        <v>1036</v>
      </c>
      <c r="AC319" s="1510">
        <v>1587.44899</v>
      </c>
      <c r="AD319" s="1520" t="str">
        <f>AB319</f>
        <v>  Прочие собственные средства</v>
      </c>
      <c r="AE319" s="1510"/>
      <c r="AF319" s="2172"/>
      <c r="AG319" s="2100"/>
      <c r="AH319" s="2100"/>
      <c r="AI319" s="2172"/>
      <c r="AJ319" s="2100"/>
      <c r="AK319" s="2328"/>
      <c r="AL319" s="2329"/>
      <c r="AM319" s="2164"/>
      <c r="AN319" s="2164"/>
      <c r="AO319" s="2164"/>
      <c r="AP319" s="2164"/>
      <c r="AQ319" s="2164"/>
      <c r="AR319" s="2164"/>
      <c r="AS319" s="2164"/>
      <c r="AT319" s="2164"/>
      <c r="AU319" s="2164"/>
      <c r="AV319" s="2164"/>
      <c r="AW319" s="2164"/>
      <c r="AX319" s="2164"/>
      <c r="AY319" s="2164"/>
      <c r="AZ319" s="2164"/>
      <c r="BA319" s="2164"/>
      <c r="BB319" s="2164"/>
      <c r="BC319" s="2164"/>
      <c r="BD319" s="2164"/>
      <c r="BE319" s="2164"/>
      <c r="BF319" s="2164"/>
      <c r="BG319" s="4573"/>
    </row>
    <row customHeight="1" ht="11.25">
      <c r="A320" s="1507" t="s">
        <v>990</v>
      </c>
      <c r="B320" s="1507"/>
      <c r="C320" s="1507"/>
      <c r="D320" s="1501"/>
      <c r="E320" s="1511"/>
      <c r="F320" s="2170"/>
      <c r="G320" s="2171"/>
      <c r="H320" s="2856" t="s">
        <v>108</v>
      </c>
      <c r="I320" s="2857"/>
      <c r="J320" s="4694"/>
      <c r="K320" s="2858"/>
      <c r="L320" s="2448"/>
      <c r="M320" s="2449"/>
      <c r="N320" s="2849"/>
      <c r="O320" s="2850"/>
      <c r="P320" s="2853"/>
      <c r="Q320" s="4672"/>
      <c r="R320" s="2854"/>
      <c r="S320" s="2855"/>
      <c r="T320" s="2854"/>
      <c r="U320" s="2854"/>
      <c r="V320" s="2854"/>
      <c r="W320" s="2854"/>
      <c r="X320" s="2854"/>
      <c r="Y320" s="2854"/>
      <c r="Z320" s="1516"/>
      <c r="AA320" s="1517"/>
      <c r="AB320" s="1582" t="s">
        <v>1037</v>
      </c>
      <c r="AC320" s="1521"/>
      <c r="AD320" s="1521"/>
      <c r="AE320" s="1523"/>
      <c r="AF320" s="2847"/>
      <c r="AG320" s="2848"/>
      <c r="AH320" s="2848"/>
      <c r="AI320" s="2847"/>
      <c r="AJ320" s="2848"/>
      <c r="AK320" s="2848"/>
      <c r="AL320" s="2329"/>
      <c r="AM320" s="2164"/>
      <c r="AN320" s="2164"/>
      <c r="AO320" s="2164"/>
      <c r="AP320" s="2164"/>
      <c r="AQ320" s="2164"/>
      <c r="AR320" s="2164"/>
      <c r="AS320" s="2164"/>
      <c r="AT320" s="2164"/>
      <c r="AU320" s="2164"/>
      <c r="AV320" s="2164"/>
      <c r="AW320" s="2164"/>
      <c r="AX320" s="2164"/>
      <c r="AY320" s="2164"/>
      <c r="AZ320" s="2164"/>
      <c r="BA320" s="2164"/>
      <c r="BB320" s="2164"/>
      <c r="BC320" s="2164"/>
      <c r="BD320" s="2164"/>
      <c r="BE320" s="2164"/>
      <c r="BF320" s="2164"/>
      <c r="BG320" s="4573"/>
    </row>
    <row customHeight="1" ht="11.25">
      <c r="A321" s="1507" t="s">
        <v>990</v>
      </c>
      <c r="B321" s="1507"/>
      <c r="C321" s="1507"/>
      <c r="D321" s="1501"/>
      <c r="E321" s="1511"/>
      <c r="F321" s="2170"/>
      <c r="G321" s="2171"/>
      <c r="H321" s="2856" t="s">
        <v>108</v>
      </c>
      <c r="I321" s="2857"/>
      <c r="J321" s="4694"/>
      <c r="K321" s="2858"/>
      <c r="L321" s="2448"/>
      <c r="M321" s="2449"/>
      <c r="N321" s="1516"/>
      <c r="O321" s="1517"/>
      <c r="P321" s="1509" t="s">
        <v>1038</v>
      </c>
      <c r="Q321" s="1517"/>
      <c r="R321" s="1517"/>
      <c r="S321" s="1517"/>
      <c r="T321" s="1517"/>
      <c r="U321" s="1517"/>
      <c r="V321" s="1517"/>
      <c r="W321" s="1517"/>
      <c r="X321" s="1517"/>
      <c r="Y321" s="1517"/>
      <c r="Z321" s="1517"/>
      <c r="AA321" s="1517"/>
      <c r="AB321" s="1517"/>
      <c r="AC321" s="1517"/>
      <c r="AD321" s="1517"/>
      <c r="AE321" s="1524"/>
      <c r="AF321" s="2847"/>
      <c r="AG321" s="2848"/>
      <c r="AH321" s="2848"/>
      <c r="AI321" s="2847"/>
      <c r="AJ321" s="2848"/>
      <c r="AK321" s="2848"/>
      <c r="AL321" s="2329"/>
      <c r="AM321" s="2164"/>
      <c r="AN321" s="2164"/>
      <c r="AO321" s="2164"/>
      <c r="AP321" s="2164"/>
      <c r="AQ321" s="2164"/>
      <c r="AR321" s="2164"/>
      <c r="AS321" s="2164"/>
      <c r="AT321" s="2164"/>
      <c r="AU321" s="2164"/>
      <c r="AV321" s="2164"/>
      <c r="AW321" s="2164"/>
      <c r="AX321" s="2164"/>
      <c r="AY321" s="2164"/>
      <c r="AZ321" s="2164"/>
      <c r="BA321" s="2164"/>
      <c r="BB321" s="2164"/>
      <c r="BC321" s="2164"/>
      <c r="BD321" s="2164"/>
      <c r="BE321" s="2164"/>
      <c r="BF321" s="2164"/>
      <c r="BG321" s="4573"/>
    </row>
    <row customHeight="1" ht="11.25">
      <c r="A322" s="1507" t="s">
        <v>990</v>
      </c>
      <c r="B322" s="1507" t="s">
        <v>1022</v>
      </c>
      <c r="C322" s="1507"/>
      <c r="D322" s="1501"/>
      <c r="E322" s="1511"/>
      <c r="F322" s="2170"/>
      <c r="G322" s="4557" t="s">
        <v>684</v>
      </c>
      <c r="H322" s="2856" t="s">
        <v>93</v>
      </c>
      <c r="I322" s="2857" t="s">
        <v>1023</v>
      </c>
      <c r="J322" s="2826" t="s">
        <v>1024</v>
      </c>
      <c r="K322" s="2858" t="s">
        <v>1180</v>
      </c>
      <c r="L322" s="2448" t="s">
        <v>19</v>
      </c>
      <c r="M322" s="2449"/>
      <c r="N322" s="2327"/>
      <c r="O322" s="1518" t="s">
        <v>371</v>
      </c>
      <c r="P322" s="1519"/>
      <c r="Q322" s="1519"/>
      <c r="R322" s="1519"/>
      <c r="S322" s="1519"/>
      <c r="T322" s="1519"/>
      <c r="U322" s="1519"/>
      <c r="V322" s="1519"/>
      <c r="W322" s="1519"/>
      <c r="X322" s="1519"/>
      <c r="Y322" s="1519"/>
      <c r="Z322" s="1519"/>
      <c r="AA322" s="1519"/>
      <c r="AB322" s="1519"/>
      <c r="AC322" s="1519"/>
      <c r="AD322" s="1519"/>
      <c r="AE322" s="1519"/>
      <c r="AF322" s="2847">
        <v>1</v>
      </c>
      <c r="AG322" s="2848" t="s">
        <v>1026</v>
      </c>
      <c r="AH322" s="2848" t="s">
        <v>1053</v>
      </c>
      <c r="AI322" s="2847"/>
      <c r="AJ322" s="2848"/>
      <c r="AK322" s="2848"/>
      <c r="AL322" s="2329"/>
      <c r="AM322" s="2164"/>
      <c r="AN322" s="2164"/>
      <c r="AO322" s="2164"/>
      <c r="AP322" s="2164"/>
      <c r="AQ322" s="2164"/>
      <c r="AR322" s="2164"/>
      <c r="AS322" s="2164"/>
      <c r="AT322" s="2164"/>
      <c r="AU322" s="2164"/>
      <c r="AV322" s="2164"/>
      <c r="AW322" s="2164"/>
      <c r="AX322" s="2164"/>
      <c r="AY322" s="2164"/>
      <c r="AZ322" s="2164"/>
      <c r="BA322" s="2164"/>
      <c r="BB322" s="2164"/>
      <c r="BC322" s="2164"/>
      <c r="BD322" s="2164"/>
      <c r="BE322" s="2164"/>
      <c r="BF322" s="2164"/>
      <c r="BG322" s="4573"/>
    </row>
    <row customHeight="1" ht="11.25">
      <c r="A323" s="1507" t="s">
        <v>990</v>
      </c>
      <c r="B323" s="1507"/>
      <c r="C323" s="1507"/>
      <c r="D323" s="1501"/>
      <c r="E323" s="1511"/>
      <c r="F323" s="2170"/>
      <c r="G323" s="2171"/>
      <c r="H323" s="2856" t="s">
        <v>92</v>
      </c>
      <c r="I323" s="2857"/>
      <c r="J323" s="2826"/>
      <c r="K323" s="2858"/>
      <c r="L323" s="2448"/>
      <c r="M323" s="2449"/>
      <c r="N323" s="2849"/>
      <c r="O323" s="2850">
        <v>1</v>
      </c>
      <c r="P323" s="2851" t="s">
        <v>65</v>
      </c>
      <c r="Q323" s="4672" t="s">
        <v>1028</v>
      </c>
      <c r="R323" s="4673" t="s">
        <v>1029</v>
      </c>
      <c r="S323" s="4673" t="s">
        <v>1030</v>
      </c>
      <c r="T323" s="4673" t="s">
        <v>1030</v>
      </c>
      <c r="U323" s="4673" t="s">
        <v>1031</v>
      </c>
      <c r="V323" s="4673" t="s">
        <v>1032</v>
      </c>
      <c r="W323" s="4673" t="s">
        <v>1033</v>
      </c>
      <c r="X323" s="4673" t="s">
        <v>1034</v>
      </c>
      <c r="Y323" s="4673" t="s">
        <v>106</v>
      </c>
      <c r="Z323" s="1516"/>
      <c r="AA323" s="1517"/>
      <c r="AB323" s="1517"/>
      <c r="AC323" s="1521"/>
      <c r="AD323" s="1521"/>
      <c r="AE323" s="1522"/>
      <c r="AF323" s="2847"/>
      <c r="AG323" s="2848"/>
      <c r="AH323" s="2848"/>
      <c r="AI323" s="2847"/>
      <c r="AJ323" s="2848"/>
      <c r="AK323" s="2848"/>
      <c r="AL323" s="2329"/>
      <c r="AM323" s="2164"/>
      <c r="AN323" s="2164"/>
      <c r="AO323" s="2164"/>
      <c r="AP323" s="2164"/>
      <c r="AQ323" s="2164"/>
      <c r="AR323" s="2164"/>
      <c r="AS323" s="2164"/>
      <c r="AT323" s="2164"/>
      <c r="AU323" s="2164"/>
      <c r="AV323" s="2164"/>
      <c r="AW323" s="2164"/>
      <c r="AX323" s="2164"/>
      <c r="AY323" s="2164"/>
      <c r="AZ323" s="2164"/>
      <c r="BA323" s="2164"/>
      <c r="BB323" s="2164"/>
      <c r="BC323" s="2164"/>
      <c r="BD323" s="2164"/>
      <c r="BE323" s="2164"/>
      <c r="BF323" s="2164"/>
      <c r="BG323" s="4573"/>
    </row>
    <row customHeight="1" ht="11.25">
      <c r="A324" s="1507" t="s">
        <v>990</v>
      </c>
      <c r="B324" s="1507"/>
      <c r="C324" s="1507"/>
      <c r="D324" s="1501"/>
      <c r="E324" s="1511"/>
      <c r="F324" s="2170"/>
      <c r="G324" s="2171"/>
      <c r="H324" s="2856" t="s">
        <v>92</v>
      </c>
      <c r="I324" s="2857"/>
      <c r="J324" s="2826"/>
      <c r="K324" s="2858"/>
      <c r="L324" s="2448"/>
      <c r="M324" s="2449"/>
      <c r="N324" s="2849"/>
      <c r="O324" s="2850"/>
      <c r="P324" s="2852"/>
      <c r="Q324" s="4672"/>
      <c r="R324" s="2854"/>
      <c r="S324" s="2855"/>
      <c r="T324" s="2854"/>
      <c r="U324" s="2854"/>
      <c r="V324" s="2854"/>
      <c r="W324" s="2854"/>
      <c r="X324" s="2854"/>
      <c r="Y324" s="2854"/>
      <c r="Z324" s="2169"/>
      <c r="AA324" s="2135">
        <v>1</v>
      </c>
      <c r="AB324" s="1520" t="s">
        <v>1035</v>
      </c>
      <c r="AC324" s="1510">
        <v>2661.31108</v>
      </c>
      <c r="AD324" s="1520" t="str">
        <f>AB324</f>
        <v>      Амортизационные отчисления с выделением результатов переоценки основных средств и нематериальных активов</v>
      </c>
      <c r="AE324" s="1510"/>
      <c r="AF324" s="2847"/>
      <c r="AG324" s="2848"/>
      <c r="AH324" s="2848"/>
      <c r="AI324" s="2847"/>
      <c r="AJ324" s="2848"/>
      <c r="AK324" s="2848"/>
      <c r="AL324" s="2329"/>
      <c r="AM324" s="2164"/>
      <c r="AN324" s="2164"/>
      <c r="AO324" s="2164"/>
      <c r="AP324" s="2164"/>
      <c r="AQ324" s="2164"/>
      <c r="AR324" s="2164"/>
      <c r="AS324" s="2164"/>
      <c r="AT324" s="2164"/>
      <c r="AU324" s="2164"/>
      <c r="AV324" s="2164"/>
      <c r="AW324" s="2164"/>
      <c r="AX324" s="2164"/>
      <c r="AY324" s="2164"/>
      <c r="AZ324" s="2164"/>
      <c r="BA324" s="2164"/>
      <c r="BB324" s="2164"/>
      <c r="BC324" s="2164"/>
      <c r="BD324" s="2164"/>
      <c r="BE324" s="2164"/>
      <c r="BF324" s="2164"/>
      <c r="BG324" s="4573"/>
    </row>
    <row customHeight="1" ht="11.25">
      <c r="A325" s="1507" t="s">
        <v>990</v>
      </c>
      <c r="B325" s="1507"/>
      <c r="C325" s="1507"/>
      <c r="D325" s="1501"/>
      <c r="E325" s="1511"/>
      <c r="F325" s="2171"/>
      <c r="G325" s="2171"/>
      <c r="H325" s="2171"/>
      <c r="I325" s="2171"/>
      <c r="J325" s="2171"/>
      <c r="K325" s="2171"/>
      <c r="L325" s="2171"/>
      <c r="M325" s="2171"/>
      <c r="N325" s="2171"/>
      <c r="O325" s="2171"/>
      <c r="P325" s="2171"/>
      <c r="Q325" s="2171"/>
      <c r="R325" s="2171"/>
      <c r="S325" s="2171"/>
      <c r="T325" s="2171"/>
      <c r="U325" s="2171"/>
      <c r="V325" s="2171"/>
      <c r="W325" s="2171"/>
      <c r="X325" s="2171"/>
      <c r="Y325" s="2171"/>
      <c r="Z325" s="4557" t="s">
        <v>684</v>
      </c>
      <c r="AA325" s="2155" t="s">
        <v>107</v>
      </c>
      <c r="AB325" s="1520" t="s">
        <v>1036</v>
      </c>
      <c r="AC325" s="1510">
        <v>532.26222</v>
      </c>
      <c r="AD325" s="1520" t="str">
        <f>AB325</f>
        <v>  Прочие собственные средства</v>
      </c>
      <c r="AE325" s="1510"/>
      <c r="AF325" s="2172"/>
      <c r="AG325" s="2100"/>
      <c r="AH325" s="2100"/>
      <c r="AI325" s="2172"/>
      <c r="AJ325" s="2100"/>
      <c r="AK325" s="2328"/>
      <c r="AL325" s="2329"/>
      <c r="AM325" s="2164"/>
      <c r="AN325" s="2164"/>
      <c r="AO325" s="2164"/>
      <c r="AP325" s="2164"/>
      <c r="AQ325" s="2164"/>
      <c r="AR325" s="2164"/>
      <c r="AS325" s="2164"/>
      <c r="AT325" s="2164"/>
      <c r="AU325" s="2164"/>
      <c r="AV325" s="2164"/>
      <c r="AW325" s="2164"/>
      <c r="AX325" s="2164"/>
      <c r="AY325" s="2164"/>
      <c r="AZ325" s="2164"/>
      <c r="BA325" s="2164"/>
      <c r="BB325" s="2164"/>
      <c r="BC325" s="2164"/>
      <c r="BD325" s="2164"/>
      <c r="BE325" s="2164"/>
      <c r="BF325" s="2164"/>
      <c r="BG325" s="4573"/>
    </row>
    <row customHeight="1" ht="11.25">
      <c r="A326" s="1507" t="s">
        <v>990</v>
      </c>
      <c r="B326" s="1507"/>
      <c r="C326" s="1507"/>
      <c r="D326" s="1501"/>
      <c r="E326" s="1511"/>
      <c r="F326" s="2170"/>
      <c r="G326" s="2171"/>
      <c r="H326" s="2856" t="s">
        <v>92</v>
      </c>
      <c r="I326" s="2857"/>
      <c r="J326" s="2826"/>
      <c r="K326" s="2858"/>
      <c r="L326" s="2448"/>
      <c r="M326" s="2449"/>
      <c r="N326" s="2849"/>
      <c r="O326" s="2850"/>
      <c r="P326" s="2853"/>
      <c r="Q326" s="4672"/>
      <c r="R326" s="2854"/>
      <c r="S326" s="2855"/>
      <c r="T326" s="2854"/>
      <c r="U326" s="2854"/>
      <c r="V326" s="2854"/>
      <c r="W326" s="2854"/>
      <c r="X326" s="2854"/>
      <c r="Y326" s="2854"/>
      <c r="Z326" s="1516"/>
      <c r="AA326" s="1517"/>
      <c r="AB326" s="1582" t="s">
        <v>1037</v>
      </c>
      <c r="AC326" s="1521"/>
      <c r="AD326" s="1521"/>
      <c r="AE326" s="1523"/>
      <c r="AF326" s="2847"/>
      <c r="AG326" s="2848"/>
      <c r="AH326" s="2848"/>
      <c r="AI326" s="2847"/>
      <c r="AJ326" s="2848"/>
      <c r="AK326" s="2848"/>
      <c r="AL326" s="2329"/>
      <c r="AM326" s="2164"/>
      <c r="AN326" s="2164"/>
      <c r="AO326" s="2164"/>
      <c r="AP326" s="2164"/>
      <c r="AQ326" s="2164"/>
      <c r="AR326" s="2164"/>
      <c r="AS326" s="2164"/>
      <c r="AT326" s="2164"/>
      <c r="AU326" s="2164"/>
      <c r="AV326" s="2164"/>
      <c r="AW326" s="2164"/>
      <c r="AX326" s="2164"/>
      <c r="AY326" s="2164"/>
      <c r="AZ326" s="2164"/>
      <c r="BA326" s="2164"/>
      <c r="BB326" s="2164"/>
      <c r="BC326" s="2164"/>
      <c r="BD326" s="2164"/>
      <c r="BE326" s="2164"/>
      <c r="BF326" s="2164"/>
      <c r="BG326" s="4573"/>
    </row>
    <row customHeight="1" ht="11.25">
      <c r="A327" s="1507" t="s">
        <v>990</v>
      </c>
      <c r="B327" s="1507"/>
      <c r="C327" s="1507"/>
      <c r="D327" s="1501"/>
      <c r="E327" s="1511"/>
      <c r="F327" s="2170"/>
      <c r="G327" s="2171"/>
      <c r="H327" s="2856" t="s">
        <v>92</v>
      </c>
      <c r="I327" s="2857"/>
      <c r="J327" s="2826"/>
      <c r="K327" s="2858"/>
      <c r="L327" s="2448"/>
      <c r="M327" s="2449"/>
      <c r="N327" s="1516"/>
      <c r="O327" s="1517"/>
      <c r="P327" s="1509" t="s">
        <v>1038</v>
      </c>
      <c r="Q327" s="1517"/>
      <c r="R327" s="1517"/>
      <c r="S327" s="1517"/>
      <c r="T327" s="1517"/>
      <c r="U327" s="1517"/>
      <c r="V327" s="1517"/>
      <c r="W327" s="1517"/>
      <c r="X327" s="1517"/>
      <c r="Y327" s="1517"/>
      <c r="Z327" s="1517"/>
      <c r="AA327" s="1517"/>
      <c r="AB327" s="1517"/>
      <c r="AC327" s="1517"/>
      <c r="AD327" s="1517"/>
      <c r="AE327" s="1524"/>
      <c r="AF327" s="2847"/>
      <c r="AG327" s="2848"/>
      <c r="AH327" s="2848"/>
      <c r="AI327" s="2847"/>
      <c r="AJ327" s="2848"/>
      <c r="AK327" s="2848"/>
      <c r="AL327" s="2329"/>
      <c r="AM327" s="2164"/>
      <c r="AN327" s="2164"/>
      <c r="AO327" s="2164"/>
      <c r="AP327" s="2164"/>
      <c r="AQ327" s="2164"/>
      <c r="AR327" s="2164"/>
      <c r="AS327" s="2164"/>
      <c r="AT327" s="2164"/>
      <c r="AU327" s="2164"/>
      <c r="AV327" s="2164"/>
      <c r="AW327" s="2164"/>
      <c r="AX327" s="2164"/>
      <c r="AY327" s="2164"/>
      <c r="AZ327" s="2164"/>
      <c r="BA327" s="2164"/>
      <c r="BB327" s="2164"/>
      <c r="BC327" s="2164"/>
      <c r="BD327" s="2164"/>
      <c r="BE327" s="2164"/>
      <c r="BF327" s="2164"/>
      <c r="BG327" s="4573"/>
    </row>
    <row customHeight="1" ht="11.25">
      <c r="A328" s="1507" t="s">
        <v>990</v>
      </c>
      <c r="B328" s="1507" t="s">
        <v>22</v>
      </c>
      <c r="C328" s="1507"/>
      <c r="D328" s="1501"/>
      <c r="E328" s="1511"/>
      <c r="F328" s="2170"/>
      <c r="G328" s="4557" t="s">
        <v>684</v>
      </c>
      <c r="H328" s="2856" t="s">
        <v>109</v>
      </c>
      <c r="I328" s="2857" t="s">
        <v>1039</v>
      </c>
      <c r="J328" s="4694" t="s">
        <v>22</v>
      </c>
      <c r="K328" s="2858" t="s">
        <v>1181</v>
      </c>
      <c r="L328" s="2448" t="s">
        <v>19</v>
      </c>
      <c r="M328" s="2449"/>
      <c r="N328" s="2327"/>
      <c r="O328" s="1518" t="s">
        <v>371</v>
      </c>
      <c r="P328" s="1519"/>
      <c r="Q328" s="1519"/>
      <c r="R328" s="1519"/>
      <c r="S328" s="1519"/>
      <c r="T328" s="1519"/>
      <c r="U328" s="1519"/>
      <c r="V328" s="1519"/>
      <c r="W328" s="1519"/>
      <c r="X328" s="1519"/>
      <c r="Y328" s="1519"/>
      <c r="Z328" s="1519"/>
      <c r="AA328" s="1519"/>
      <c r="AB328" s="1519"/>
      <c r="AC328" s="1519"/>
      <c r="AD328" s="1519"/>
      <c r="AE328" s="1519"/>
      <c r="AF328" s="2847">
        <v>2</v>
      </c>
      <c r="AG328" s="2848" t="s">
        <v>1026</v>
      </c>
      <c r="AH328" s="2848" t="s">
        <v>1053</v>
      </c>
      <c r="AI328" s="2847"/>
      <c r="AJ328" s="2848"/>
      <c r="AK328" s="2848"/>
      <c r="AL328" s="2329"/>
      <c r="AM328" s="2164"/>
      <c r="AN328" s="2164"/>
      <c r="AO328" s="2164"/>
      <c r="AP328" s="2164"/>
      <c r="AQ328" s="2164"/>
      <c r="AR328" s="2164"/>
      <c r="AS328" s="2164"/>
      <c r="AT328" s="2164"/>
      <c r="AU328" s="2164"/>
      <c r="AV328" s="2164"/>
      <c r="AW328" s="2164"/>
      <c r="AX328" s="2164"/>
      <c r="AY328" s="2164"/>
      <c r="AZ328" s="2164"/>
      <c r="BA328" s="2164"/>
      <c r="BB328" s="2164"/>
      <c r="BC328" s="2164"/>
      <c r="BD328" s="2164"/>
      <c r="BE328" s="2164"/>
      <c r="BF328" s="2164"/>
      <c r="BG328" s="4573"/>
    </row>
    <row customHeight="1" ht="11.25">
      <c r="A329" s="1507" t="s">
        <v>990</v>
      </c>
      <c r="B329" s="1507"/>
      <c r="C329" s="1507"/>
      <c r="D329" s="1501"/>
      <c r="E329" s="1511"/>
      <c r="F329" s="2170"/>
      <c r="G329" s="2171"/>
      <c r="H329" s="2856" t="s">
        <v>93</v>
      </c>
      <c r="I329" s="2857"/>
      <c r="J329" s="4694"/>
      <c r="K329" s="2858"/>
      <c r="L329" s="2448"/>
      <c r="M329" s="2449"/>
      <c r="N329" s="2849"/>
      <c r="O329" s="2850">
        <v>1</v>
      </c>
      <c r="P329" s="2851" t="s">
        <v>65</v>
      </c>
      <c r="Q329" s="4672" t="s">
        <v>1028</v>
      </c>
      <c r="R329" s="4673" t="s">
        <v>1029</v>
      </c>
      <c r="S329" s="4673" t="s">
        <v>1030</v>
      </c>
      <c r="T329" s="4673" t="s">
        <v>1030</v>
      </c>
      <c r="U329" s="4673" t="s">
        <v>1031</v>
      </c>
      <c r="V329" s="4673" t="s">
        <v>1032</v>
      </c>
      <c r="W329" s="4673" t="s">
        <v>1033</v>
      </c>
      <c r="X329" s="4673" t="s">
        <v>1034</v>
      </c>
      <c r="Y329" s="4673" t="s">
        <v>106</v>
      </c>
      <c r="Z329" s="1516"/>
      <c r="AA329" s="1517"/>
      <c r="AB329" s="1517"/>
      <c r="AC329" s="1521"/>
      <c r="AD329" s="1521"/>
      <c r="AE329" s="1522"/>
      <c r="AF329" s="2847"/>
      <c r="AG329" s="2848"/>
      <c r="AH329" s="2848"/>
      <c r="AI329" s="2847"/>
      <c r="AJ329" s="2848"/>
      <c r="AK329" s="2848"/>
      <c r="AL329" s="2329"/>
      <c r="AM329" s="2164"/>
      <c r="AN329" s="2164"/>
      <c r="AO329" s="2164"/>
      <c r="AP329" s="2164"/>
      <c r="AQ329" s="2164"/>
      <c r="AR329" s="2164"/>
      <c r="AS329" s="2164"/>
      <c r="AT329" s="2164"/>
      <c r="AU329" s="2164"/>
      <c r="AV329" s="2164"/>
      <c r="AW329" s="2164"/>
      <c r="AX329" s="2164"/>
      <c r="AY329" s="2164"/>
      <c r="AZ329" s="2164"/>
      <c r="BA329" s="2164"/>
      <c r="BB329" s="2164"/>
      <c r="BC329" s="2164"/>
      <c r="BD329" s="2164"/>
      <c r="BE329" s="2164"/>
      <c r="BF329" s="2164"/>
      <c r="BG329" s="4573"/>
    </row>
    <row customHeight="1" ht="11.25">
      <c r="A330" s="1507" t="s">
        <v>990</v>
      </c>
      <c r="B330" s="1507"/>
      <c r="C330" s="1507"/>
      <c r="D330" s="1501"/>
      <c r="E330" s="1511"/>
      <c r="F330" s="2170"/>
      <c r="G330" s="2171"/>
      <c r="H330" s="2856" t="s">
        <v>93</v>
      </c>
      <c r="I330" s="2857"/>
      <c r="J330" s="4694"/>
      <c r="K330" s="2858"/>
      <c r="L330" s="2448"/>
      <c r="M330" s="2449"/>
      <c r="N330" s="2849"/>
      <c r="O330" s="2850"/>
      <c r="P330" s="2852"/>
      <c r="Q330" s="4672"/>
      <c r="R330" s="2854"/>
      <c r="S330" s="2855"/>
      <c r="T330" s="2854"/>
      <c r="U330" s="2854"/>
      <c r="V330" s="2854"/>
      <c r="W330" s="2854"/>
      <c r="X330" s="2854"/>
      <c r="Y330" s="2854"/>
      <c r="Z330" s="2169"/>
      <c r="AA330" s="2135">
        <v>1</v>
      </c>
      <c r="AB330" s="1520" t="s">
        <v>1035</v>
      </c>
      <c r="AC330" s="1510">
        <v>3073.96096</v>
      </c>
      <c r="AD330" s="1520" t="str">
        <f>AB330</f>
        <v>      Амортизационные отчисления с выделением результатов переоценки основных средств и нематериальных активов</v>
      </c>
      <c r="AE330" s="1510"/>
      <c r="AF330" s="2847"/>
      <c r="AG330" s="2848"/>
      <c r="AH330" s="2848"/>
      <c r="AI330" s="2847"/>
      <c r="AJ330" s="2848"/>
      <c r="AK330" s="2848"/>
      <c r="AL330" s="2329"/>
      <c r="AM330" s="2164"/>
      <c r="AN330" s="2164"/>
      <c r="AO330" s="2164"/>
      <c r="AP330" s="2164"/>
      <c r="AQ330" s="2164"/>
      <c r="AR330" s="2164"/>
      <c r="AS330" s="2164"/>
      <c r="AT330" s="2164"/>
      <c r="AU330" s="2164"/>
      <c r="AV330" s="2164"/>
      <c r="AW330" s="2164"/>
      <c r="AX330" s="2164"/>
      <c r="AY330" s="2164"/>
      <c r="AZ330" s="2164"/>
      <c r="BA330" s="2164"/>
      <c r="BB330" s="2164"/>
      <c r="BC330" s="2164"/>
      <c r="BD330" s="2164"/>
      <c r="BE330" s="2164"/>
      <c r="BF330" s="2164"/>
      <c r="BG330" s="4573"/>
    </row>
    <row customHeight="1" ht="11.25">
      <c r="A331" s="1507" t="s">
        <v>990</v>
      </c>
      <c r="B331" s="1507"/>
      <c r="C331" s="1507"/>
      <c r="D331" s="1501"/>
      <c r="E331" s="1511"/>
      <c r="F331" s="2171"/>
      <c r="G331" s="2171"/>
      <c r="H331" s="2171"/>
      <c r="I331" s="2171"/>
      <c r="J331" s="2171"/>
      <c r="K331" s="2171"/>
      <c r="L331" s="2171"/>
      <c r="M331" s="2171"/>
      <c r="N331" s="2171"/>
      <c r="O331" s="2171"/>
      <c r="P331" s="2171"/>
      <c r="Q331" s="4685"/>
      <c r="R331" s="2171"/>
      <c r="S331" s="2171"/>
      <c r="T331" s="2171"/>
      <c r="U331" s="2171"/>
      <c r="V331" s="2171"/>
      <c r="W331" s="2171"/>
      <c r="X331" s="2171"/>
      <c r="Y331" s="2171"/>
      <c r="Z331" s="4557" t="s">
        <v>684</v>
      </c>
      <c r="AA331" s="2155" t="s">
        <v>107</v>
      </c>
      <c r="AB331" s="1520" t="s">
        <v>1036</v>
      </c>
      <c r="AC331" s="1510">
        <v>593.95274</v>
      </c>
      <c r="AD331" s="1520" t="str">
        <f>AB331</f>
        <v>  Прочие собственные средства</v>
      </c>
      <c r="AE331" s="1510"/>
      <c r="AF331" s="2172"/>
      <c r="AG331" s="2100"/>
      <c r="AH331" s="2100"/>
      <c r="AI331" s="2172"/>
      <c r="AJ331" s="2100"/>
      <c r="AK331" s="2328"/>
      <c r="AL331" s="2329"/>
      <c r="AM331" s="2164"/>
      <c r="AN331" s="2164"/>
      <c r="AO331" s="2164"/>
      <c r="AP331" s="2164"/>
      <c r="AQ331" s="2164"/>
      <c r="AR331" s="2164"/>
      <c r="AS331" s="2164"/>
      <c r="AT331" s="2164"/>
      <c r="AU331" s="2164"/>
      <c r="AV331" s="2164"/>
      <c r="AW331" s="2164"/>
      <c r="AX331" s="2164"/>
      <c r="AY331" s="2164"/>
      <c r="AZ331" s="2164"/>
      <c r="BA331" s="2164"/>
      <c r="BB331" s="2164"/>
      <c r="BC331" s="2164"/>
      <c r="BD331" s="2164"/>
      <c r="BE331" s="2164"/>
      <c r="BF331" s="2164"/>
      <c r="BG331" s="4573"/>
    </row>
    <row customHeight="1" ht="11.25">
      <c r="A332" s="1507" t="s">
        <v>990</v>
      </c>
      <c r="B332" s="1507"/>
      <c r="C332" s="1507"/>
      <c r="D332" s="1501"/>
      <c r="E332" s="1511"/>
      <c r="F332" s="2170"/>
      <c r="G332" s="2171"/>
      <c r="H332" s="2856" t="s">
        <v>93</v>
      </c>
      <c r="I332" s="2857"/>
      <c r="J332" s="4694"/>
      <c r="K332" s="2858"/>
      <c r="L332" s="2448"/>
      <c r="M332" s="2449"/>
      <c r="N332" s="2849"/>
      <c r="O332" s="2850"/>
      <c r="P332" s="2853"/>
      <c r="Q332" s="4672"/>
      <c r="R332" s="2854"/>
      <c r="S332" s="2855"/>
      <c r="T332" s="2854"/>
      <c r="U332" s="2854"/>
      <c r="V332" s="2854"/>
      <c r="W332" s="2854"/>
      <c r="X332" s="2854"/>
      <c r="Y332" s="2854"/>
      <c r="Z332" s="1516"/>
      <c r="AA332" s="1517"/>
      <c r="AB332" s="1582" t="s">
        <v>1037</v>
      </c>
      <c r="AC332" s="1521"/>
      <c r="AD332" s="1521"/>
      <c r="AE332" s="1523"/>
      <c r="AF332" s="2847"/>
      <c r="AG332" s="2848"/>
      <c r="AH332" s="2848"/>
      <c r="AI332" s="2847"/>
      <c r="AJ332" s="2848"/>
      <c r="AK332" s="2848"/>
      <c r="AL332" s="2329"/>
      <c r="AM332" s="2164"/>
      <c r="AN332" s="2164"/>
      <c r="AO332" s="2164"/>
      <c r="AP332" s="2164"/>
      <c r="AQ332" s="2164"/>
      <c r="AR332" s="2164"/>
      <c r="AS332" s="2164"/>
      <c r="AT332" s="2164"/>
      <c r="AU332" s="2164"/>
      <c r="AV332" s="2164"/>
      <c r="AW332" s="2164"/>
      <c r="AX332" s="2164"/>
      <c r="AY332" s="2164"/>
      <c r="AZ332" s="2164"/>
      <c r="BA332" s="2164"/>
      <c r="BB332" s="2164"/>
      <c r="BC332" s="2164"/>
      <c r="BD332" s="2164"/>
      <c r="BE332" s="2164"/>
      <c r="BF332" s="2164"/>
      <c r="BG332" s="4573"/>
    </row>
    <row customHeight="1" ht="11.25">
      <c r="A333" s="1507" t="s">
        <v>990</v>
      </c>
      <c r="B333" s="1507"/>
      <c r="C333" s="1507"/>
      <c r="D333" s="1501"/>
      <c r="E333" s="1511"/>
      <c r="F333" s="2170"/>
      <c r="G333" s="2171"/>
      <c r="H333" s="2856" t="s">
        <v>93</v>
      </c>
      <c r="I333" s="2857"/>
      <c r="J333" s="4694"/>
      <c r="K333" s="2858"/>
      <c r="L333" s="2448"/>
      <c r="M333" s="2449"/>
      <c r="N333" s="1516"/>
      <c r="O333" s="1517"/>
      <c r="P333" s="1509" t="s">
        <v>1038</v>
      </c>
      <c r="Q333" s="1517"/>
      <c r="R333" s="1517"/>
      <c r="S333" s="1517"/>
      <c r="T333" s="1517"/>
      <c r="U333" s="1517"/>
      <c r="V333" s="1517"/>
      <c r="W333" s="1517"/>
      <c r="X333" s="1517"/>
      <c r="Y333" s="1517"/>
      <c r="Z333" s="1517"/>
      <c r="AA333" s="1517"/>
      <c r="AB333" s="1517"/>
      <c r="AC333" s="1517"/>
      <c r="AD333" s="1517"/>
      <c r="AE333" s="1524"/>
      <c r="AF333" s="2847"/>
      <c r="AG333" s="2848"/>
      <c r="AH333" s="2848"/>
      <c r="AI333" s="2847"/>
      <c r="AJ333" s="2848"/>
      <c r="AK333" s="2848"/>
      <c r="AL333" s="2329"/>
      <c r="AM333" s="2164"/>
      <c r="AN333" s="2164"/>
      <c r="AO333" s="2164"/>
      <c r="AP333" s="2164"/>
      <c r="AQ333" s="2164"/>
      <c r="AR333" s="2164"/>
      <c r="AS333" s="2164"/>
      <c r="AT333" s="2164"/>
      <c r="AU333" s="2164"/>
      <c r="AV333" s="2164"/>
      <c r="AW333" s="2164"/>
      <c r="AX333" s="2164"/>
      <c r="AY333" s="2164"/>
      <c r="AZ333" s="2164"/>
      <c r="BA333" s="2164"/>
      <c r="BB333" s="2164"/>
      <c r="BC333" s="2164"/>
      <c r="BD333" s="2164"/>
      <c r="BE333" s="2164"/>
      <c r="BF333" s="2164"/>
      <c r="BG333" s="4573"/>
    </row>
    <row customHeight="1" ht="11.25">
      <c r="A334" s="1507" t="s">
        <v>990</v>
      </c>
      <c r="B334" s="1507" t="s">
        <v>1022</v>
      </c>
      <c r="C334" s="1507"/>
      <c r="D334" s="1501"/>
      <c r="E334" s="1511"/>
      <c r="F334" s="2170"/>
      <c r="G334" s="4557" t="s">
        <v>684</v>
      </c>
      <c r="H334" s="2856" t="s">
        <v>145</v>
      </c>
      <c r="I334" s="2857" t="s">
        <v>1023</v>
      </c>
      <c r="J334" s="2826" t="s">
        <v>1024</v>
      </c>
      <c r="K334" s="2858" t="s">
        <v>1066</v>
      </c>
      <c r="L334" s="2448" t="s">
        <v>19</v>
      </c>
      <c r="M334" s="2449"/>
      <c r="N334" s="2327"/>
      <c r="O334" s="1518" t="s">
        <v>371</v>
      </c>
      <c r="P334" s="1519"/>
      <c r="Q334" s="1519"/>
      <c r="R334" s="1519"/>
      <c r="S334" s="1519"/>
      <c r="T334" s="1519"/>
      <c r="U334" s="1519"/>
      <c r="V334" s="1519"/>
      <c r="W334" s="1519"/>
      <c r="X334" s="1519"/>
      <c r="Y334" s="1519"/>
      <c r="Z334" s="1519"/>
      <c r="AA334" s="1519"/>
      <c r="AB334" s="1519"/>
      <c r="AC334" s="1519"/>
      <c r="AD334" s="1519"/>
      <c r="AE334" s="1519"/>
      <c r="AF334" s="2847">
        <v>3</v>
      </c>
      <c r="AG334" s="2848" t="s">
        <v>1067</v>
      </c>
      <c r="AH334" s="2848" t="s">
        <v>1053</v>
      </c>
      <c r="AI334" s="2847"/>
      <c r="AJ334" s="2848"/>
      <c r="AK334" s="2848"/>
      <c r="AL334" s="2329"/>
      <c r="AM334" s="2164"/>
      <c r="AN334" s="2164"/>
      <c r="AO334" s="2164"/>
      <c r="AP334" s="2164"/>
      <c r="AQ334" s="2164"/>
      <c r="AR334" s="2164"/>
      <c r="AS334" s="2164"/>
      <c r="AT334" s="2164"/>
      <c r="AU334" s="2164"/>
      <c r="AV334" s="2164"/>
      <c r="AW334" s="2164"/>
      <c r="AX334" s="2164"/>
      <c r="AY334" s="2164"/>
      <c r="AZ334" s="2164"/>
      <c r="BA334" s="2164"/>
      <c r="BB334" s="2164"/>
      <c r="BC334" s="2164"/>
      <c r="BD334" s="2164"/>
      <c r="BE334" s="2164"/>
      <c r="BF334" s="2164"/>
      <c r="BG334" s="4573"/>
    </row>
    <row customHeight="1" ht="11.25">
      <c r="A335" s="1507" t="s">
        <v>990</v>
      </c>
      <c r="B335" s="1507"/>
      <c r="C335" s="1507"/>
      <c r="D335" s="1501"/>
      <c r="E335" s="1511"/>
      <c r="F335" s="2170"/>
      <c r="G335" s="2171"/>
      <c r="H335" s="2856" t="s">
        <v>109</v>
      </c>
      <c r="I335" s="2857"/>
      <c r="J335" s="2826"/>
      <c r="K335" s="2858"/>
      <c r="L335" s="2448"/>
      <c r="M335" s="2449"/>
      <c r="N335" s="2849"/>
      <c r="O335" s="2850">
        <v>1</v>
      </c>
      <c r="P335" s="2851" t="s">
        <v>65</v>
      </c>
      <c r="Q335" s="4672" t="s">
        <v>1068</v>
      </c>
      <c r="R335" s="4673" t="s">
        <v>1029</v>
      </c>
      <c r="S335" s="4673" t="s">
        <v>1030</v>
      </c>
      <c r="T335" s="4673" t="s">
        <v>1030</v>
      </c>
      <c r="U335" s="4673" t="s">
        <v>1031</v>
      </c>
      <c r="V335" s="4673" t="s">
        <v>1032</v>
      </c>
      <c r="W335" s="4673" t="s">
        <v>1033</v>
      </c>
      <c r="X335" s="4673" t="s">
        <v>1069</v>
      </c>
      <c r="Y335" s="4673" t="s">
        <v>146</v>
      </c>
      <c r="Z335" s="1516"/>
      <c r="AA335" s="1517"/>
      <c r="AB335" s="1517"/>
      <c r="AC335" s="1521"/>
      <c r="AD335" s="1521"/>
      <c r="AE335" s="1522"/>
      <c r="AF335" s="2847"/>
      <c r="AG335" s="2848"/>
      <c r="AH335" s="2848"/>
      <c r="AI335" s="2847"/>
      <c r="AJ335" s="2848"/>
      <c r="AK335" s="2848"/>
      <c r="AL335" s="2329"/>
      <c r="AM335" s="2164"/>
      <c r="AN335" s="2164"/>
      <c r="AO335" s="2164"/>
      <c r="AP335" s="2164"/>
      <c r="AQ335" s="2164"/>
      <c r="AR335" s="2164"/>
      <c r="AS335" s="2164"/>
      <c r="AT335" s="2164"/>
      <c r="AU335" s="2164"/>
      <c r="AV335" s="2164"/>
      <c r="AW335" s="2164"/>
      <c r="AX335" s="2164"/>
      <c r="AY335" s="2164"/>
      <c r="AZ335" s="2164"/>
      <c r="BA335" s="2164"/>
      <c r="BB335" s="2164"/>
      <c r="BC335" s="2164"/>
      <c r="BD335" s="2164"/>
      <c r="BE335" s="2164"/>
      <c r="BF335" s="2164"/>
      <c r="BG335" s="4573"/>
    </row>
    <row customHeight="1" ht="11.25">
      <c r="A336" s="1507" t="s">
        <v>990</v>
      </c>
      <c r="B336" s="1507"/>
      <c r="C336" s="1507"/>
      <c r="D336" s="1501"/>
      <c r="E336" s="1511"/>
      <c r="F336" s="2170"/>
      <c r="G336" s="2171"/>
      <c r="H336" s="2856" t="s">
        <v>109</v>
      </c>
      <c r="I336" s="2857"/>
      <c r="J336" s="2826"/>
      <c r="K336" s="2858"/>
      <c r="L336" s="2448"/>
      <c r="M336" s="2449"/>
      <c r="N336" s="2849"/>
      <c r="O336" s="2850"/>
      <c r="P336" s="2852"/>
      <c r="Q336" s="4672"/>
      <c r="R336" s="2854"/>
      <c r="S336" s="2855"/>
      <c r="T336" s="2854"/>
      <c r="U336" s="2854"/>
      <c r="V336" s="2854"/>
      <c r="W336" s="2854"/>
      <c r="X336" s="2854"/>
      <c r="Y336" s="2854"/>
      <c r="Z336" s="2169"/>
      <c r="AA336" s="2135">
        <v>1</v>
      </c>
      <c r="AB336" s="1520" t="s">
        <v>1035</v>
      </c>
      <c r="AC336" s="1510">
        <v>469647.04068</v>
      </c>
      <c r="AD336" s="1520" t="str">
        <f>AB336</f>
        <v>      Амортизационные отчисления с выделением результатов переоценки основных средств и нематериальных активов</v>
      </c>
      <c r="AE336" s="1510"/>
      <c r="AF336" s="2847"/>
      <c r="AG336" s="2848"/>
      <c r="AH336" s="2848"/>
      <c r="AI336" s="2847"/>
      <c r="AJ336" s="2848"/>
      <c r="AK336" s="2848"/>
      <c r="AL336" s="2329"/>
      <c r="AM336" s="2164"/>
      <c r="AN336" s="2164"/>
      <c r="AO336" s="2164"/>
      <c r="AP336" s="2164"/>
      <c r="AQ336" s="2164"/>
      <c r="AR336" s="2164"/>
      <c r="AS336" s="2164"/>
      <c r="AT336" s="2164"/>
      <c r="AU336" s="2164"/>
      <c r="AV336" s="2164"/>
      <c r="AW336" s="2164"/>
      <c r="AX336" s="2164"/>
      <c r="AY336" s="2164"/>
      <c r="AZ336" s="2164"/>
      <c r="BA336" s="2164"/>
      <c r="BB336" s="2164"/>
      <c r="BC336" s="2164"/>
      <c r="BD336" s="2164"/>
      <c r="BE336" s="2164"/>
      <c r="BF336" s="2164"/>
      <c r="BG336" s="4573"/>
    </row>
    <row customHeight="1" ht="11.25">
      <c r="A337" s="1507" t="s">
        <v>990</v>
      </c>
      <c r="B337" s="1507"/>
      <c r="C337" s="1507"/>
      <c r="D337" s="1501"/>
      <c r="E337" s="1511"/>
      <c r="F337" s="2171"/>
      <c r="G337" s="2171"/>
      <c r="H337" s="2171"/>
      <c r="I337" s="2171"/>
      <c r="J337" s="4685"/>
      <c r="K337" s="2171"/>
      <c r="L337" s="2171"/>
      <c r="M337" s="2171"/>
      <c r="N337" s="2171"/>
      <c r="O337" s="2171"/>
      <c r="P337" s="2171"/>
      <c r="Q337" s="4685"/>
      <c r="R337" s="2171"/>
      <c r="S337" s="2171"/>
      <c r="T337" s="2171"/>
      <c r="U337" s="2171"/>
      <c r="V337" s="2171"/>
      <c r="W337" s="2171"/>
      <c r="X337" s="2171"/>
      <c r="Y337" s="2171"/>
      <c r="Z337" s="4557" t="s">
        <v>684</v>
      </c>
      <c r="AA337" s="2155" t="s">
        <v>107</v>
      </c>
      <c r="AB337" s="1520" t="s">
        <v>1070</v>
      </c>
      <c r="AC337" s="1510">
        <v>172391.76922</v>
      </c>
      <c r="AD337" s="1520" t="str">
        <f>AB337</f>
        <v>  За счет платы за технологическое присоединение</v>
      </c>
      <c r="AE337" s="1510"/>
      <c r="AF337" s="2172"/>
      <c r="AG337" s="2100"/>
      <c r="AH337" s="2100"/>
      <c r="AI337" s="2172"/>
      <c r="AJ337" s="2100"/>
      <c r="AK337" s="2328"/>
      <c r="AL337" s="2329"/>
      <c r="AM337" s="2164"/>
      <c r="AN337" s="2164"/>
      <c r="AO337" s="2164"/>
      <c r="AP337" s="2164"/>
      <c r="AQ337" s="2164"/>
      <c r="AR337" s="2164"/>
      <c r="AS337" s="2164"/>
      <c r="AT337" s="2164"/>
      <c r="AU337" s="2164"/>
      <c r="AV337" s="2164"/>
      <c r="AW337" s="2164"/>
      <c r="AX337" s="2164"/>
      <c r="AY337" s="2164"/>
      <c r="AZ337" s="2164"/>
      <c r="BA337" s="2164"/>
      <c r="BB337" s="2164"/>
      <c r="BC337" s="2164"/>
      <c r="BD337" s="2164"/>
      <c r="BE337" s="2164"/>
      <c r="BF337" s="2164"/>
      <c r="BG337" s="4573"/>
    </row>
    <row customHeight="1" ht="11.25">
      <c r="A338" s="1507" t="s">
        <v>990</v>
      </c>
      <c r="B338" s="1507"/>
      <c r="C338" s="1507"/>
      <c r="D338" s="1501"/>
      <c r="E338" s="1511"/>
      <c r="F338" s="2171"/>
      <c r="G338" s="2171"/>
      <c r="H338" s="2171"/>
      <c r="I338" s="2171"/>
      <c r="J338" s="2171"/>
      <c r="K338" s="2171"/>
      <c r="L338" s="2171"/>
      <c r="M338" s="2171"/>
      <c r="N338" s="2171"/>
      <c r="O338" s="2171"/>
      <c r="P338" s="2171"/>
      <c r="Q338" s="2171"/>
      <c r="R338" s="2171"/>
      <c r="S338" s="2171"/>
      <c r="T338" s="2171"/>
      <c r="U338" s="2171"/>
      <c r="V338" s="2171"/>
      <c r="W338" s="2171"/>
      <c r="X338" s="2171"/>
      <c r="Y338" s="2171"/>
      <c r="Z338" s="4557" t="s">
        <v>684</v>
      </c>
      <c r="AA338" s="2155" t="s">
        <v>90</v>
      </c>
      <c r="AB338" s="1520" t="s">
        <v>1036</v>
      </c>
      <c r="AC338" s="1510">
        <v>127030.04636</v>
      </c>
      <c r="AD338" s="1520" t="str">
        <f>AB338</f>
        <v>  Прочие собственные средства</v>
      </c>
      <c r="AE338" s="1510"/>
      <c r="AF338" s="2172"/>
      <c r="AG338" s="2100"/>
      <c r="AH338" s="2100"/>
      <c r="AI338" s="2172"/>
      <c r="AJ338" s="2100"/>
      <c r="AK338" s="2328"/>
      <c r="AL338" s="2329"/>
      <c r="AM338" s="2164"/>
      <c r="AN338" s="2164"/>
      <c r="AO338" s="2164"/>
      <c r="AP338" s="2164"/>
      <c r="AQ338" s="2164"/>
      <c r="AR338" s="2164"/>
      <c r="AS338" s="2164"/>
      <c r="AT338" s="2164"/>
      <c r="AU338" s="2164"/>
      <c r="AV338" s="2164"/>
      <c r="AW338" s="2164"/>
      <c r="AX338" s="2164"/>
      <c r="AY338" s="2164"/>
      <c r="AZ338" s="2164"/>
      <c r="BA338" s="2164"/>
      <c r="BB338" s="2164"/>
      <c r="BC338" s="2164"/>
      <c r="BD338" s="2164"/>
      <c r="BE338" s="2164"/>
      <c r="BF338" s="2164"/>
      <c r="BG338" s="4573"/>
    </row>
    <row customHeight="1" ht="11.25">
      <c r="A339" s="1507" t="s">
        <v>990</v>
      </c>
      <c r="B339" s="1507"/>
      <c r="C339" s="1507"/>
      <c r="D339" s="1501"/>
      <c r="E339" s="1511"/>
      <c r="F339" s="2170"/>
      <c r="G339" s="2171"/>
      <c r="H339" s="2856" t="s">
        <v>109</v>
      </c>
      <c r="I339" s="2857"/>
      <c r="J339" s="2826"/>
      <c r="K339" s="2858"/>
      <c r="L339" s="2448"/>
      <c r="M339" s="2449"/>
      <c r="N339" s="2849"/>
      <c r="O339" s="2850"/>
      <c r="P339" s="2853"/>
      <c r="Q339" s="4672"/>
      <c r="R339" s="2854"/>
      <c r="S339" s="2855"/>
      <c r="T339" s="2854"/>
      <c r="U339" s="2854"/>
      <c r="V339" s="2854"/>
      <c r="W339" s="2854"/>
      <c r="X339" s="2854"/>
      <c r="Y339" s="2854"/>
      <c r="Z339" s="1516"/>
      <c r="AA339" s="1517"/>
      <c r="AB339" s="1582" t="s">
        <v>1037</v>
      </c>
      <c r="AC339" s="1521"/>
      <c r="AD339" s="1521"/>
      <c r="AE339" s="1523"/>
      <c r="AF339" s="2847"/>
      <c r="AG339" s="2848"/>
      <c r="AH339" s="2848"/>
      <c r="AI339" s="2847"/>
      <c r="AJ339" s="2848"/>
      <c r="AK339" s="2848"/>
      <c r="AL339" s="2329"/>
      <c r="AM339" s="2164"/>
      <c r="AN339" s="2164"/>
      <c r="AO339" s="2164"/>
      <c r="AP339" s="2164"/>
      <c r="AQ339" s="2164"/>
      <c r="AR339" s="2164"/>
      <c r="AS339" s="2164"/>
      <c r="AT339" s="2164"/>
      <c r="AU339" s="2164"/>
      <c r="AV339" s="2164"/>
      <c r="AW339" s="2164"/>
      <c r="AX339" s="2164"/>
      <c r="AY339" s="2164"/>
      <c r="AZ339" s="2164"/>
      <c r="BA339" s="2164"/>
      <c r="BB339" s="2164"/>
      <c r="BC339" s="2164"/>
      <c r="BD339" s="2164"/>
      <c r="BE339" s="2164"/>
      <c r="BF339" s="2164"/>
      <c r="BG339" s="4573"/>
    </row>
    <row customHeight="1" ht="11.25">
      <c r="A340" s="1507" t="s">
        <v>990</v>
      </c>
      <c r="B340" s="1507"/>
      <c r="C340" s="1507"/>
      <c r="D340" s="1501"/>
      <c r="E340" s="1511"/>
      <c r="F340" s="2170"/>
      <c r="G340" s="2171"/>
      <c r="H340" s="2856" t="s">
        <v>109</v>
      </c>
      <c r="I340" s="2857"/>
      <c r="J340" s="2826"/>
      <c r="K340" s="2858"/>
      <c r="L340" s="2448"/>
      <c r="M340" s="2449"/>
      <c r="N340" s="1516"/>
      <c r="O340" s="1517"/>
      <c r="P340" s="1509" t="s">
        <v>1038</v>
      </c>
      <c r="Q340" s="1517"/>
      <c r="R340" s="1517"/>
      <c r="S340" s="1517"/>
      <c r="T340" s="1517"/>
      <c r="U340" s="1517"/>
      <c r="V340" s="1517"/>
      <c r="W340" s="1517"/>
      <c r="X340" s="1517"/>
      <c r="Y340" s="1517"/>
      <c r="Z340" s="1517"/>
      <c r="AA340" s="1517"/>
      <c r="AB340" s="1517"/>
      <c r="AC340" s="1517"/>
      <c r="AD340" s="1517"/>
      <c r="AE340" s="1524"/>
      <c r="AF340" s="2847"/>
      <c r="AG340" s="2848"/>
      <c r="AH340" s="2848"/>
      <c r="AI340" s="2847"/>
      <c r="AJ340" s="2848"/>
      <c r="AK340" s="2848"/>
      <c r="AL340" s="2329"/>
      <c r="AM340" s="2164"/>
      <c r="AN340" s="2164"/>
      <c r="AO340" s="2164"/>
      <c r="AP340" s="2164"/>
      <c r="AQ340" s="2164"/>
      <c r="AR340" s="2164"/>
      <c r="AS340" s="2164"/>
      <c r="AT340" s="2164"/>
      <c r="AU340" s="2164"/>
      <c r="AV340" s="2164"/>
      <c r="AW340" s="2164"/>
      <c r="AX340" s="2164"/>
      <c r="AY340" s="2164"/>
      <c r="AZ340" s="2164"/>
      <c r="BA340" s="2164"/>
      <c r="BB340" s="2164"/>
      <c r="BC340" s="2164"/>
      <c r="BD340" s="2164"/>
      <c r="BE340" s="2164"/>
      <c r="BF340" s="2164"/>
      <c r="BG340" s="4573"/>
    </row>
    <row customHeight="1" ht="11.25">
      <c r="A341" s="1507" t="s">
        <v>990</v>
      </c>
      <c r="B341" s="1507" t="s">
        <v>1022</v>
      </c>
      <c r="C341" s="1507"/>
      <c r="D341" s="1501"/>
      <c r="E341" s="1511"/>
      <c r="F341" s="2170"/>
      <c r="G341" s="4557" t="s">
        <v>684</v>
      </c>
      <c r="H341" s="2856" t="s">
        <v>146</v>
      </c>
      <c r="I341" s="2857" t="s">
        <v>1023</v>
      </c>
      <c r="J341" s="2826" t="s">
        <v>1071</v>
      </c>
      <c r="K341" s="2858" t="s">
        <v>1072</v>
      </c>
      <c r="L341" s="2448" t="s">
        <v>19</v>
      </c>
      <c r="M341" s="2449"/>
      <c r="N341" s="2327"/>
      <c r="O341" s="1518" t="s">
        <v>371</v>
      </c>
      <c r="P341" s="1519"/>
      <c r="Q341" s="1519"/>
      <c r="R341" s="1519"/>
      <c r="S341" s="1519"/>
      <c r="T341" s="1519"/>
      <c r="U341" s="1519"/>
      <c r="V341" s="1519"/>
      <c r="W341" s="1519"/>
      <c r="X341" s="1519"/>
      <c r="Y341" s="1519"/>
      <c r="Z341" s="1519"/>
      <c r="AA341" s="1519"/>
      <c r="AB341" s="1519"/>
      <c r="AC341" s="1519"/>
      <c r="AD341" s="1519"/>
      <c r="AE341" s="1519"/>
      <c r="AF341" s="2847">
        <v>2</v>
      </c>
      <c r="AG341" s="2848" t="s">
        <v>1067</v>
      </c>
      <c r="AH341" s="2848" t="s">
        <v>1053</v>
      </c>
      <c r="AI341" s="2847"/>
      <c r="AJ341" s="2848"/>
      <c r="AK341" s="2848"/>
      <c r="AL341" s="2329"/>
      <c r="AM341" s="2164"/>
      <c r="AN341" s="2164"/>
      <c r="AO341" s="2164"/>
      <c r="AP341" s="2164"/>
      <c r="AQ341" s="2164"/>
      <c r="AR341" s="2164"/>
      <c r="AS341" s="2164"/>
      <c r="AT341" s="2164"/>
      <c r="AU341" s="2164"/>
      <c r="AV341" s="2164"/>
      <c r="AW341" s="2164"/>
      <c r="AX341" s="2164"/>
      <c r="AY341" s="2164"/>
      <c r="AZ341" s="2164"/>
      <c r="BA341" s="2164"/>
      <c r="BB341" s="2164"/>
      <c r="BC341" s="2164"/>
      <c r="BD341" s="2164"/>
      <c r="BE341" s="2164"/>
      <c r="BF341" s="2164"/>
      <c r="BG341" s="4573"/>
    </row>
    <row customHeight="1" ht="11.25">
      <c r="A342" s="1507" t="s">
        <v>990</v>
      </c>
      <c r="B342" s="1507"/>
      <c r="C342" s="1507"/>
      <c r="D342" s="1501"/>
      <c r="E342" s="1511"/>
      <c r="F342" s="2170"/>
      <c r="G342" s="2171"/>
      <c r="H342" s="2856" t="s">
        <v>145</v>
      </c>
      <c r="I342" s="2857"/>
      <c r="J342" s="2826"/>
      <c r="K342" s="2858"/>
      <c r="L342" s="2448"/>
      <c r="M342" s="2449"/>
      <c r="N342" s="2849"/>
      <c r="O342" s="2850">
        <v>1</v>
      </c>
      <c r="P342" s="2851" t="s">
        <v>65</v>
      </c>
      <c r="Q342" s="4672" t="s">
        <v>1073</v>
      </c>
      <c r="R342" s="4673" t="s">
        <v>1042</v>
      </c>
      <c r="S342" s="4673" t="s">
        <v>1074</v>
      </c>
      <c r="T342" s="4673" t="s">
        <v>1075</v>
      </c>
      <c r="U342" s="4673" t="s">
        <v>1076</v>
      </c>
      <c r="V342" s="4673" t="s">
        <v>1077</v>
      </c>
      <c r="W342" s="4673" t="s">
        <v>1078</v>
      </c>
      <c r="X342" s="4673" t="s">
        <v>1079</v>
      </c>
      <c r="Y342" s="4673" t="s">
        <v>107</v>
      </c>
      <c r="Z342" s="1516"/>
      <c r="AA342" s="1517"/>
      <c r="AB342" s="1517"/>
      <c r="AC342" s="1521"/>
      <c r="AD342" s="1521"/>
      <c r="AE342" s="1522"/>
      <c r="AF342" s="2847"/>
      <c r="AG342" s="2848"/>
      <c r="AH342" s="2848"/>
      <c r="AI342" s="2847"/>
      <c r="AJ342" s="2848"/>
      <c r="AK342" s="2848"/>
      <c r="AL342" s="2329"/>
      <c r="AM342" s="2164"/>
      <c r="AN342" s="2164"/>
      <c r="AO342" s="2164"/>
      <c r="AP342" s="2164"/>
      <c r="AQ342" s="2164"/>
      <c r="AR342" s="2164"/>
      <c r="AS342" s="2164"/>
      <c r="AT342" s="2164"/>
      <c r="AU342" s="2164"/>
      <c r="AV342" s="2164"/>
      <c r="AW342" s="2164"/>
      <c r="AX342" s="2164"/>
      <c r="AY342" s="2164"/>
      <c r="AZ342" s="2164"/>
      <c r="BA342" s="2164"/>
      <c r="BB342" s="2164"/>
      <c r="BC342" s="2164"/>
      <c r="BD342" s="2164"/>
      <c r="BE342" s="2164"/>
      <c r="BF342" s="2164"/>
      <c r="BG342" s="4573"/>
    </row>
    <row customHeight="1" ht="11.25">
      <c r="A343" s="1507" t="s">
        <v>990</v>
      </c>
      <c r="B343" s="1507"/>
      <c r="C343" s="1507"/>
      <c r="D343" s="1501"/>
      <c r="E343" s="1511"/>
      <c r="F343" s="2170"/>
      <c r="G343" s="2171"/>
      <c r="H343" s="2856" t="s">
        <v>145</v>
      </c>
      <c r="I343" s="2857"/>
      <c r="J343" s="2826"/>
      <c r="K343" s="2858"/>
      <c r="L343" s="2448"/>
      <c r="M343" s="2449"/>
      <c r="N343" s="2849"/>
      <c r="O343" s="2850"/>
      <c r="P343" s="2852"/>
      <c r="Q343" s="4672"/>
      <c r="R343" s="2854"/>
      <c r="S343" s="2855"/>
      <c r="T343" s="2854"/>
      <c r="U343" s="2854"/>
      <c r="V343" s="2854"/>
      <c r="W343" s="2854"/>
      <c r="X343" s="2854"/>
      <c r="Y343" s="2854"/>
      <c r="Z343" s="2169"/>
      <c r="AA343" s="2135">
        <v>1</v>
      </c>
      <c r="AB343" s="1520" t="s">
        <v>1080</v>
      </c>
      <c r="AC343" s="1510">
        <v>64817.79246</v>
      </c>
      <c r="AD343" s="1520" t="str">
        <f>AB343</f>
        <v>  Кредиты</v>
      </c>
      <c r="AE343" s="1510"/>
      <c r="AF343" s="2847"/>
      <c r="AG343" s="2848"/>
      <c r="AH343" s="2848"/>
      <c r="AI343" s="2847"/>
      <c r="AJ343" s="2848"/>
      <c r="AK343" s="2848"/>
      <c r="AL343" s="2329"/>
      <c r="AM343" s="2164"/>
      <c r="AN343" s="2164"/>
      <c r="AO343" s="2164"/>
      <c r="AP343" s="2164"/>
      <c r="AQ343" s="2164"/>
      <c r="AR343" s="2164"/>
      <c r="AS343" s="2164"/>
      <c r="AT343" s="2164"/>
      <c r="AU343" s="2164"/>
      <c r="AV343" s="2164"/>
      <c r="AW343" s="2164"/>
      <c r="AX343" s="2164"/>
      <c r="AY343" s="2164"/>
      <c r="AZ343" s="2164"/>
      <c r="BA343" s="2164"/>
      <c r="BB343" s="2164"/>
      <c r="BC343" s="2164"/>
      <c r="BD343" s="2164"/>
      <c r="BE343" s="2164"/>
      <c r="BF343" s="2164"/>
      <c r="BG343" s="4573"/>
    </row>
    <row customHeight="1" ht="11.25">
      <c r="A344" s="1507" t="s">
        <v>990</v>
      </c>
      <c r="B344" s="1507"/>
      <c r="C344" s="1507"/>
      <c r="D344" s="1501"/>
      <c r="E344" s="1511"/>
      <c r="F344" s="2170"/>
      <c r="G344" s="2171"/>
      <c r="H344" s="2856" t="s">
        <v>145</v>
      </c>
      <c r="I344" s="2857"/>
      <c r="J344" s="2826"/>
      <c r="K344" s="2858"/>
      <c r="L344" s="2448"/>
      <c r="M344" s="2449"/>
      <c r="N344" s="2849"/>
      <c r="O344" s="2850"/>
      <c r="P344" s="2853"/>
      <c r="Q344" s="4672"/>
      <c r="R344" s="2854"/>
      <c r="S344" s="2855"/>
      <c r="T344" s="2854"/>
      <c r="U344" s="2854"/>
      <c r="V344" s="2854"/>
      <c r="W344" s="2854"/>
      <c r="X344" s="2854"/>
      <c r="Y344" s="2854"/>
      <c r="Z344" s="1516"/>
      <c r="AA344" s="1517"/>
      <c r="AB344" s="1582" t="s">
        <v>1037</v>
      </c>
      <c r="AC344" s="1521"/>
      <c r="AD344" s="1521"/>
      <c r="AE344" s="1523"/>
      <c r="AF344" s="2847"/>
      <c r="AG344" s="2848"/>
      <c r="AH344" s="2848"/>
      <c r="AI344" s="2847"/>
      <c r="AJ344" s="2848"/>
      <c r="AK344" s="2848"/>
      <c r="AL344" s="2329"/>
      <c r="AM344" s="2164"/>
      <c r="AN344" s="2164"/>
      <c r="AO344" s="2164"/>
      <c r="AP344" s="2164"/>
      <c r="AQ344" s="2164"/>
      <c r="AR344" s="2164"/>
      <c r="AS344" s="2164"/>
      <c r="AT344" s="2164"/>
      <c r="AU344" s="2164"/>
      <c r="AV344" s="2164"/>
      <c r="AW344" s="2164"/>
      <c r="AX344" s="2164"/>
      <c r="AY344" s="2164"/>
      <c r="AZ344" s="2164"/>
      <c r="BA344" s="2164"/>
      <c r="BB344" s="2164"/>
      <c r="BC344" s="2164"/>
      <c r="BD344" s="2164"/>
      <c r="BE344" s="2164"/>
      <c r="BF344" s="2164"/>
      <c r="BG344" s="4573"/>
    </row>
    <row customHeight="1" ht="11.25">
      <c r="A345" s="1507" t="s">
        <v>990</v>
      </c>
      <c r="B345" s="1507"/>
      <c r="C345" s="1507"/>
      <c r="D345" s="1501"/>
      <c r="E345" s="1511"/>
      <c r="F345" s="2170"/>
      <c r="G345" s="2171"/>
      <c r="H345" s="2856" t="s">
        <v>145</v>
      </c>
      <c r="I345" s="2857"/>
      <c r="J345" s="2826"/>
      <c r="K345" s="2858"/>
      <c r="L345" s="2448"/>
      <c r="M345" s="2449"/>
      <c r="N345" s="1516"/>
      <c r="O345" s="1517"/>
      <c r="P345" s="1509" t="s">
        <v>1038</v>
      </c>
      <c r="Q345" s="1517"/>
      <c r="R345" s="1517"/>
      <c r="S345" s="1517"/>
      <c r="T345" s="1517"/>
      <c r="U345" s="1517"/>
      <c r="V345" s="1517"/>
      <c r="W345" s="1517"/>
      <c r="X345" s="1517"/>
      <c r="Y345" s="1517"/>
      <c r="Z345" s="1517"/>
      <c r="AA345" s="1517"/>
      <c r="AB345" s="1517"/>
      <c r="AC345" s="1517"/>
      <c r="AD345" s="1517"/>
      <c r="AE345" s="1524"/>
      <c r="AF345" s="2847"/>
      <c r="AG345" s="2848"/>
      <c r="AH345" s="2848"/>
      <c r="AI345" s="2847"/>
      <c r="AJ345" s="2848"/>
      <c r="AK345" s="2848"/>
      <c r="AL345" s="2329"/>
      <c r="AM345" s="2164"/>
      <c r="AN345" s="2164"/>
      <c r="AO345" s="2164"/>
      <c r="AP345" s="2164"/>
      <c r="AQ345" s="2164"/>
      <c r="AR345" s="2164"/>
      <c r="AS345" s="2164"/>
      <c r="AT345" s="2164"/>
      <c r="AU345" s="2164"/>
      <c r="AV345" s="2164"/>
      <c r="AW345" s="2164"/>
      <c r="AX345" s="2164"/>
      <c r="AY345" s="2164"/>
      <c r="AZ345" s="2164"/>
      <c r="BA345" s="2164"/>
      <c r="BB345" s="2164"/>
      <c r="BC345" s="2164"/>
      <c r="BD345" s="2164"/>
      <c r="BE345" s="2164"/>
      <c r="BF345" s="2164"/>
      <c r="BG345" s="4573"/>
    </row>
    <row customHeight="1" ht="11.25">
      <c r="A346" s="1507" t="s">
        <v>990</v>
      </c>
      <c r="B346" s="1507" t="s">
        <v>1022</v>
      </c>
      <c r="C346" s="1507"/>
      <c r="D346" s="1501"/>
      <c r="E346" s="1511"/>
      <c r="F346" s="2170"/>
      <c r="G346" s="4557" t="s">
        <v>684</v>
      </c>
      <c r="H346" s="2856" t="s">
        <v>147</v>
      </c>
      <c r="I346" s="2857" t="s">
        <v>1023</v>
      </c>
      <c r="J346" s="2826" t="s">
        <v>1024</v>
      </c>
      <c r="K346" s="2858" t="s">
        <v>1085</v>
      </c>
      <c r="L346" s="2448" t="s">
        <v>19</v>
      </c>
      <c r="M346" s="2449"/>
      <c r="N346" s="2327"/>
      <c r="O346" s="1518" t="s">
        <v>371</v>
      </c>
      <c r="P346" s="1519"/>
      <c r="Q346" s="1519"/>
      <c r="R346" s="1519"/>
      <c r="S346" s="1519"/>
      <c r="T346" s="1519"/>
      <c r="U346" s="1519"/>
      <c r="V346" s="1519"/>
      <c r="W346" s="1519"/>
      <c r="X346" s="1519"/>
      <c r="Y346" s="1519"/>
      <c r="Z346" s="1519"/>
      <c r="AA346" s="1519"/>
      <c r="AB346" s="1519"/>
      <c r="AC346" s="1519"/>
      <c r="AD346" s="1519"/>
      <c r="AE346" s="1519"/>
      <c r="AF346" s="2847">
        <v>2</v>
      </c>
      <c r="AG346" s="2848" t="s">
        <v>1067</v>
      </c>
      <c r="AH346" s="2848" t="s">
        <v>1053</v>
      </c>
      <c r="AI346" s="2847"/>
      <c r="AJ346" s="2848"/>
      <c r="AK346" s="2848"/>
      <c r="AL346" s="2329"/>
      <c r="AM346" s="2164"/>
      <c r="AN346" s="2164"/>
      <c r="AO346" s="2164"/>
      <c r="AP346" s="2164"/>
      <c r="AQ346" s="2164"/>
      <c r="AR346" s="2164"/>
      <c r="AS346" s="2164"/>
      <c r="AT346" s="2164"/>
      <c r="AU346" s="2164"/>
      <c r="AV346" s="2164"/>
      <c r="AW346" s="2164"/>
      <c r="AX346" s="2164"/>
      <c r="AY346" s="2164"/>
      <c r="AZ346" s="2164"/>
      <c r="BA346" s="2164"/>
      <c r="BB346" s="2164"/>
      <c r="BC346" s="2164"/>
      <c r="BD346" s="2164"/>
      <c r="BE346" s="2164"/>
      <c r="BF346" s="2164"/>
      <c r="BG346" s="4573"/>
    </row>
    <row customHeight="1" ht="11.25">
      <c r="A347" s="1507" t="s">
        <v>990</v>
      </c>
      <c r="B347" s="1507"/>
      <c r="C347" s="1507"/>
      <c r="D347" s="1501"/>
      <c r="E347" s="1511"/>
      <c r="F347" s="2170"/>
      <c r="G347" s="2171"/>
      <c r="H347" s="2856" t="s">
        <v>146</v>
      </c>
      <c r="I347" s="2857"/>
      <c r="J347" s="2826"/>
      <c r="K347" s="2858"/>
      <c r="L347" s="2448"/>
      <c r="M347" s="2449"/>
      <c r="N347" s="2849"/>
      <c r="O347" s="2850">
        <v>1</v>
      </c>
      <c r="P347" s="2851" t="s">
        <v>65</v>
      </c>
      <c r="Q347" s="4672" t="s">
        <v>1086</v>
      </c>
      <c r="R347" s="4673" t="s">
        <v>1083</v>
      </c>
      <c r="S347" s="4673" t="s">
        <v>1074</v>
      </c>
      <c r="T347" s="4673" t="s">
        <v>1075</v>
      </c>
      <c r="U347" s="4673" t="s">
        <v>1076</v>
      </c>
      <c r="V347" s="4673" t="s">
        <v>1077</v>
      </c>
      <c r="W347" s="4673" t="s">
        <v>1078</v>
      </c>
      <c r="X347" s="4673" t="s">
        <v>1087</v>
      </c>
      <c r="Y347" s="4673" t="s">
        <v>371</v>
      </c>
      <c r="Z347" s="1516"/>
      <c r="AA347" s="1517"/>
      <c r="AB347" s="1517"/>
      <c r="AC347" s="1521"/>
      <c r="AD347" s="1521"/>
      <c r="AE347" s="1522"/>
      <c r="AF347" s="2847"/>
      <c r="AG347" s="2848"/>
      <c r="AH347" s="2848"/>
      <c r="AI347" s="2847"/>
      <c r="AJ347" s="2848"/>
      <c r="AK347" s="2848"/>
      <c r="AL347" s="2329"/>
      <c r="AM347" s="2164"/>
      <c r="AN347" s="2164"/>
      <c r="AO347" s="2164"/>
      <c r="AP347" s="2164"/>
      <c r="AQ347" s="2164"/>
      <c r="AR347" s="2164"/>
      <c r="AS347" s="2164"/>
      <c r="AT347" s="2164"/>
      <c r="AU347" s="2164"/>
      <c r="AV347" s="2164"/>
      <c r="AW347" s="2164"/>
      <c r="AX347" s="2164"/>
      <c r="AY347" s="2164"/>
      <c r="AZ347" s="2164"/>
      <c r="BA347" s="2164"/>
      <c r="BB347" s="2164"/>
      <c r="BC347" s="2164"/>
      <c r="BD347" s="2164"/>
      <c r="BE347" s="2164"/>
      <c r="BF347" s="2164"/>
      <c r="BG347" s="4573"/>
    </row>
    <row customHeight="1" ht="11.25">
      <c r="A348" s="1507" t="s">
        <v>990</v>
      </c>
      <c r="B348" s="1507"/>
      <c r="C348" s="1507"/>
      <c r="D348" s="1501"/>
      <c r="E348" s="1511"/>
      <c r="F348" s="2170"/>
      <c r="G348" s="2171"/>
      <c r="H348" s="2856" t="s">
        <v>146</v>
      </c>
      <c r="I348" s="2857"/>
      <c r="J348" s="2826"/>
      <c r="K348" s="2858"/>
      <c r="L348" s="2448"/>
      <c r="M348" s="2449"/>
      <c r="N348" s="2849"/>
      <c r="O348" s="2850"/>
      <c r="P348" s="2852"/>
      <c r="Q348" s="4672"/>
      <c r="R348" s="2854"/>
      <c r="S348" s="2855"/>
      <c r="T348" s="2854"/>
      <c r="U348" s="2854"/>
      <c r="V348" s="2854"/>
      <c r="W348" s="2854"/>
      <c r="X348" s="2854"/>
      <c r="Y348" s="2854"/>
      <c r="Z348" s="2169"/>
      <c r="AA348" s="2135">
        <v>1</v>
      </c>
      <c r="AB348" s="1520" t="s">
        <v>1035</v>
      </c>
      <c r="AC348" s="1510">
        <v>19718.67416</v>
      </c>
      <c r="AD348" s="1520" t="str">
        <f>AB348</f>
        <v>      Амортизационные отчисления с выделением результатов переоценки основных средств и нематериальных активов</v>
      </c>
      <c r="AE348" s="1510"/>
      <c r="AF348" s="2847"/>
      <c r="AG348" s="2848"/>
      <c r="AH348" s="2848"/>
      <c r="AI348" s="2847"/>
      <c r="AJ348" s="2848"/>
      <c r="AK348" s="2848"/>
      <c r="AL348" s="2329"/>
      <c r="AM348" s="2164"/>
      <c r="AN348" s="2164"/>
      <c r="AO348" s="2164"/>
      <c r="AP348" s="2164"/>
      <c r="AQ348" s="2164"/>
      <c r="AR348" s="2164"/>
      <c r="AS348" s="2164"/>
      <c r="AT348" s="2164"/>
      <c r="AU348" s="2164"/>
      <c r="AV348" s="2164"/>
      <c r="AW348" s="2164"/>
      <c r="AX348" s="2164"/>
      <c r="AY348" s="2164"/>
      <c r="AZ348" s="2164"/>
      <c r="BA348" s="2164"/>
      <c r="BB348" s="2164"/>
      <c r="BC348" s="2164"/>
      <c r="BD348" s="2164"/>
      <c r="BE348" s="2164"/>
      <c r="BF348" s="2164"/>
      <c r="BG348" s="4573"/>
    </row>
    <row customHeight="1" ht="11.25">
      <c r="A349" s="1507" t="s">
        <v>990</v>
      </c>
      <c r="B349" s="1507"/>
      <c r="C349" s="1507"/>
      <c r="D349" s="1501"/>
      <c r="E349" s="1511"/>
      <c r="F349" s="2171"/>
      <c r="G349" s="2171"/>
      <c r="H349" s="2171"/>
      <c r="I349" s="2171"/>
      <c r="J349" s="2171"/>
      <c r="K349" s="2171"/>
      <c r="L349" s="2171"/>
      <c r="M349" s="2171"/>
      <c r="N349" s="2171"/>
      <c r="O349" s="2171"/>
      <c r="P349" s="2171"/>
      <c r="Q349" s="2171"/>
      <c r="R349" s="2171"/>
      <c r="S349" s="2171"/>
      <c r="T349" s="2171"/>
      <c r="U349" s="2171"/>
      <c r="V349" s="2171"/>
      <c r="W349" s="2171"/>
      <c r="X349" s="2171"/>
      <c r="Y349" s="2171"/>
      <c r="Z349" s="4557" t="s">
        <v>684</v>
      </c>
      <c r="AA349" s="2155" t="s">
        <v>107</v>
      </c>
      <c r="AB349" s="1520" t="s">
        <v>1036</v>
      </c>
      <c r="AC349" s="1510">
        <v>3943.73483</v>
      </c>
      <c r="AD349" s="1520" t="str">
        <f>AB349</f>
        <v>  Прочие собственные средства</v>
      </c>
      <c r="AE349" s="1510"/>
      <c r="AF349" s="2172"/>
      <c r="AG349" s="2100"/>
      <c r="AH349" s="2100"/>
      <c r="AI349" s="2172"/>
      <c r="AJ349" s="2100"/>
      <c r="AK349" s="2328"/>
      <c r="AL349" s="2329"/>
      <c r="AM349" s="2164"/>
      <c r="AN349" s="2164"/>
      <c r="AO349" s="2164"/>
      <c r="AP349" s="2164"/>
      <c r="AQ349" s="2164"/>
      <c r="AR349" s="2164"/>
      <c r="AS349" s="2164"/>
      <c r="AT349" s="2164"/>
      <c r="AU349" s="2164"/>
      <c r="AV349" s="2164"/>
      <c r="AW349" s="2164"/>
      <c r="AX349" s="2164"/>
      <c r="AY349" s="2164"/>
      <c r="AZ349" s="2164"/>
      <c r="BA349" s="2164"/>
      <c r="BB349" s="2164"/>
      <c r="BC349" s="2164"/>
      <c r="BD349" s="2164"/>
      <c r="BE349" s="2164"/>
      <c r="BF349" s="2164"/>
      <c r="BG349" s="4573"/>
    </row>
    <row customHeight="1" ht="11.25">
      <c r="A350" s="1507" t="s">
        <v>990</v>
      </c>
      <c r="B350" s="1507"/>
      <c r="C350" s="1507"/>
      <c r="D350" s="1501"/>
      <c r="E350" s="1511"/>
      <c r="F350" s="2170"/>
      <c r="G350" s="2171"/>
      <c r="H350" s="2856" t="s">
        <v>146</v>
      </c>
      <c r="I350" s="2857"/>
      <c r="J350" s="2826"/>
      <c r="K350" s="2858"/>
      <c r="L350" s="2448"/>
      <c r="M350" s="2449"/>
      <c r="N350" s="2849"/>
      <c r="O350" s="2850"/>
      <c r="P350" s="2853"/>
      <c r="Q350" s="4672"/>
      <c r="R350" s="2854"/>
      <c r="S350" s="2855"/>
      <c r="T350" s="2854"/>
      <c r="U350" s="2854"/>
      <c r="V350" s="2854"/>
      <c r="W350" s="2854"/>
      <c r="X350" s="2854"/>
      <c r="Y350" s="2854"/>
      <c r="Z350" s="1516"/>
      <c r="AA350" s="1517"/>
      <c r="AB350" s="1582" t="s">
        <v>1037</v>
      </c>
      <c r="AC350" s="1521"/>
      <c r="AD350" s="1521"/>
      <c r="AE350" s="1523"/>
      <c r="AF350" s="2847"/>
      <c r="AG350" s="2848"/>
      <c r="AH350" s="2848"/>
      <c r="AI350" s="2847"/>
      <c r="AJ350" s="2848"/>
      <c r="AK350" s="2848"/>
      <c r="AL350" s="2329"/>
      <c r="AM350" s="2164"/>
      <c r="AN350" s="2164"/>
      <c r="AO350" s="2164"/>
      <c r="AP350" s="2164"/>
      <c r="AQ350" s="2164"/>
      <c r="AR350" s="2164"/>
      <c r="AS350" s="2164"/>
      <c r="AT350" s="2164"/>
      <c r="AU350" s="2164"/>
      <c r="AV350" s="2164"/>
      <c r="AW350" s="2164"/>
      <c r="AX350" s="2164"/>
      <c r="AY350" s="2164"/>
      <c r="AZ350" s="2164"/>
      <c r="BA350" s="2164"/>
      <c r="BB350" s="2164"/>
      <c r="BC350" s="2164"/>
      <c r="BD350" s="2164"/>
      <c r="BE350" s="2164"/>
      <c r="BF350" s="2164"/>
      <c r="BG350" s="4573"/>
    </row>
    <row customHeight="1" ht="11.25">
      <c r="A351" s="1507" t="s">
        <v>990</v>
      </c>
      <c r="B351" s="1507"/>
      <c r="C351" s="1507"/>
      <c r="D351" s="1501"/>
      <c r="E351" s="1511"/>
      <c r="F351" s="2170"/>
      <c r="G351" s="2171"/>
      <c r="H351" s="2856" t="s">
        <v>146</v>
      </c>
      <c r="I351" s="2857"/>
      <c r="J351" s="2826"/>
      <c r="K351" s="2858"/>
      <c r="L351" s="2448"/>
      <c r="M351" s="2449"/>
      <c r="N351" s="1516"/>
      <c r="O351" s="1517"/>
      <c r="P351" s="1509" t="s">
        <v>1038</v>
      </c>
      <c r="Q351" s="1517"/>
      <c r="R351" s="1517"/>
      <c r="S351" s="1517"/>
      <c r="T351" s="1517"/>
      <c r="U351" s="1517"/>
      <c r="V351" s="1517"/>
      <c r="W351" s="1517"/>
      <c r="X351" s="1517"/>
      <c r="Y351" s="1517"/>
      <c r="Z351" s="1517"/>
      <c r="AA351" s="1517"/>
      <c r="AB351" s="1517"/>
      <c r="AC351" s="1517"/>
      <c r="AD351" s="1517"/>
      <c r="AE351" s="1524"/>
      <c r="AF351" s="2847"/>
      <c r="AG351" s="2848"/>
      <c r="AH351" s="2848"/>
      <c r="AI351" s="2847"/>
      <c r="AJ351" s="2848"/>
      <c r="AK351" s="2848"/>
      <c r="AL351" s="2329"/>
      <c r="AM351" s="2164"/>
      <c r="AN351" s="2164"/>
      <c r="AO351" s="2164"/>
      <c r="AP351" s="2164"/>
      <c r="AQ351" s="2164"/>
      <c r="AR351" s="2164"/>
      <c r="AS351" s="2164"/>
      <c r="AT351" s="2164"/>
      <c r="AU351" s="2164"/>
      <c r="AV351" s="2164"/>
      <c r="AW351" s="2164"/>
      <c r="AX351" s="2164"/>
      <c r="AY351" s="2164"/>
      <c r="AZ351" s="2164"/>
      <c r="BA351" s="2164"/>
      <c r="BB351" s="2164"/>
      <c r="BC351" s="2164"/>
      <c r="BD351" s="2164"/>
      <c r="BE351" s="2164"/>
      <c r="BF351" s="2164"/>
      <c r="BG351" s="4573"/>
    </row>
    <row customHeight="1" ht="11.25">
      <c r="A352" s="1507" t="s">
        <v>990</v>
      </c>
      <c r="B352" s="1507" t="s">
        <v>22</v>
      </c>
      <c r="C352" s="1507"/>
      <c r="D352" s="1501"/>
      <c r="E352" s="1511"/>
      <c r="F352" s="2170"/>
      <c r="G352" s="4557" t="s">
        <v>684</v>
      </c>
      <c r="H352" s="2856" t="s">
        <v>148</v>
      </c>
      <c r="I352" s="2857" t="s">
        <v>1096</v>
      </c>
      <c r="J352" s="4694" t="s">
        <v>22</v>
      </c>
      <c r="K352" s="2858" t="s">
        <v>1097</v>
      </c>
      <c r="L352" s="2448" t="s">
        <v>19</v>
      </c>
      <c r="M352" s="2449"/>
      <c r="N352" s="2327"/>
      <c r="O352" s="1518" t="s">
        <v>371</v>
      </c>
      <c r="P352" s="1519"/>
      <c r="Q352" s="1519"/>
      <c r="R352" s="1519"/>
      <c r="S352" s="1519"/>
      <c r="T352" s="1519"/>
      <c r="U352" s="1519"/>
      <c r="V352" s="1519"/>
      <c r="W352" s="1519"/>
      <c r="X352" s="1519"/>
      <c r="Y352" s="1519"/>
      <c r="Z352" s="1519"/>
      <c r="AA352" s="1519"/>
      <c r="AB352" s="1519"/>
      <c r="AC352" s="1519"/>
      <c r="AD352" s="1519"/>
      <c r="AE352" s="1519"/>
      <c r="AF352" s="2847">
        <v>3</v>
      </c>
      <c r="AG352" s="2848" t="s">
        <v>1067</v>
      </c>
      <c r="AH352" s="2848" t="s">
        <v>1051</v>
      </c>
      <c r="AI352" s="2847"/>
      <c r="AJ352" s="2848"/>
      <c r="AK352" s="2848"/>
      <c r="AL352" s="2329"/>
      <c r="AM352" s="2164"/>
      <c r="AN352" s="2164"/>
      <c r="AO352" s="2164"/>
      <c r="AP352" s="2164"/>
      <c r="AQ352" s="2164"/>
      <c r="AR352" s="2164"/>
      <c r="AS352" s="2164"/>
      <c r="AT352" s="2164"/>
      <c r="AU352" s="2164"/>
      <c r="AV352" s="2164"/>
      <c r="AW352" s="2164"/>
      <c r="AX352" s="2164"/>
      <c r="AY352" s="2164"/>
      <c r="AZ352" s="2164"/>
      <c r="BA352" s="2164"/>
      <c r="BB352" s="2164"/>
      <c r="BC352" s="2164"/>
      <c r="BD352" s="2164"/>
      <c r="BE352" s="2164"/>
      <c r="BF352" s="2164"/>
      <c r="BG352" s="4573"/>
    </row>
    <row customHeight="1" ht="11.25">
      <c r="A353" s="1507" t="s">
        <v>990</v>
      </c>
      <c r="B353" s="1507"/>
      <c r="C353" s="1507"/>
      <c r="D353" s="1501"/>
      <c r="E353" s="1511"/>
      <c r="F353" s="2170"/>
      <c r="G353" s="2171"/>
      <c r="H353" s="2856" t="s">
        <v>147</v>
      </c>
      <c r="I353" s="2857"/>
      <c r="J353" s="4694"/>
      <c r="K353" s="2858"/>
      <c r="L353" s="2448"/>
      <c r="M353" s="2449"/>
      <c r="N353" s="2849"/>
      <c r="O353" s="2850">
        <v>1</v>
      </c>
      <c r="P353" s="2851" t="s">
        <v>65</v>
      </c>
      <c r="Q353" s="4672" t="s">
        <v>1073</v>
      </c>
      <c r="R353" s="4673" t="s">
        <v>1042</v>
      </c>
      <c r="S353" s="4673" t="s">
        <v>1074</v>
      </c>
      <c r="T353" s="4673" t="s">
        <v>1075</v>
      </c>
      <c r="U353" s="4673" t="s">
        <v>1076</v>
      </c>
      <c r="V353" s="4673" t="s">
        <v>1077</v>
      </c>
      <c r="W353" s="4673" t="s">
        <v>1078</v>
      </c>
      <c r="X353" s="4673" t="s">
        <v>1079</v>
      </c>
      <c r="Y353" s="4673" t="s">
        <v>107</v>
      </c>
      <c r="Z353" s="1516"/>
      <c r="AA353" s="1517"/>
      <c r="AB353" s="1517"/>
      <c r="AC353" s="1521"/>
      <c r="AD353" s="1521"/>
      <c r="AE353" s="1522"/>
      <c r="AF353" s="2847"/>
      <c r="AG353" s="2848"/>
      <c r="AH353" s="2848"/>
      <c r="AI353" s="2847"/>
      <c r="AJ353" s="2848"/>
      <c r="AK353" s="2848"/>
      <c r="AL353" s="2329"/>
      <c r="AM353" s="2164"/>
      <c r="AN353" s="2164"/>
      <c r="AO353" s="2164"/>
      <c r="AP353" s="2164"/>
      <c r="AQ353" s="2164"/>
      <c r="AR353" s="2164"/>
      <c r="AS353" s="2164"/>
      <c r="AT353" s="2164"/>
      <c r="AU353" s="2164"/>
      <c r="AV353" s="2164"/>
      <c r="AW353" s="2164"/>
      <c r="AX353" s="2164"/>
      <c r="AY353" s="2164"/>
      <c r="AZ353" s="2164"/>
      <c r="BA353" s="2164"/>
      <c r="BB353" s="2164"/>
      <c r="BC353" s="2164"/>
      <c r="BD353" s="2164"/>
      <c r="BE353" s="2164"/>
      <c r="BF353" s="2164"/>
      <c r="BG353" s="4573"/>
    </row>
    <row customHeight="1" ht="11.25">
      <c r="A354" s="1507" t="s">
        <v>990</v>
      </c>
      <c r="B354" s="1507"/>
      <c r="C354" s="1507"/>
      <c r="D354" s="1501"/>
      <c r="E354" s="1511"/>
      <c r="F354" s="2170"/>
      <c r="G354" s="2171"/>
      <c r="H354" s="2856" t="s">
        <v>147</v>
      </c>
      <c r="I354" s="2857"/>
      <c r="J354" s="4694"/>
      <c r="K354" s="2858"/>
      <c r="L354" s="2448"/>
      <c r="M354" s="2449"/>
      <c r="N354" s="2849"/>
      <c r="O354" s="2850"/>
      <c r="P354" s="2852"/>
      <c r="Q354" s="4672"/>
      <c r="R354" s="2854"/>
      <c r="S354" s="2855"/>
      <c r="T354" s="2854"/>
      <c r="U354" s="2854"/>
      <c r="V354" s="2854"/>
      <c r="W354" s="2854"/>
      <c r="X354" s="2854"/>
      <c r="Y354" s="2854"/>
      <c r="Z354" s="2169"/>
      <c r="AA354" s="2135">
        <v>1</v>
      </c>
      <c r="AB354" s="1520" t="s">
        <v>1035</v>
      </c>
      <c r="AC354" s="1510">
        <v>162066.68808</v>
      </c>
      <c r="AD354" s="1520" t="str">
        <f>AB354</f>
        <v>      Амортизационные отчисления с выделением результатов переоценки основных средств и нематериальных активов</v>
      </c>
      <c r="AE354" s="1510"/>
      <c r="AF354" s="2847"/>
      <c r="AG354" s="2848"/>
      <c r="AH354" s="2848"/>
      <c r="AI354" s="2847"/>
      <c r="AJ354" s="2848"/>
      <c r="AK354" s="2848"/>
      <c r="AL354" s="2329"/>
      <c r="AM354" s="2164"/>
      <c r="AN354" s="2164"/>
      <c r="AO354" s="2164"/>
      <c r="AP354" s="2164"/>
      <c r="AQ354" s="2164"/>
      <c r="AR354" s="2164"/>
      <c r="AS354" s="2164"/>
      <c r="AT354" s="2164"/>
      <c r="AU354" s="2164"/>
      <c r="AV354" s="2164"/>
      <c r="AW354" s="2164"/>
      <c r="AX354" s="2164"/>
      <c r="AY354" s="2164"/>
      <c r="AZ354" s="2164"/>
      <c r="BA354" s="2164"/>
      <c r="BB354" s="2164"/>
      <c r="BC354" s="2164"/>
      <c r="BD354" s="2164"/>
      <c r="BE354" s="2164"/>
      <c r="BF354" s="2164"/>
      <c r="BG354" s="4573"/>
    </row>
    <row customHeight="1" ht="11.25">
      <c r="A355" s="1507" t="s">
        <v>990</v>
      </c>
      <c r="B355" s="1507"/>
      <c r="C355" s="1507"/>
      <c r="D355" s="1501"/>
      <c r="E355" s="1511"/>
      <c r="F355" s="2171"/>
      <c r="G355" s="2171"/>
      <c r="H355" s="2171"/>
      <c r="I355" s="2171"/>
      <c r="J355" s="2171"/>
      <c r="K355" s="2171"/>
      <c r="L355" s="2171"/>
      <c r="M355" s="2171"/>
      <c r="N355" s="2171"/>
      <c r="O355" s="2171"/>
      <c r="P355" s="2171"/>
      <c r="Q355" s="2171"/>
      <c r="R355" s="2171"/>
      <c r="S355" s="2171"/>
      <c r="T355" s="2171"/>
      <c r="U355" s="2171"/>
      <c r="V355" s="2171"/>
      <c r="W355" s="2171"/>
      <c r="X355" s="2171"/>
      <c r="Y355" s="2171"/>
      <c r="Z355" s="4557" t="s">
        <v>684</v>
      </c>
      <c r="AA355" s="2155" t="s">
        <v>107</v>
      </c>
      <c r="AB355" s="1520" t="s">
        <v>1036</v>
      </c>
      <c r="AC355" s="1510">
        <v>30000</v>
      </c>
      <c r="AD355" s="1520" t="str">
        <f>AB355</f>
        <v>  Прочие собственные средства</v>
      </c>
      <c r="AE355" s="1510"/>
      <c r="AF355" s="2172"/>
      <c r="AG355" s="2100"/>
      <c r="AH355" s="2100"/>
      <c r="AI355" s="2172"/>
      <c r="AJ355" s="2100"/>
      <c r="AK355" s="2328"/>
      <c r="AL355" s="2329"/>
      <c r="AM355" s="2164"/>
      <c r="AN355" s="2164"/>
      <c r="AO355" s="2164"/>
      <c r="AP355" s="2164"/>
      <c r="AQ355" s="2164"/>
      <c r="AR355" s="2164"/>
      <c r="AS355" s="2164"/>
      <c r="AT355" s="2164"/>
      <c r="AU355" s="2164"/>
      <c r="AV355" s="2164"/>
      <c r="AW355" s="2164"/>
      <c r="AX355" s="2164"/>
      <c r="AY355" s="2164"/>
      <c r="AZ355" s="2164"/>
      <c r="BA355" s="2164"/>
      <c r="BB355" s="2164"/>
      <c r="BC355" s="2164"/>
      <c r="BD355" s="2164"/>
      <c r="BE355" s="2164"/>
      <c r="BF355" s="2164"/>
      <c r="BG355" s="4573"/>
    </row>
    <row customHeight="1" ht="11.25">
      <c r="A356" s="1507" t="s">
        <v>990</v>
      </c>
      <c r="B356" s="1507"/>
      <c r="C356" s="1507"/>
      <c r="D356" s="1501"/>
      <c r="E356" s="1511"/>
      <c r="F356" s="2170"/>
      <c r="G356" s="2171"/>
      <c r="H356" s="2856" t="s">
        <v>147</v>
      </c>
      <c r="I356" s="2857"/>
      <c r="J356" s="4694"/>
      <c r="K356" s="2858"/>
      <c r="L356" s="2448"/>
      <c r="M356" s="2449"/>
      <c r="N356" s="2849"/>
      <c r="O356" s="2850"/>
      <c r="P356" s="2853"/>
      <c r="Q356" s="4672"/>
      <c r="R356" s="2854"/>
      <c r="S356" s="2855"/>
      <c r="T356" s="2854"/>
      <c r="U356" s="2854"/>
      <c r="V356" s="2854"/>
      <c r="W356" s="2854"/>
      <c r="X356" s="2854"/>
      <c r="Y356" s="2854"/>
      <c r="Z356" s="1516"/>
      <c r="AA356" s="1517"/>
      <c r="AB356" s="1582" t="s">
        <v>1037</v>
      </c>
      <c r="AC356" s="1521"/>
      <c r="AD356" s="1521"/>
      <c r="AE356" s="1523"/>
      <c r="AF356" s="2847"/>
      <c r="AG356" s="2848"/>
      <c r="AH356" s="2848"/>
      <c r="AI356" s="2847"/>
      <c r="AJ356" s="2848"/>
      <c r="AK356" s="2848"/>
      <c r="AL356" s="2329"/>
      <c r="AM356" s="2164"/>
      <c r="AN356" s="2164"/>
      <c r="AO356" s="2164"/>
      <c r="AP356" s="2164"/>
      <c r="AQ356" s="2164"/>
      <c r="AR356" s="2164"/>
      <c r="AS356" s="2164"/>
      <c r="AT356" s="2164"/>
      <c r="AU356" s="2164"/>
      <c r="AV356" s="2164"/>
      <c r="AW356" s="2164"/>
      <c r="AX356" s="2164"/>
      <c r="AY356" s="2164"/>
      <c r="AZ356" s="2164"/>
      <c r="BA356" s="2164"/>
      <c r="BB356" s="2164"/>
      <c r="BC356" s="2164"/>
      <c r="BD356" s="2164"/>
      <c r="BE356" s="2164"/>
      <c r="BF356" s="2164"/>
      <c r="BG356" s="4573"/>
    </row>
    <row customHeight="1" ht="11.25">
      <c r="A357" s="1507" t="s">
        <v>990</v>
      </c>
      <c r="B357" s="1507"/>
      <c r="C357" s="1507"/>
      <c r="D357" s="1501"/>
      <c r="E357" s="1511"/>
      <c r="F357" s="2170"/>
      <c r="G357" s="2171"/>
      <c r="H357" s="2856" t="s">
        <v>147</v>
      </c>
      <c r="I357" s="2857"/>
      <c r="J357" s="4694"/>
      <c r="K357" s="2858"/>
      <c r="L357" s="2448"/>
      <c r="M357" s="2449"/>
      <c r="N357" s="1516"/>
      <c r="O357" s="1517"/>
      <c r="P357" s="1509" t="s">
        <v>1038</v>
      </c>
      <c r="Q357" s="1517"/>
      <c r="R357" s="1517"/>
      <c r="S357" s="1517"/>
      <c r="T357" s="1517"/>
      <c r="U357" s="1517"/>
      <c r="V357" s="1517"/>
      <c r="W357" s="1517"/>
      <c r="X357" s="1517"/>
      <c r="Y357" s="1517"/>
      <c r="Z357" s="1517"/>
      <c r="AA357" s="1517"/>
      <c r="AB357" s="1517"/>
      <c r="AC357" s="1517"/>
      <c r="AD357" s="1517"/>
      <c r="AE357" s="1524"/>
      <c r="AF357" s="2847"/>
      <c r="AG357" s="2848"/>
      <c r="AH357" s="2848"/>
      <c r="AI357" s="2847"/>
      <c r="AJ357" s="2848"/>
      <c r="AK357" s="2848"/>
      <c r="AL357" s="2329"/>
      <c r="AM357" s="2164"/>
      <c r="AN357" s="2164"/>
      <c r="AO357" s="2164"/>
      <c r="AP357" s="2164"/>
      <c r="AQ357" s="2164"/>
      <c r="AR357" s="2164"/>
      <c r="AS357" s="2164"/>
      <c r="AT357" s="2164"/>
      <c r="AU357" s="2164"/>
      <c r="AV357" s="2164"/>
      <c r="AW357" s="2164"/>
      <c r="AX357" s="2164"/>
      <c r="AY357" s="2164"/>
      <c r="AZ357" s="2164"/>
      <c r="BA357" s="2164"/>
      <c r="BB357" s="2164"/>
      <c r="BC357" s="2164"/>
      <c r="BD357" s="2164"/>
      <c r="BE357" s="2164"/>
      <c r="BF357" s="2164"/>
      <c r="BG357" s="4573"/>
    </row>
    <row customHeight="1" ht="11.25">
      <c r="A358" s="1507" t="s">
        <v>990</v>
      </c>
      <c r="B358" s="1507" t="s">
        <v>1022</v>
      </c>
      <c r="C358" s="1507"/>
      <c r="D358" s="1501"/>
      <c r="E358" s="1511"/>
      <c r="F358" s="2170"/>
      <c r="G358" s="4557" t="s">
        <v>684</v>
      </c>
      <c r="H358" s="2856" t="s">
        <v>149</v>
      </c>
      <c r="I358" s="2857" t="s">
        <v>1023</v>
      </c>
      <c r="J358" s="2826" t="s">
        <v>1024</v>
      </c>
      <c r="K358" s="2858" t="s">
        <v>1182</v>
      </c>
      <c r="L358" s="2448" t="s">
        <v>19</v>
      </c>
      <c r="M358" s="2449"/>
      <c r="N358" s="2327"/>
      <c r="O358" s="1518" t="s">
        <v>371</v>
      </c>
      <c r="P358" s="1519"/>
      <c r="Q358" s="1519"/>
      <c r="R358" s="1519"/>
      <c r="S358" s="1519"/>
      <c r="T358" s="1519"/>
      <c r="U358" s="1519"/>
      <c r="V358" s="1519"/>
      <c r="W358" s="1519"/>
      <c r="X358" s="1519"/>
      <c r="Y358" s="1519"/>
      <c r="Z358" s="1519"/>
      <c r="AA358" s="1519"/>
      <c r="AB358" s="1519"/>
      <c r="AC358" s="1519"/>
      <c r="AD358" s="1519"/>
      <c r="AE358" s="1519"/>
      <c r="AF358" s="2847">
        <v>1</v>
      </c>
      <c r="AG358" s="2848" t="s">
        <v>1026</v>
      </c>
      <c r="AH358" s="2848" t="s">
        <v>1053</v>
      </c>
      <c r="AI358" s="2847"/>
      <c r="AJ358" s="2848"/>
      <c r="AK358" s="2848"/>
      <c r="AL358" s="2329"/>
      <c r="AM358" s="2164"/>
      <c r="AN358" s="2164"/>
      <c r="AO358" s="2164"/>
      <c r="AP358" s="2164"/>
      <c r="AQ358" s="2164"/>
      <c r="AR358" s="2164"/>
      <c r="AS358" s="2164"/>
      <c r="AT358" s="2164"/>
      <c r="AU358" s="2164"/>
      <c r="AV358" s="2164"/>
      <c r="AW358" s="2164"/>
      <c r="AX358" s="2164"/>
      <c r="AY358" s="2164"/>
      <c r="AZ358" s="2164"/>
      <c r="BA358" s="2164"/>
      <c r="BB358" s="2164"/>
      <c r="BC358" s="2164"/>
      <c r="BD358" s="2164"/>
      <c r="BE358" s="2164"/>
      <c r="BF358" s="2164"/>
      <c r="BG358" s="4573"/>
    </row>
    <row customHeight="1" ht="11.25">
      <c r="A359" s="1507" t="s">
        <v>990</v>
      </c>
      <c r="B359" s="1507"/>
      <c r="C359" s="1507"/>
      <c r="D359" s="1501"/>
      <c r="E359" s="1511"/>
      <c r="F359" s="2170"/>
      <c r="G359" s="2171"/>
      <c r="H359" s="2856" t="s">
        <v>148</v>
      </c>
      <c r="I359" s="2857"/>
      <c r="J359" s="2826"/>
      <c r="K359" s="2858"/>
      <c r="L359" s="2448"/>
      <c r="M359" s="2449"/>
      <c r="N359" s="2849"/>
      <c r="O359" s="2850">
        <v>1</v>
      </c>
      <c r="P359" s="2851" t="s">
        <v>65</v>
      </c>
      <c r="Q359" s="4672" t="s">
        <v>1073</v>
      </c>
      <c r="R359" s="4673" t="s">
        <v>1042</v>
      </c>
      <c r="S359" s="4673" t="s">
        <v>1074</v>
      </c>
      <c r="T359" s="4673" t="s">
        <v>1075</v>
      </c>
      <c r="U359" s="4673" t="s">
        <v>1076</v>
      </c>
      <c r="V359" s="4673" t="s">
        <v>1077</v>
      </c>
      <c r="W359" s="4673" t="s">
        <v>1078</v>
      </c>
      <c r="X359" s="4673" t="s">
        <v>1079</v>
      </c>
      <c r="Y359" s="4673" t="s">
        <v>107</v>
      </c>
      <c r="Z359" s="1516"/>
      <c r="AA359" s="1517"/>
      <c r="AB359" s="1517"/>
      <c r="AC359" s="1521"/>
      <c r="AD359" s="1521"/>
      <c r="AE359" s="1522"/>
      <c r="AF359" s="2847"/>
      <c r="AG359" s="2848"/>
      <c r="AH359" s="2848"/>
      <c r="AI359" s="2847"/>
      <c r="AJ359" s="2848"/>
      <c r="AK359" s="2848"/>
      <c r="AL359" s="2329"/>
      <c r="AM359" s="2164"/>
      <c r="AN359" s="2164"/>
      <c r="AO359" s="2164"/>
      <c r="AP359" s="2164"/>
      <c r="AQ359" s="2164"/>
      <c r="AR359" s="2164"/>
      <c r="AS359" s="2164"/>
      <c r="AT359" s="2164"/>
      <c r="AU359" s="2164"/>
      <c r="AV359" s="2164"/>
      <c r="AW359" s="2164"/>
      <c r="AX359" s="2164"/>
      <c r="AY359" s="2164"/>
      <c r="AZ359" s="2164"/>
      <c r="BA359" s="2164"/>
      <c r="BB359" s="2164"/>
      <c r="BC359" s="2164"/>
      <c r="BD359" s="2164"/>
      <c r="BE359" s="2164"/>
      <c r="BF359" s="2164"/>
      <c r="BG359" s="4573"/>
    </row>
    <row customHeight="1" ht="11.25">
      <c r="A360" s="1507" t="s">
        <v>990</v>
      </c>
      <c r="B360" s="1507"/>
      <c r="C360" s="1507"/>
      <c r="D360" s="1501"/>
      <c r="E360" s="1511"/>
      <c r="F360" s="2170"/>
      <c r="G360" s="2171"/>
      <c r="H360" s="2856" t="s">
        <v>148</v>
      </c>
      <c r="I360" s="2857"/>
      <c r="J360" s="2826"/>
      <c r="K360" s="2858"/>
      <c r="L360" s="2448"/>
      <c r="M360" s="2449"/>
      <c r="N360" s="2849"/>
      <c r="O360" s="2850"/>
      <c r="P360" s="2852"/>
      <c r="Q360" s="4672"/>
      <c r="R360" s="2854"/>
      <c r="S360" s="2855"/>
      <c r="T360" s="2854"/>
      <c r="U360" s="2854"/>
      <c r="V360" s="2854"/>
      <c r="W360" s="2854"/>
      <c r="X360" s="2854"/>
      <c r="Y360" s="2854"/>
      <c r="Z360" s="2169"/>
      <c r="AA360" s="2135">
        <v>1</v>
      </c>
      <c r="AB360" s="1520" t="s">
        <v>1035</v>
      </c>
      <c r="AC360" s="1510">
        <v>1708.56884</v>
      </c>
      <c r="AD360" s="1520" t="str">
        <f>AB360</f>
        <v>      Амортизационные отчисления с выделением результатов переоценки основных средств и нематериальных активов</v>
      </c>
      <c r="AE360" s="1510"/>
      <c r="AF360" s="2847"/>
      <c r="AG360" s="2848"/>
      <c r="AH360" s="2848"/>
      <c r="AI360" s="2847"/>
      <c r="AJ360" s="2848"/>
      <c r="AK360" s="2848"/>
      <c r="AL360" s="2329"/>
      <c r="AM360" s="2164"/>
      <c r="AN360" s="2164"/>
      <c r="AO360" s="2164"/>
      <c r="AP360" s="2164"/>
      <c r="AQ360" s="2164"/>
      <c r="AR360" s="2164"/>
      <c r="AS360" s="2164"/>
      <c r="AT360" s="2164"/>
      <c r="AU360" s="2164"/>
      <c r="AV360" s="2164"/>
      <c r="AW360" s="2164"/>
      <c r="AX360" s="2164"/>
      <c r="AY360" s="2164"/>
      <c r="AZ360" s="2164"/>
      <c r="BA360" s="2164"/>
      <c r="BB360" s="2164"/>
      <c r="BC360" s="2164"/>
      <c r="BD360" s="2164"/>
      <c r="BE360" s="2164"/>
      <c r="BF360" s="2164"/>
      <c r="BG360" s="4573"/>
    </row>
    <row customHeight="1" ht="11.25">
      <c r="A361" s="1507" t="s">
        <v>990</v>
      </c>
      <c r="B361" s="1507"/>
      <c r="C361" s="1507"/>
      <c r="D361" s="1501"/>
      <c r="E361" s="1511"/>
      <c r="F361" s="2171"/>
      <c r="G361" s="2171"/>
      <c r="H361" s="2171"/>
      <c r="I361" s="2171"/>
      <c r="J361" s="2171"/>
      <c r="K361" s="2171"/>
      <c r="L361" s="2171"/>
      <c r="M361" s="2171"/>
      <c r="N361" s="2171"/>
      <c r="O361" s="2171"/>
      <c r="P361" s="2171"/>
      <c r="Q361" s="2171"/>
      <c r="R361" s="2171"/>
      <c r="S361" s="2171"/>
      <c r="T361" s="2171"/>
      <c r="U361" s="2171"/>
      <c r="V361" s="2171"/>
      <c r="W361" s="2171"/>
      <c r="X361" s="2171"/>
      <c r="Y361" s="2171"/>
      <c r="Z361" s="4557" t="s">
        <v>684</v>
      </c>
      <c r="AA361" s="2155" t="s">
        <v>107</v>
      </c>
      <c r="AB361" s="1520" t="s">
        <v>1036</v>
      </c>
      <c r="AC361" s="1510">
        <v>341.713768</v>
      </c>
      <c r="AD361" s="1520" t="str">
        <f>AB361</f>
        <v>  Прочие собственные средства</v>
      </c>
      <c r="AE361" s="1510"/>
      <c r="AF361" s="2172"/>
      <c r="AG361" s="2100"/>
      <c r="AH361" s="2100"/>
      <c r="AI361" s="2172"/>
      <c r="AJ361" s="2100"/>
      <c r="AK361" s="2328"/>
      <c r="AL361" s="2329"/>
      <c r="AM361" s="2164"/>
      <c r="AN361" s="2164"/>
      <c r="AO361" s="2164"/>
      <c r="AP361" s="2164"/>
      <c r="AQ361" s="2164"/>
      <c r="AR361" s="2164"/>
      <c r="AS361" s="2164"/>
      <c r="AT361" s="2164"/>
      <c r="AU361" s="2164"/>
      <c r="AV361" s="2164"/>
      <c r="AW361" s="2164"/>
      <c r="AX361" s="2164"/>
      <c r="AY361" s="2164"/>
      <c r="AZ361" s="2164"/>
      <c r="BA361" s="2164"/>
      <c r="BB361" s="2164"/>
      <c r="BC361" s="2164"/>
      <c r="BD361" s="2164"/>
      <c r="BE361" s="2164"/>
      <c r="BF361" s="2164"/>
      <c r="BG361" s="4573"/>
    </row>
    <row customHeight="1" ht="11.25">
      <c r="A362" s="1507" t="s">
        <v>990</v>
      </c>
      <c r="B362" s="1507"/>
      <c r="C362" s="1507"/>
      <c r="D362" s="1501"/>
      <c r="E362" s="1511"/>
      <c r="F362" s="2170"/>
      <c r="G362" s="2171"/>
      <c r="H362" s="2856" t="s">
        <v>148</v>
      </c>
      <c r="I362" s="2857"/>
      <c r="J362" s="2826"/>
      <c r="K362" s="2858"/>
      <c r="L362" s="2448"/>
      <c r="M362" s="2449"/>
      <c r="N362" s="2849"/>
      <c r="O362" s="2850"/>
      <c r="P362" s="2853"/>
      <c r="Q362" s="4672"/>
      <c r="R362" s="2854"/>
      <c r="S362" s="2855"/>
      <c r="T362" s="2854"/>
      <c r="U362" s="2854"/>
      <c r="V362" s="2854"/>
      <c r="W362" s="2854"/>
      <c r="X362" s="2854"/>
      <c r="Y362" s="2854"/>
      <c r="Z362" s="1516"/>
      <c r="AA362" s="1517"/>
      <c r="AB362" s="1582" t="s">
        <v>1037</v>
      </c>
      <c r="AC362" s="1521"/>
      <c r="AD362" s="1521"/>
      <c r="AE362" s="1523"/>
      <c r="AF362" s="2847"/>
      <c r="AG362" s="2848"/>
      <c r="AH362" s="2848"/>
      <c r="AI362" s="2847"/>
      <c r="AJ362" s="2848"/>
      <c r="AK362" s="2848"/>
      <c r="AL362" s="2329"/>
      <c r="AM362" s="2164"/>
      <c r="AN362" s="2164"/>
      <c r="AO362" s="2164"/>
      <c r="AP362" s="2164"/>
      <c r="AQ362" s="2164"/>
      <c r="AR362" s="2164"/>
      <c r="AS362" s="2164"/>
      <c r="AT362" s="2164"/>
      <c r="AU362" s="2164"/>
      <c r="AV362" s="2164"/>
      <c r="AW362" s="2164"/>
      <c r="AX362" s="2164"/>
      <c r="AY362" s="2164"/>
      <c r="AZ362" s="2164"/>
      <c r="BA362" s="2164"/>
      <c r="BB362" s="2164"/>
      <c r="BC362" s="2164"/>
      <c r="BD362" s="2164"/>
      <c r="BE362" s="2164"/>
      <c r="BF362" s="2164"/>
      <c r="BG362" s="4573"/>
    </row>
    <row customHeight="1" ht="11.25">
      <c r="A363" s="1507" t="s">
        <v>990</v>
      </c>
      <c r="B363" s="1507"/>
      <c r="C363" s="1507"/>
      <c r="D363" s="1501"/>
      <c r="E363" s="1511"/>
      <c r="F363" s="2170"/>
      <c r="G363" s="2171"/>
      <c r="H363" s="2856" t="s">
        <v>148</v>
      </c>
      <c r="I363" s="2857"/>
      <c r="J363" s="2826"/>
      <c r="K363" s="2858"/>
      <c r="L363" s="2448"/>
      <c r="M363" s="2449"/>
      <c r="N363" s="1516"/>
      <c r="O363" s="1517"/>
      <c r="P363" s="1509" t="s">
        <v>1038</v>
      </c>
      <c r="Q363" s="1517"/>
      <c r="R363" s="1517"/>
      <c r="S363" s="1517"/>
      <c r="T363" s="1517"/>
      <c r="U363" s="1517"/>
      <c r="V363" s="1517"/>
      <c r="W363" s="1517"/>
      <c r="X363" s="1517"/>
      <c r="Y363" s="1517"/>
      <c r="Z363" s="1517"/>
      <c r="AA363" s="1517"/>
      <c r="AB363" s="1517"/>
      <c r="AC363" s="1517"/>
      <c r="AD363" s="1517"/>
      <c r="AE363" s="1524"/>
      <c r="AF363" s="2847"/>
      <c r="AG363" s="2848"/>
      <c r="AH363" s="2848"/>
      <c r="AI363" s="2847"/>
      <c r="AJ363" s="2848"/>
      <c r="AK363" s="2848"/>
      <c r="AL363" s="2329"/>
      <c r="AM363" s="2164"/>
      <c r="AN363" s="2164"/>
      <c r="AO363" s="2164"/>
      <c r="AP363" s="2164"/>
      <c r="AQ363" s="2164"/>
      <c r="AR363" s="2164"/>
      <c r="AS363" s="2164"/>
      <c r="AT363" s="2164"/>
      <c r="AU363" s="2164"/>
      <c r="AV363" s="2164"/>
      <c r="AW363" s="2164"/>
      <c r="AX363" s="2164"/>
      <c r="AY363" s="2164"/>
      <c r="AZ363" s="2164"/>
      <c r="BA363" s="2164"/>
      <c r="BB363" s="2164"/>
      <c r="BC363" s="2164"/>
      <c r="BD363" s="2164"/>
      <c r="BE363" s="2164"/>
      <c r="BF363" s="2164"/>
      <c r="BG363" s="4573"/>
    </row>
    <row customHeight="1" ht="11.25">
      <c r="A364" s="1507" t="s">
        <v>990</v>
      </c>
      <c r="B364" s="1507" t="s">
        <v>22</v>
      </c>
      <c r="C364" s="1507"/>
      <c r="D364" s="1501"/>
      <c r="E364" s="1511"/>
      <c r="F364" s="2170"/>
      <c r="G364" s="4557" t="s">
        <v>684</v>
      </c>
      <c r="H364" s="2856" t="s">
        <v>150</v>
      </c>
      <c r="I364" s="2857" t="s">
        <v>1147</v>
      </c>
      <c r="J364" s="4694" t="s">
        <v>22</v>
      </c>
      <c r="K364" s="2858" t="s">
        <v>1183</v>
      </c>
      <c r="L364" s="2448" t="s">
        <v>19</v>
      </c>
      <c r="M364" s="2449"/>
      <c r="N364" s="2327"/>
      <c r="O364" s="1518" t="s">
        <v>371</v>
      </c>
      <c r="P364" s="1519"/>
      <c r="Q364" s="1519"/>
      <c r="R364" s="1519"/>
      <c r="S364" s="1519"/>
      <c r="T364" s="1519"/>
      <c r="U364" s="1519"/>
      <c r="V364" s="1519"/>
      <c r="W364" s="1519"/>
      <c r="X364" s="1519"/>
      <c r="Y364" s="1519"/>
      <c r="Z364" s="1519"/>
      <c r="AA364" s="1519"/>
      <c r="AB364" s="1519"/>
      <c r="AC364" s="1519"/>
      <c r="AD364" s="1519"/>
      <c r="AE364" s="1519"/>
      <c r="AF364" s="2847">
        <v>1</v>
      </c>
      <c r="AG364" s="2848" t="s">
        <v>1026</v>
      </c>
      <c r="AH364" s="2848" t="s">
        <v>1053</v>
      </c>
      <c r="AI364" s="2847"/>
      <c r="AJ364" s="2848"/>
      <c r="AK364" s="2848"/>
      <c r="AL364" s="2329"/>
      <c r="AM364" s="2164"/>
      <c r="AN364" s="2164"/>
      <c r="AO364" s="2164"/>
      <c r="AP364" s="2164"/>
      <c r="AQ364" s="2164"/>
      <c r="AR364" s="2164"/>
      <c r="AS364" s="2164"/>
      <c r="AT364" s="2164"/>
      <c r="AU364" s="2164"/>
      <c r="AV364" s="2164"/>
      <c r="AW364" s="2164"/>
      <c r="AX364" s="2164"/>
      <c r="AY364" s="2164"/>
      <c r="AZ364" s="2164"/>
      <c r="BA364" s="2164"/>
      <c r="BB364" s="2164"/>
      <c r="BC364" s="2164"/>
      <c r="BD364" s="2164"/>
      <c r="BE364" s="2164"/>
      <c r="BF364" s="2164"/>
      <c r="BG364" s="4573"/>
    </row>
    <row customHeight="1" ht="11.25">
      <c r="A365" s="1507" t="s">
        <v>990</v>
      </c>
      <c r="B365" s="1507"/>
      <c r="C365" s="1507"/>
      <c r="D365" s="1501"/>
      <c r="E365" s="1511"/>
      <c r="F365" s="2170"/>
      <c r="G365" s="2171"/>
      <c r="H365" s="2856" t="s">
        <v>149</v>
      </c>
      <c r="I365" s="2857"/>
      <c r="J365" s="4694"/>
      <c r="K365" s="2858"/>
      <c r="L365" s="2448"/>
      <c r="M365" s="2449"/>
      <c r="N365" s="2849"/>
      <c r="O365" s="2850">
        <v>1</v>
      </c>
      <c r="P365" s="2851" t="s">
        <v>65</v>
      </c>
      <c r="Q365" s="4672" t="s">
        <v>1082</v>
      </c>
      <c r="R365" s="4673" t="s">
        <v>1083</v>
      </c>
      <c r="S365" s="4673" t="s">
        <v>1074</v>
      </c>
      <c r="T365" s="4673" t="s">
        <v>1075</v>
      </c>
      <c r="U365" s="4673" t="s">
        <v>1076</v>
      </c>
      <c r="V365" s="4673" t="s">
        <v>1077</v>
      </c>
      <c r="W365" s="4673" t="s">
        <v>1078</v>
      </c>
      <c r="X365" s="4673" t="s">
        <v>1084</v>
      </c>
      <c r="Y365" s="4673" t="s">
        <v>371</v>
      </c>
      <c r="Z365" s="1516"/>
      <c r="AA365" s="1517"/>
      <c r="AB365" s="1517"/>
      <c r="AC365" s="1521"/>
      <c r="AD365" s="1521"/>
      <c r="AE365" s="1522"/>
      <c r="AF365" s="2847"/>
      <c r="AG365" s="2848"/>
      <c r="AH365" s="2848"/>
      <c r="AI365" s="2847"/>
      <c r="AJ365" s="2848"/>
      <c r="AK365" s="2848"/>
      <c r="AL365" s="2329"/>
      <c r="AM365" s="2164"/>
      <c r="AN365" s="2164"/>
      <c r="AO365" s="2164"/>
      <c r="AP365" s="2164"/>
      <c r="AQ365" s="2164"/>
      <c r="AR365" s="2164"/>
      <c r="AS365" s="2164"/>
      <c r="AT365" s="2164"/>
      <c r="AU365" s="2164"/>
      <c r="AV365" s="2164"/>
      <c r="AW365" s="2164"/>
      <c r="AX365" s="2164"/>
      <c r="AY365" s="2164"/>
      <c r="AZ365" s="2164"/>
      <c r="BA365" s="2164"/>
      <c r="BB365" s="2164"/>
      <c r="BC365" s="2164"/>
      <c r="BD365" s="2164"/>
      <c r="BE365" s="2164"/>
      <c r="BF365" s="2164"/>
      <c r="BG365" s="4573"/>
    </row>
    <row customHeight="1" ht="11.25">
      <c r="A366" s="1507" t="s">
        <v>990</v>
      </c>
      <c r="B366" s="1507"/>
      <c r="C366" s="1507"/>
      <c r="D366" s="1501"/>
      <c r="E366" s="1511"/>
      <c r="F366" s="2170"/>
      <c r="G366" s="2171"/>
      <c r="H366" s="2856" t="s">
        <v>149</v>
      </c>
      <c r="I366" s="2857"/>
      <c r="J366" s="4694"/>
      <c r="K366" s="2858"/>
      <c r="L366" s="2448"/>
      <c r="M366" s="2449"/>
      <c r="N366" s="2849"/>
      <c r="O366" s="2850"/>
      <c r="P366" s="2852"/>
      <c r="Q366" s="4672"/>
      <c r="R366" s="2854"/>
      <c r="S366" s="2855"/>
      <c r="T366" s="2854"/>
      <c r="U366" s="2854"/>
      <c r="V366" s="2854"/>
      <c r="W366" s="2854"/>
      <c r="X366" s="2854"/>
      <c r="Y366" s="2854"/>
      <c r="Z366" s="2169"/>
      <c r="AA366" s="2135">
        <v>1</v>
      </c>
      <c r="AB366" s="1520" t="s">
        <v>1035</v>
      </c>
      <c r="AC366" s="1510">
        <v>7202.44</v>
      </c>
      <c r="AD366" s="1520" t="str">
        <f>AB366</f>
        <v>      Амортизационные отчисления с выделением результатов переоценки основных средств и нематериальных активов</v>
      </c>
      <c r="AE366" s="1510"/>
      <c r="AF366" s="2847"/>
      <c r="AG366" s="2848"/>
      <c r="AH366" s="2848"/>
      <c r="AI366" s="2847"/>
      <c r="AJ366" s="2848"/>
      <c r="AK366" s="2848"/>
      <c r="AL366" s="2329"/>
      <c r="AM366" s="2164"/>
      <c r="AN366" s="2164"/>
      <c r="AO366" s="2164"/>
      <c r="AP366" s="2164"/>
      <c r="AQ366" s="2164"/>
      <c r="AR366" s="2164"/>
      <c r="AS366" s="2164"/>
      <c r="AT366" s="2164"/>
      <c r="AU366" s="2164"/>
      <c r="AV366" s="2164"/>
      <c r="AW366" s="2164"/>
      <c r="AX366" s="2164"/>
      <c r="AY366" s="2164"/>
      <c r="AZ366" s="2164"/>
      <c r="BA366" s="2164"/>
      <c r="BB366" s="2164"/>
      <c r="BC366" s="2164"/>
      <c r="BD366" s="2164"/>
      <c r="BE366" s="2164"/>
      <c r="BF366" s="2164"/>
      <c r="BG366" s="4573"/>
    </row>
    <row customHeight="1" ht="11.25">
      <c r="A367" s="1507" t="s">
        <v>990</v>
      </c>
      <c r="B367" s="1507"/>
      <c r="C367" s="1507"/>
      <c r="D367" s="1501"/>
      <c r="E367" s="1511"/>
      <c r="F367" s="2171"/>
      <c r="G367" s="2171"/>
      <c r="H367" s="2171"/>
      <c r="I367" s="2171"/>
      <c r="J367" s="2171"/>
      <c r="K367" s="2171"/>
      <c r="L367" s="2171"/>
      <c r="M367" s="2171"/>
      <c r="N367" s="2171"/>
      <c r="O367" s="2171"/>
      <c r="P367" s="2171"/>
      <c r="Q367" s="2171"/>
      <c r="R367" s="2171"/>
      <c r="S367" s="2171"/>
      <c r="T367" s="2171"/>
      <c r="U367" s="2171"/>
      <c r="V367" s="2171"/>
      <c r="W367" s="2171"/>
      <c r="X367" s="2171"/>
      <c r="Y367" s="2171"/>
      <c r="Z367" s="4557" t="s">
        <v>684</v>
      </c>
      <c r="AA367" s="2155" t="s">
        <v>107</v>
      </c>
      <c r="AB367" s="1520" t="s">
        <v>1036</v>
      </c>
      <c r="AC367" s="1510">
        <v>1440.488</v>
      </c>
      <c r="AD367" s="1520" t="str">
        <f>AB367</f>
        <v>  Прочие собственные средства</v>
      </c>
      <c r="AE367" s="1510"/>
      <c r="AF367" s="2172"/>
      <c r="AG367" s="2100"/>
      <c r="AH367" s="2100"/>
      <c r="AI367" s="2172"/>
      <c r="AJ367" s="2100"/>
      <c r="AK367" s="2328"/>
      <c r="AL367" s="2329"/>
      <c r="AM367" s="2164"/>
      <c r="AN367" s="2164"/>
      <c r="AO367" s="2164"/>
      <c r="AP367" s="2164"/>
      <c r="AQ367" s="2164"/>
      <c r="AR367" s="2164"/>
      <c r="AS367" s="2164"/>
      <c r="AT367" s="2164"/>
      <c r="AU367" s="2164"/>
      <c r="AV367" s="2164"/>
      <c r="AW367" s="2164"/>
      <c r="AX367" s="2164"/>
      <c r="AY367" s="2164"/>
      <c r="AZ367" s="2164"/>
      <c r="BA367" s="2164"/>
      <c r="BB367" s="2164"/>
      <c r="BC367" s="2164"/>
      <c r="BD367" s="2164"/>
      <c r="BE367" s="2164"/>
      <c r="BF367" s="2164"/>
      <c r="BG367" s="4573"/>
    </row>
    <row customHeight="1" ht="11.25">
      <c r="A368" s="1507" t="s">
        <v>990</v>
      </c>
      <c r="B368" s="1507"/>
      <c r="C368" s="1507"/>
      <c r="D368" s="1501"/>
      <c r="E368" s="1511"/>
      <c r="F368" s="2170"/>
      <c r="G368" s="2171"/>
      <c r="H368" s="2856" t="s">
        <v>149</v>
      </c>
      <c r="I368" s="2857"/>
      <c r="J368" s="4694"/>
      <c r="K368" s="2858"/>
      <c r="L368" s="2448"/>
      <c r="M368" s="2449"/>
      <c r="N368" s="2849"/>
      <c r="O368" s="2850"/>
      <c r="P368" s="2853"/>
      <c r="Q368" s="4672"/>
      <c r="R368" s="2854"/>
      <c r="S368" s="2855"/>
      <c r="T368" s="2854"/>
      <c r="U368" s="2854"/>
      <c r="V368" s="2854"/>
      <c r="W368" s="2854"/>
      <c r="X368" s="2854"/>
      <c r="Y368" s="2854"/>
      <c r="Z368" s="1516"/>
      <c r="AA368" s="1517"/>
      <c r="AB368" s="1582" t="s">
        <v>1037</v>
      </c>
      <c r="AC368" s="1521"/>
      <c r="AD368" s="1521"/>
      <c r="AE368" s="1523"/>
      <c r="AF368" s="2847"/>
      <c r="AG368" s="2848"/>
      <c r="AH368" s="2848"/>
      <c r="AI368" s="2847"/>
      <c r="AJ368" s="2848"/>
      <c r="AK368" s="2848"/>
      <c r="AL368" s="2329"/>
      <c r="AM368" s="2164"/>
      <c r="AN368" s="2164"/>
      <c r="AO368" s="2164"/>
      <c r="AP368" s="2164"/>
      <c r="AQ368" s="2164"/>
      <c r="AR368" s="2164"/>
      <c r="AS368" s="2164"/>
      <c r="AT368" s="2164"/>
      <c r="AU368" s="2164"/>
      <c r="AV368" s="2164"/>
      <c r="AW368" s="2164"/>
      <c r="AX368" s="2164"/>
      <c r="AY368" s="2164"/>
      <c r="AZ368" s="2164"/>
      <c r="BA368" s="2164"/>
      <c r="BB368" s="2164"/>
      <c r="BC368" s="2164"/>
      <c r="BD368" s="2164"/>
      <c r="BE368" s="2164"/>
      <c r="BF368" s="2164"/>
      <c r="BG368" s="4573"/>
    </row>
    <row customHeight="1" ht="11.25">
      <c r="A369" s="1507" t="s">
        <v>990</v>
      </c>
      <c r="B369" s="1507"/>
      <c r="C369" s="1507"/>
      <c r="D369" s="1501"/>
      <c r="E369" s="1511"/>
      <c r="F369" s="2170"/>
      <c r="G369" s="2171"/>
      <c r="H369" s="2856" t="s">
        <v>149</v>
      </c>
      <c r="I369" s="2857"/>
      <c r="J369" s="4694"/>
      <c r="K369" s="2858"/>
      <c r="L369" s="2448"/>
      <c r="M369" s="2449"/>
      <c r="N369" s="1516"/>
      <c r="O369" s="1517"/>
      <c r="P369" s="1509" t="s">
        <v>1038</v>
      </c>
      <c r="Q369" s="1517"/>
      <c r="R369" s="1517"/>
      <c r="S369" s="1517"/>
      <c r="T369" s="1517"/>
      <c r="U369" s="1517"/>
      <c r="V369" s="1517"/>
      <c r="W369" s="1517"/>
      <c r="X369" s="1517"/>
      <c r="Y369" s="1517"/>
      <c r="Z369" s="1517"/>
      <c r="AA369" s="1517"/>
      <c r="AB369" s="1517"/>
      <c r="AC369" s="1517"/>
      <c r="AD369" s="1517"/>
      <c r="AE369" s="1524"/>
      <c r="AF369" s="2847"/>
      <c r="AG369" s="2848"/>
      <c r="AH369" s="2848"/>
      <c r="AI369" s="2847"/>
      <c r="AJ369" s="2848"/>
      <c r="AK369" s="2848"/>
      <c r="AL369" s="2329"/>
      <c r="AM369" s="2164"/>
      <c r="AN369" s="2164"/>
      <c r="AO369" s="2164"/>
      <c r="AP369" s="2164"/>
      <c r="AQ369" s="2164"/>
      <c r="AR369" s="2164"/>
      <c r="AS369" s="2164"/>
      <c r="AT369" s="2164"/>
      <c r="AU369" s="2164"/>
      <c r="AV369" s="2164"/>
      <c r="AW369" s="2164"/>
      <c r="AX369" s="2164"/>
      <c r="AY369" s="2164"/>
      <c r="AZ369" s="2164"/>
      <c r="BA369" s="2164"/>
      <c r="BB369" s="2164"/>
      <c r="BC369" s="2164"/>
      <c r="BD369" s="2164"/>
      <c r="BE369" s="2164"/>
      <c r="BF369" s="2164"/>
      <c r="BG369" s="4573"/>
    </row>
    <row customHeight="1" ht="11.25">
      <c r="A370" s="1507" t="s">
        <v>990</v>
      </c>
      <c r="B370" s="1507" t="s">
        <v>22</v>
      </c>
      <c r="C370" s="1507"/>
      <c r="D370" s="1501"/>
      <c r="E370" s="1511"/>
      <c r="F370" s="2170"/>
      <c r="G370" s="4557" t="s">
        <v>684</v>
      </c>
      <c r="H370" s="2856" t="s">
        <v>1049</v>
      </c>
      <c r="I370" s="2857" t="s">
        <v>1096</v>
      </c>
      <c r="J370" s="4694" t="s">
        <v>22</v>
      </c>
      <c r="K370" s="2858" t="s">
        <v>1101</v>
      </c>
      <c r="L370" s="2448" t="s">
        <v>19</v>
      </c>
      <c r="M370" s="2449"/>
      <c r="N370" s="2327"/>
      <c r="O370" s="1518" t="s">
        <v>371</v>
      </c>
      <c r="P370" s="1519"/>
      <c r="Q370" s="1519"/>
      <c r="R370" s="1519"/>
      <c r="S370" s="1519"/>
      <c r="T370" s="1519"/>
      <c r="U370" s="1519"/>
      <c r="V370" s="1519"/>
      <c r="W370" s="1519"/>
      <c r="X370" s="1519"/>
      <c r="Y370" s="1519"/>
      <c r="Z370" s="1519"/>
      <c r="AA370" s="1519"/>
      <c r="AB370" s="1519"/>
      <c r="AC370" s="1519"/>
      <c r="AD370" s="1519"/>
      <c r="AE370" s="1519"/>
      <c r="AF370" s="2847">
        <v>2</v>
      </c>
      <c r="AG370" s="2848" t="s">
        <v>1026</v>
      </c>
      <c r="AH370" s="2848" t="s">
        <v>1053</v>
      </c>
      <c r="AI370" s="2847"/>
      <c r="AJ370" s="2848"/>
      <c r="AK370" s="2848"/>
      <c r="AL370" s="2329"/>
      <c r="AM370" s="2164"/>
      <c r="AN370" s="2164"/>
      <c r="AO370" s="2164"/>
      <c r="AP370" s="2164"/>
      <c r="AQ370" s="2164"/>
      <c r="AR370" s="2164"/>
      <c r="AS370" s="2164"/>
      <c r="AT370" s="2164"/>
      <c r="AU370" s="2164"/>
      <c r="AV370" s="2164"/>
      <c r="AW370" s="2164"/>
      <c r="AX370" s="2164"/>
      <c r="AY370" s="2164"/>
      <c r="AZ370" s="2164"/>
      <c r="BA370" s="2164"/>
      <c r="BB370" s="2164"/>
      <c r="BC370" s="2164"/>
      <c r="BD370" s="2164"/>
      <c r="BE370" s="2164"/>
      <c r="BF370" s="2164"/>
      <c r="BG370" s="4573"/>
    </row>
    <row customHeight="1" ht="11.25">
      <c r="A371" s="1507" t="s">
        <v>990</v>
      </c>
      <c r="B371" s="1507"/>
      <c r="C371" s="1507"/>
      <c r="D371" s="1501"/>
      <c r="E371" s="1511"/>
      <c r="F371" s="2170"/>
      <c r="G371" s="2171"/>
      <c r="H371" s="2856" t="s">
        <v>150</v>
      </c>
      <c r="I371" s="2857"/>
      <c r="J371" s="4694"/>
      <c r="K371" s="2858"/>
      <c r="L371" s="2448"/>
      <c r="M371" s="2449"/>
      <c r="N371" s="2849"/>
      <c r="O371" s="2850">
        <v>1</v>
      </c>
      <c r="P371" s="2851" t="s">
        <v>65</v>
      </c>
      <c r="Q371" s="4672" t="s">
        <v>1073</v>
      </c>
      <c r="R371" s="4673" t="s">
        <v>1042</v>
      </c>
      <c r="S371" s="4673" t="s">
        <v>1074</v>
      </c>
      <c r="T371" s="4673" t="s">
        <v>1075</v>
      </c>
      <c r="U371" s="4673" t="s">
        <v>1076</v>
      </c>
      <c r="V371" s="4673" t="s">
        <v>1077</v>
      </c>
      <c r="W371" s="4673" t="s">
        <v>1078</v>
      </c>
      <c r="X371" s="4673" t="s">
        <v>1079</v>
      </c>
      <c r="Y371" s="4673" t="s">
        <v>107</v>
      </c>
      <c r="Z371" s="1516"/>
      <c r="AA371" s="1517"/>
      <c r="AB371" s="1517"/>
      <c r="AC371" s="1521"/>
      <c r="AD371" s="1521"/>
      <c r="AE371" s="1522"/>
      <c r="AF371" s="2847"/>
      <c r="AG371" s="2848"/>
      <c r="AH371" s="2848"/>
      <c r="AI371" s="2847"/>
      <c r="AJ371" s="2848"/>
      <c r="AK371" s="2848"/>
      <c r="AL371" s="2329"/>
      <c r="AM371" s="2164"/>
      <c r="AN371" s="2164"/>
      <c r="AO371" s="2164"/>
      <c r="AP371" s="2164"/>
      <c r="AQ371" s="2164"/>
      <c r="AR371" s="2164"/>
      <c r="AS371" s="2164"/>
      <c r="AT371" s="2164"/>
      <c r="AU371" s="2164"/>
      <c r="AV371" s="2164"/>
      <c r="AW371" s="2164"/>
      <c r="AX371" s="2164"/>
      <c r="AY371" s="2164"/>
      <c r="AZ371" s="2164"/>
      <c r="BA371" s="2164"/>
      <c r="BB371" s="2164"/>
      <c r="BC371" s="2164"/>
      <c r="BD371" s="2164"/>
      <c r="BE371" s="2164"/>
      <c r="BF371" s="2164"/>
      <c r="BG371" s="4573"/>
    </row>
    <row customHeight="1" ht="11.25">
      <c r="A372" s="1507" t="s">
        <v>990</v>
      </c>
      <c r="B372" s="1507"/>
      <c r="C372" s="1507"/>
      <c r="D372" s="1501"/>
      <c r="E372" s="1511"/>
      <c r="F372" s="2170"/>
      <c r="G372" s="2171"/>
      <c r="H372" s="2856" t="s">
        <v>150</v>
      </c>
      <c r="I372" s="2857"/>
      <c r="J372" s="4694"/>
      <c r="K372" s="2858"/>
      <c r="L372" s="2448"/>
      <c r="M372" s="2449"/>
      <c r="N372" s="2849"/>
      <c r="O372" s="2850"/>
      <c r="P372" s="2852"/>
      <c r="Q372" s="4672"/>
      <c r="R372" s="2854"/>
      <c r="S372" s="2855"/>
      <c r="T372" s="2854"/>
      <c r="U372" s="2854"/>
      <c r="V372" s="2854"/>
      <c r="W372" s="2854"/>
      <c r="X372" s="2854"/>
      <c r="Y372" s="2854"/>
      <c r="Z372" s="2169"/>
      <c r="AA372" s="2135">
        <v>1</v>
      </c>
      <c r="AB372" s="1520" t="s">
        <v>1080</v>
      </c>
      <c r="AC372" s="1510">
        <v>5161.07727</v>
      </c>
      <c r="AD372" s="1520" t="str">
        <f>AB372</f>
        <v>  Кредиты</v>
      </c>
      <c r="AE372" s="1510"/>
      <c r="AF372" s="2847"/>
      <c r="AG372" s="2848"/>
      <c r="AH372" s="2848"/>
      <c r="AI372" s="2847"/>
      <c r="AJ372" s="2848"/>
      <c r="AK372" s="2848"/>
      <c r="AL372" s="2329"/>
      <c r="AM372" s="2164"/>
      <c r="AN372" s="2164"/>
      <c r="AO372" s="2164"/>
      <c r="AP372" s="2164"/>
      <c r="AQ372" s="2164"/>
      <c r="AR372" s="2164"/>
      <c r="AS372" s="2164"/>
      <c r="AT372" s="2164"/>
      <c r="AU372" s="2164"/>
      <c r="AV372" s="2164"/>
      <c r="AW372" s="2164"/>
      <c r="AX372" s="2164"/>
      <c r="AY372" s="2164"/>
      <c r="AZ372" s="2164"/>
      <c r="BA372" s="2164"/>
      <c r="BB372" s="2164"/>
      <c r="BC372" s="2164"/>
      <c r="BD372" s="2164"/>
      <c r="BE372" s="2164"/>
      <c r="BF372" s="2164"/>
      <c r="BG372" s="4573"/>
    </row>
    <row customHeight="1" ht="11.25">
      <c r="A373" s="1507" t="s">
        <v>990</v>
      </c>
      <c r="B373" s="1507"/>
      <c r="C373" s="1507"/>
      <c r="D373" s="1501"/>
      <c r="E373" s="1511"/>
      <c r="F373" s="2170"/>
      <c r="G373" s="2171"/>
      <c r="H373" s="2856" t="s">
        <v>150</v>
      </c>
      <c r="I373" s="2857"/>
      <c r="J373" s="4694"/>
      <c r="K373" s="2858"/>
      <c r="L373" s="2448"/>
      <c r="M373" s="2449"/>
      <c r="N373" s="2849"/>
      <c r="O373" s="2850"/>
      <c r="P373" s="2853"/>
      <c r="Q373" s="4672"/>
      <c r="R373" s="2854"/>
      <c r="S373" s="2855"/>
      <c r="T373" s="2854"/>
      <c r="U373" s="2854"/>
      <c r="V373" s="2854"/>
      <c r="W373" s="2854"/>
      <c r="X373" s="2854"/>
      <c r="Y373" s="2854"/>
      <c r="Z373" s="1516"/>
      <c r="AA373" s="1517"/>
      <c r="AB373" s="1582" t="s">
        <v>1037</v>
      </c>
      <c r="AC373" s="1521"/>
      <c r="AD373" s="1521"/>
      <c r="AE373" s="1523"/>
      <c r="AF373" s="2847"/>
      <c r="AG373" s="2848"/>
      <c r="AH373" s="2848"/>
      <c r="AI373" s="2847"/>
      <c r="AJ373" s="2848"/>
      <c r="AK373" s="2848"/>
      <c r="AL373" s="2329"/>
      <c r="AM373" s="2164"/>
      <c r="AN373" s="2164"/>
      <c r="AO373" s="2164"/>
      <c r="AP373" s="2164"/>
      <c r="AQ373" s="2164"/>
      <c r="AR373" s="2164"/>
      <c r="AS373" s="2164"/>
      <c r="AT373" s="2164"/>
      <c r="AU373" s="2164"/>
      <c r="AV373" s="2164"/>
      <c r="AW373" s="2164"/>
      <c r="AX373" s="2164"/>
      <c r="AY373" s="2164"/>
      <c r="AZ373" s="2164"/>
      <c r="BA373" s="2164"/>
      <c r="BB373" s="2164"/>
      <c r="BC373" s="2164"/>
      <c r="BD373" s="2164"/>
      <c r="BE373" s="2164"/>
      <c r="BF373" s="2164"/>
      <c r="BG373" s="4573"/>
    </row>
    <row customHeight="1" ht="11.25">
      <c r="A374" s="1507" t="s">
        <v>990</v>
      </c>
      <c r="B374" s="1507"/>
      <c r="C374" s="1507"/>
      <c r="D374" s="1501"/>
      <c r="E374" s="1511"/>
      <c r="F374" s="2170"/>
      <c r="G374" s="2171"/>
      <c r="H374" s="2856" t="s">
        <v>150</v>
      </c>
      <c r="I374" s="2857"/>
      <c r="J374" s="4694"/>
      <c r="K374" s="2858"/>
      <c r="L374" s="2448"/>
      <c r="M374" s="2449"/>
      <c r="N374" s="1516"/>
      <c r="O374" s="1517"/>
      <c r="P374" s="1509" t="s">
        <v>1038</v>
      </c>
      <c r="Q374" s="1517"/>
      <c r="R374" s="1517"/>
      <c r="S374" s="1517"/>
      <c r="T374" s="1517"/>
      <c r="U374" s="1517"/>
      <c r="V374" s="1517"/>
      <c r="W374" s="1517"/>
      <c r="X374" s="1517"/>
      <c r="Y374" s="1517"/>
      <c r="Z374" s="1517"/>
      <c r="AA374" s="1517"/>
      <c r="AB374" s="1517"/>
      <c r="AC374" s="1517"/>
      <c r="AD374" s="1517"/>
      <c r="AE374" s="1524"/>
      <c r="AF374" s="2847"/>
      <c r="AG374" s="2848"/>
      <c r="AH374" s="2848"/>
      <c r="AI374" s="2847"/>
      <c r="AJ374" s="2848"/>
      <c r="AK374" s="2848"/>
      <c r="AL374" s="2329"/>
      <c r="AM374" s="2164"/>
      <c r="AN374" s="2164"/>
      <c r="AO374" s="2164"/>
      <c r="AP374" s="2164"/>
      <c r="AQ374" s="2164"/>
      <c r="AR374" s="2164"/>
      <c r="AS374" s="2164"/>
      <c r="AT374" s="2164"/>
      <c r="AU374" s="2164"/>
      <c r="AV374" s="2164"/>
      <c r="AW374" s="2164"/>
      <c r="AX374" s="2164"/>
      <c r="AY374" s="2164"/>
      <c r="AZ374" s="2164"/>
      <c r="BA374" s="2164"/>
      <c r="BB374" s="2164"/>
      <c r="BC374" s="2164"/>
      <c r="BD374" s="2164"/>
      <c r="BE374" s="2164"/>
      <c r="BF374" s="2164"/>
      <c r="BG374" s="4573"/>
    </row>
    <row customHeight="1" ht="11.25">
      <c r="A375" s="1507" t="s">
        <v>990</v>
      </c>
      <c r="B375" s="1507" t="s">
        <v>1022</v>
      </c>
      <c r="C375" s="1507"/>
      <c r="D375" s="1501"/>
      <c r="E375" s="1511"/>
      <c r="F375" s="2170"/>
      <c r="G375" s="4557" t="s">
        <v>684</v>
      </c>
      <c r="H375" s="2856" t="s">
        <v>1098</v>
      </c>
      <c r="I375" s="2857" t="s">
        <v>1023</v>
      </c>
      <c r="J375" s="2826" t="s">
        <v>1071</v>
      </c>
      <c r="K375" s="2858" t="s">
        <v>1103</v>
      </c>
      <c r="L375" s="2448" t="s">
        <v>19</v>
      </c>
      <c r="M375" s="2449"/>
      <c r="N375" s="2327"/>
      <c r="O375" s="1518" t="s">
        <v>371</v>
      </c>
      <c r="P375" s="1519"/>
      <c r="Q375" s="1519"/>
      <c r="R375" s="1519"/>
      <c r="S375" s="1519"/>
      <c r="T375" s="1519"/>
      <c r="U375" s="1519"/>
      <c r="V375" s="1519"/>
      <c r="W375" s="1519"/>
      <c r="X375" s="1519"/>
      <c r="Y375" s="1519"/>
      <c r="Z375" s="1519"/>
      <c r="AA375" s="1519"/>
      <c r="AB375" s="1519"/>
      <c r="AC375" s="1519"/>
      <c r="AD375" s="1519"/>
      <c r="AE375" s="1519"/>
      <c r="AF375" s="2847">
        <v>6</v>
      </c>
      <c r="AG375" s="2848" t="s">
        <v>1067</v>
      </c>
      <c r="AH375" s="2848" t="s">
        <v>1104</v>
      </c>
      <c r="AI375" s="2847"/>
      <c r="AJ375" s="2848"/>
      <c r="AK375" s="2848"/>
      <c r="AL375" s="2329"/>
      <c r="AM375" s="2164"/>
      <c r="AN375" s="2164"/>
      <c r="AO375" s="2164"/>
      <c r="AP375" s="2164"/>
      <c r="AQ375" s="2164"/>
      <c r="AR375" s="2164"/>
      <c r="AS375" s="2164"/>
      <c r="AT375" s="2164"/>
      <c r="AU375" s="2164"/>
      <c r="AV375" s="2164"/>
      <c r="AW375" s="2164"/>
      <c r="AX375" s="2164"/>
      <c r="AY375" s="2164"/>
      <c r="AZ375" s="2164"/>
      <c r="BA375" s="2164"/>
      <c r="BB375" s="2164"/>
      <c r="BC375" s="2164"/>
      <c r="BD375" s="2164"/>
      <c r="BE375" s="2164"/>
      <c r="BF375" s="2164"/>
      <c r="BG375" s="4573"/>
    </row>
    <row customHeight="1" ht="11.25">
      <c r="A376" s="1507" t="s">
        <v>990</v>
      </c>
      <c r="B376" s="1507"/>
      <c r="C376" s="1507"/>
      <c r="D376" s="1501"/>
      <c r="E376" s="1511"/>
      <c r="F376" s="2170"/>
      <c r="G376" s="2171"/>
      <c r="H376" s="2856" t="s">
        <v>1049</v>
      </c>
      <c r="I376" s="2857"/>
      <c r="J376" s="2826"/>
      <c r="K376" s="2858"/>
      <c r="L376" s="2448"/>
      <c r="M376" s="2449"/>
      <c r="N376" s="2849"/>
      <c r="O376" s="2850">
        <v>1</v>
      </c>
      <c r="P376" s="2851" t="s">
        <v>65</v>
      </c>
      <c r="Q376" s="4672" t="s">
        <v>1105</v>
      </c>
      <c r="R376" s="4673" t="s">
        <v>1083</v>
      </c>
      <c r="S376" s="4673" t="s">
        <v>1030</v>
      </c>
      <c r="T376" s="4673" t="s">
        <v>1030</v>
      </c>
      <c r="U376" s="4673" t="s">
        <v>1031</v>
      </c>
      <c r="V376" s="4673" t="s">
        <v>1032</v>
      </c>
      <c r="W376" s="4673" t="s">
        <v>1033</v>
      </c>
      <c r="X376" s="4673" t="s">
        <v>1106</v>
      </c>
      <c r="Y376" s="4673" t="s">
        <v>1107</v>
      </c>
      <c r="Z376" s="1516"/>
      <c r="AA376" s="1517"/>
      <c r="AB376" s="1517"/>
      <c r="AC376" s="1521"/>
      <c r="AD376" s="1521"/>
      <c r="AE376" s="1522"/>
      <c r="AF376" s="2847"/>
      <c r="AG376" s="2848"/>
      <c r="AH376" s="2848"/>
      <c r="AI376" s="2847"/>
      <c r="AJ376" s="2848"/>
      <c r="AK376" s="2848"/>
      <c r="AL376" s="2329"/>
      <c r="AM376" s="2164"/>
      <c r="AN376" s="2164"/>
      <c r="AO376" s="2164"/>
      <c r="AP376" s="2164"/>
      <c r="AQ376" s="2164"/>
      <c r="AR376" s="2164"/>
      <c r="AS376" s="2164"/>
      <c r="AT376" s="2164"/>
      <c r="AU376" s="2164"/>
      <c r="AV376" s="2164"/>
      <c r="AW376" s="2164"/>
      <c r="AX376" s="2164"/>
      <c r="AY376" s="2164"/>
      <c r="AZ376" s="2164"/>
      <c r="BA376" s="2164"/>
      <c r="BB376" s="2164"/>
      <c r="BC376" s="2164"/>
      <c r="BD376" s="2164"/>
      <c r="BE376" s="2164"/>
      <c r="BF376" s="2164"/>
      <c r="BG376" s="4573"/>
    </row>
    <row customHeight="1" ht="11.25">
      <c r="A377" s="1507" t="s">
        <v>990</v>
      </c>
      <c r="B377" s="1507"/>
      <c r="C377" s="1507"/>
      <c r="D377" s="1501"/>
      <c r="E377" s="1511"/>
      <c r="F377" s="2170"/>
      <c r="G377" s="2171"/>
      <c r="H377" s="2856" t="s">
        <v>1049</v>
      </c>
      <c r="I377" s="2857"/>
      <c r="J377" s="2826"/>
      <c r="K377" s="2858"/>
      <c r="L377" s="2448"/>
      <c r="M377" s="2449"/>
      <c r="N377" s="2849"/>
      <c r="O377" s="2850"/>
      <c r="P377" s="2852"/>
      <c r="Q377" s="4672"/>
      <c r="R377" s="2854"/>
      <c r="S377" s="2855"/>
      <c r="T377" s="2854"/>
      <c r="U377" s="2854"/>
      <c r="V377" s="2854"/>
      <c r="W377" s="2854"/>
      <c r="X377" s="2854"/>
      <c r="Y377" s="2854"/>
      <c r="Z377" s="2169"/>
      <c r="AA377" s="2135">
        <v>1</v>
      </c>
      <c r="AB377" s="1520" t="s">
        <v>1035</v>
      </c>
      <c r="AC377" s="1510">
        <v>349006.0379</v>
      </c>
      <c r="AD377" s="1520" t="str">
        <f>AB377</f>
        <v>      Амортизационные отчисления с выделением результатов переоценки основных средств и нематериальных активов</v>
      </c>
      <c r="AE377" s="1510"/>
      <c r="AF377" s="2847"/>
      <c r="AG377" s="2848"/>
      <c r="AH377" s="2848"/>
      <c r="AI377" s="2847"/>
      <c r="AJ377" s="2848"/>
      <c r="AK377" s="2848"/>
      <c r="AL377" s="2329"/>
      <c r="AM377" s="2164"/>
      <c r="AN377" s="2164"/>
      <c r="AO377" s="2164"/>
      <c r="AP377" s="2164"/>
      <c r="AQ377" s="2164"/>
      <c r="AR377" s="2164"/>
      <c r="AS377" s="2164"/>
      <c r="AT377" s="2164"/>
      <c r="AU377" s="2164"/>
      <c r="AV377" s="2164"/>
      <c r="AW377" s="2164"/>
      <c r="AX377" s="2164"/>
      <c r="AY377" s="2164"/>
      <c r="AZ377" s="2164"/>
      <c r="BA377" s="2164"/>
      <c r="BB377" s="2164"/>
      <c r="BC377" s="2164"/>
      <c r="BD377" s="2164"/>
      <c r="BE377" s="2164"/>
      <c r="BF377" s="2164"/>
      <c r="BG377" s="4573"/>
    </row>
    <row customHeight="1" ht="11.25">
      <c r="A378" s="1507" t="s">
        <v>990</v>
      </c>
      <c r="B378" s="1507"/>
      <c r="C378" s="1507"/>
      <c r="D378" s="1501"/>
      <c r="E378" s="1511"/>
      <c r="F378" s="2171"/>
      <c r="G378" s="2171"/>
      <c r="H378" s="2171"/>
      <c r="I378" s="2171"/>
      <c r="J378" s="2171"/>
      <c r="K378" s="2171"/>
      <c r="L378" s="2171"/>
      <c r="M378" s="2171"/>
      <c r="N378" s="2171"/>
      <c r="O378" s="2171"/>
      <c r="P378" s="2171"/>
      <c r="Q378" s="2171"/>
      <c r="R378" s="2171"/>
      <c r="S378" s="2171"/>
      <c r="T378" s="2171"/>
      <c r="U378" s="2171"/>
      <c r="V378" s="2171"/>
      <c r="W378" s="2171"/>
      <c r="X378" s="2171"/>
      <c r="Y378" s="2171"/>
      <c r="Z378" s="4557" t="s">
        <v>684</v>
      </c>
      <c r="AA378" s="2155" t="s">
        <v>107</v>
      </c>
      <c r="AB378" s="1520" t="s">
        <v>1036</v>
      </c>
      <c r="AC378" s="1510">
        <v>68087.59398</v>
      </c>
      <c r="AD378" s="1520" t="str">
        <f>AB378</f>
        <v>  Прочие собственные средства</v>
      </c>
      <c r="AE378" s="1510"/>
      <c r="AF378" s="2172"/>
      <c r="AG378" s="2100"/>
      <c r="AH378" s="2100"/>
      <c r="AI378" s="2172"/>
      <c r="AJ378" s="2100"/>
      <c r="AK378" s="2328"/>
      <c r="AL378" s="2329"/>
      <c r="AM378" s="2164"/>
      <c r="AN378" s="2164"/>
      <c r="AO378" s="2164"/>
      <c r="AP378" s="2164"/>
      <c r="AQ378" s="2164"/>
      <c r="AR378" s="2164"/>
      <c r="AS378" s="2164"/>
      <c r="AT378" s="2164"/>
      <c r="AU378" s="2164"/>
      <c r="AV378" s="2164"/>
      <c r="AW378" s="2164"/>
      <c r="AX378" s="2164"/>
      <c r="AY378" s="2164"/>
      <c r="AZ378" s="2164"/>
      <c r="BA378" s="2164"/>
      <c r="BB378" s="2164"/>
      <c r="BC378" s="2164"/>
      <c r="BD378" s="2164"/>
      <c r="BE378" s="2164"/>
      <c r="BF378" s="2164"/>
      <c r="BG378" s="4573"/>
    </row>
    <row customHeight="1" ht="11.25">
      <c r="A379" s="1507" t="s">
        <v>990</v>
      </c>
      <c r="B379" s="1507"/>
      <c r="C379" s="1507"/>
      <c r="D379" s="1501"/>
      <c r="E379" s="1511"/>
      <c r="F379" s="2170"/>
      <c r="G379" s="2171"/>
      <c r="H379" s="2856" t="s">
        <v>1049</v>
      </c>
      <c r="I379" s="2857"/>
      <c r="J379" s="2826"/>
      <c r="K379" s="2858"/>
      <c r="L379" s="2448"/>
      <c r="M379" s="2449"/>
      <c r="N379" s="2849"/>
      <c r="O379" s="2850"/>
      <c r="P379" s="2853"/>
      <c r="Q379" s="4672"/>
      <c r="R379" s="2854"/>
      <c r="S379" s="2855"/>
      <c r="T379" s="2854"/>
      <c r="U379" s="2854"/>
      <c r="V379" s="2854"/>
      <c r="W379" s="2854"/>
      <c r="X379" s="2854"/>
      <c r="Y379" s="2854"/>
      <c r="Z379" s="1516"/>
      <c r="AA379" s="1517"/>
      <c r="AB379" s="1582" t="s">
        <v>1037</v>
      </c>
      <c r="AC379" s="1521"/>
      <c r="AD379" s="1521"/>
      <c r="AE379" s="1523"/>
      <c r="AF379" s="2847"/>
      <c r="AG379" s="2848"/>
      <c r="AH379" s="2848"/>
      <c r="AI379" s="2847"/>
      <c r="AJ379" s="2848"/>
      <c r="AK379" s="2848"/>
      <c r="AL379" s="2329"/>
      <c r="AM379" s="2164"/>
      <c r="AN379" s="2164"/>
      <c r="AO379" s="2164"/>
      <c r="AP379" s="2164"/>
      <c r="AQ379" s="2164"/>
      <c r="AR379" s="2164"/>
      <c r="AS379" s="2164"/>
      <c r="AT379" s="2164"/>
      <c r="AU379" s="2164"/>
      <c r="AV379" s="2164"/>
      <c r="AW379" s="2164"/>
      <c r="AX379" s="2164"/>
      <c r="AY379" s="2164"/>
      <c r="AZ379" s="2164"/>
      <c r="BA379" s="2164"/>
      <c r="BB379" s="2164"/>
      <c r="BC379" s="2164"/>
      <c r="BD379" s="2164"/>
      <c r="BE379" s="2164"/>
      <c r="BF379" s="2164"/>
      <c r="BG379" s="4573"/>
    </row>
    <row customHeight="1" ht="11.25">
      <c r="A380" s="1507" t="s">
        <v>990</v>
      </c>
      <c r="B380" s="1507"/>
      <c r="C380" s="1507"/>
      <c r="D380" s="1501"/>
      <c r="E380" s="1511"/>
      <c r="F380" s="2170"/>
      <c r="G380" s="2171"/>
      <c r="H380" s="2856" t="s">
        <v>1049</v>
      </c>
      <c r="I380" s="2857"/>
      <c r="J380" s="2826"/>
      <c r="K380" s="2858"/>
      <c r="L380" s="2448"/>
      <c r="M380" s="2449"/>
      <c r="N380" s="1516"/>
      <c r="O380" s="1517"/>
      <c r="P380" s="1509" t="s">
        <v>1038</v>
      </c>
      <c r="Q380" s="1517"/>
      <c r="R380" s="1517"/>
      <c r="S380" s="1517"/>
      <c r="T380" s="1517"/>
      <c r="U380" s="1517"/>
      <c r="V380" s="1517"/>
      <c r="W380" s="1517"/>
      <c r="X380" s="1517"/>
      <c r="Y380" s="1517"/>
      <c r="Z380" s="1517"/>
      <c r="AA380" s="1517"/>
      <c r="AB380" s="1517"/>
      <c r="AC380" s="1517"/>
      <c r="AD380" s="1517"/>
      <c r="AE380" s="1524"/>
      <c r="AF380" s="2847"/>
      <c r="AG380" s="2848"/>
      <c r="AH380" s="2848"/>
      <c r="AI380" s="2847"/>
      <c r="AJ380" s="2848"/>
      <c r="AK380" s="2848"/>
      <c r="AL380" s="2329"/>
      <c r="AM380" s="2164"/>
      <c r="AN380" s="2164"/>
      <c r="AO380" s="2164"/>
      <c r="AP380" s="2164"/>
      <c r="AQ380" s="2164"/>
      <c r="AR380" s="2164"/>
      <c r="AS380" s="2164"/>
      <c r="AT380" s="2164"/>
      <c r="AU380" s="2164"/>
      <c r="AV380" s="2164"/>
      <c r="AW380" s="2164"/>
      <c r="AX380" s="2164"/>
      <c r="AY380" s="2164"/>
      <c r="AZ380" s="2164"/>
      <c r="BA380" s="2164"/>
      <c r="BB380" s="2164"/>
      <c r="BC380" s="2164"/>
      <c r="BD380" s="2164"/>
      <c r="BE380" s="2164"/>
      <c r="BF380" s="2164"/>
      <c r="BG380" s="4573"/>
    </row>
    <row customHeight="1" ht="11.25">
      <c r="A381" s="1507" t="s">
        <v>990</v>
      </c>
      <c r="B381" s="1507" t="s">
        <v>22</v>
      </c>
      <c r="C381" s="1507"/>
      <c r="D381" s="1501"/>
      <c r="E381" s="1511"/>
      <c r="F381" s="2170"/>
      <c r="G381" s="4557" t="s">
        <v>684</v>
      </c>
      <c r="H381" s="2856" t="s">
        <v>1100</v>
      </c>
      <c r="I381" s="2857" t="s">
        <v>1039</v>
      </c>
      <c r="J381" s="4694" t="s">
        <v>22</v>
      </c>
      <c r="K381" s="2858" t="s">
        <v>1109</v>
      </c>
      <c r="L381" s="2448" t="s">
        <v>19</v>
      </c>
      <c r="M381" s="2449"/>
      <c r="N381" s="2327"/>
      <c r="O381" s="1518" t="s">
        <v>371</v>
      </c>
      <c r="P381" s="1519"/>
      <c r="Q381" s="1519"/>
      <c r="R381" s="1519"/>
      <c r="S381" s="1519"/>
      <c r="T381" s="1519"/>
      <c r="U381" s="1519"/>
      <c r="V381" s="1519"/>
      <c r="W381" s="1519"/>
      <c r="X381" s="1519"/>
      <c r="Y381" s="1519"/>
      <c r="Z381" s="1519"/>
      <c r="AA381" s="1519"/>
      <c r="AB381" s="1519"/>
      <c r="AC381" s="1519"/>
      <c r="AD381" s="1519"/>
      <c r="AE381" s="1519"/>
      <c r="AF381" s="2847">
        <v>1</v>
      </c>
      <c r="AG381" s="2848" t="s">
        <v>1026</v>
      </c>
      <c r="AH381" s="2848" t="s">
        <v>1053</v>
      </c>
      <c r="AI381" s="2847"/>
      <c r="AJ381" s="2848"/>
      <c r="AK381" s="2848"/>
      <c r="AL381" s="2329"/>
      <c r="AM381" s="2164"/>
      <c r="AN381" s="2164"/>
      <c r="AO381" s="2164"/>
      <c r="AP381" s="2164"/>
      <c r="AQ381" s="2164"/>
      <c r="AR381" s="2164"/>
      <c r="AS381" s="2164"/>
      <c r="AT381" s="2164"/>
      <c r="AU381" s="2164"/>
      <c r="AV381" s="2164"/>
      <c r="AW381" s="2164"/>
      <c r="AX381" s="2164"/>
      <c r="AY381" s="2164"/>
      <c r="AZ381" s="2164"/>
      <c r="BA381" s="2164"/>
      <c r="BB381" s="2164"/>
      <c r="BC381" s="2164"/>
      <c r="BD381" s="2164"/>
      <c r="BE381" s="2164"/>
      <c r="BF381" s="2164"/>
      <c r="BG381" s="4573"/>
    </row>
    <row customHeight="1" ht="11.25">
      <c r="A382" s="1507" t="s">
        <v>990</v>
      </c>
      <c r="B382" s="1507"/>
      <c r="C382" s="1507"/>
      <c r="D382" s="1501"/>
      <c r="E382" s="1511"/>
      <c r="F382" s="2170"/>
      <c r="G382" s="2171"/>
      <c r="H382" s="2856" t="s">
        <v>1098</v>
      </c>
      <c r="I382" s="2857"/>
      <c r="J382" s="4694"/>
      <c r="K382" s="2858"/>
      <c r="L382" s="2448"/>
      <c r="M382" s="2449"/>
      <c r="N382" s="2849"/>
      <c r="O382" s="2850">
        <v>1</v>
      </c>
      <c r="P382" s="2851" t="s">
        <v>19</v>
      </c>
      <c r="Q382" s="7507" t="s">
        <v>22</v>
      </c>
      <c r="R382" s="7508" t="s">
        <v>22</v>
      </c>
      <c r="S382" s="7508" t="s">
        <v>22</v>
      </c>
      <c r="T382" s="7508" t="s">
        <v>22</v>
      </c>
      <c r="U382" s="7508" t="s">
        <v>22</v>
      </c>
      <c r="V382" s="7508" t="s">
        <v>22</v>
      </c>
      <c r="W382" s="7508" t="s">
        <v>22</v>
      </c>
      <c r="X382" s="7508" t="s">
        <v>22</v>
      </c>
      <c r="Y382" s="7508" t="s">
        <v>22</v>
      </c>
      <c r="Z382" s="1516"/>
      <c r="AA382" s="1517"/>
      <c r="AB382" s="1517"/>
      <c r="AC382" s="1521"/>
      <c r="AD382" s="1521"/>
      <c r="AE382" s="1522"/>
      <c r="AF382" s="2847"/>
      <c r="AG382" s="2848"/>
      <c r="AH382" s="2848"/>
      <c r="AI382" s="2847"/>
      <c r="AJ382" s="2848"/>
      <c r="AK382" s="2848"/>
      <c r="AL382" s="2329"/>
      <c r="AM382" s="2164"/>
      <c r="AN382" s="2164"/>
      <c r="AO382" s="2164"/>
      <c r="AP382" s="2164"/>
      <c r="AQ382" s="2164"/>
      <c r="AR382" s="2164"/>
      <c r="AS382" s="2164"/>
      <c r="AT382" s="2164"/>
      <c r="AU382" s="2164"/>
      <c r="AV382" s="2164"/>
      <c r="AW382" s="2164"/>
      <c r="AX382" s="2164"/>
      <c r="AY382" s="2164"/>
      <c r="AZ382" s="2164"/>
      <c r="BA382" s="2164"/>
      <c r="BB382" s="2164"/>
      <c r="BC382" s="2164"/>
      <c r="BD382" s="2164"/>
      <c r="BE382" s="2164"/>
      <c r="BF382" s="2164"/>
      <c r="BG382" s="4573"/>
    </row>
    <row customHeight="1" ht="11.25">
      <c r="A383" s="1507" t="s">
        <v>990</v>
      </c>
      <c r="B383" s="1507"/>
      <c r="C383" s="1507"/>
      <c r="D383" s="1501"/>
      <c r="E383" s="1511"/>
      <c r="F383" s="2170"/>
      <c r="G383" s="2171"/>
      <c r="H383" s="2856" t="s">
        <v>1098</v>
      </c>
      <c r="I383" s="2857"/>
      <c r="J383" s="4694"/>
      <c r="K383" s="2858"/>
      <c r="L383" s="2448"/>
      <c r="M383" s="2449"/>
      <c r="N383" s="2849"/>
      <c r="O383" s="2850"/>
      <c r="P383" s="2852"/>
      <c r="Q383" s="4672"/>
      <c r="R383" s="2854"/>
      <c r="S383" s="2855"/>
      <c r="T383" s="2854"/>
      <c r="U383" s="2854"/>
      <c r="V383" s="2854"/>
      <c r="W383" s="2854"/>
      <c r="X383" s="2854"/>
      <c r="Y383" s="2854"/>
      <c r="Z383" s="2169"/>
      <c r="AA383" s="2135">
        <v>1</v>
      </c>
      <c r="AB383" s="1520" t="s">
        <v>1035</v>
      </c>
      <c r="AC383" s="1510">
        <v>27313.07576</v>
      </c>
      <c r="AD383" s="1520" t="str">
        <f>AB383</f>
        <v>      Амортизационные отчисления с выделением результатов переоценки основных средств и нематериальных активов</v>
      </c>
      <c r="AE383" s="1510"/>
      <c r="AF383" s="2847"/>
      <c r="AG383" s="2848"/>
      <c r="AH383" s="2848"/>
      <c r="AI383" s="2847"/>
      <c r="AJ383" s="2848"/>
      <c r="AK383" s="2848"/>
      <c r="AL383" s="2329"/>
      <c r="AM383" s="2164"/>
      <c r="AN383" s="2164"/>
      <c r="AO383" s="2164"/>
      <c r="AP383" s="2164"/>
      <c r="AQ383" s="2164"/>
      <c r="AR383" s="2164"/>
      <c r="AS383" s="2164"/>
      <c r="AT383" s="2164"/>
      <c r="AU383" s="2164"/>
      <c r="AV383" s="2164"/>
      <c r="AW383" s="2164"/>
      <c r="AX383" s="2164"/>
      <c r="AY383" s="2164"/>
      <c r="AZ383" s="2164"/>
      <c r="BA383" s="2164"/>
      <c r="BB383" s="2164"/>
      <c r="BC383" s="2164"/>
      <c r="BD383" s="2164"/>
      <c r="BE383" s="2164"/>
      <c r="BF383" s="2164"/>
      <c r="BG383" s="4573"/>
    </row>
    <row customHeight="1" ht="11.25">
      <c r="A384" s="1507" t="s">
        <v>990</v>
      </c>
      <c r="B384" s="1507"/>
      <c r="C384" s="1507"/>
      <c r="D384" s="1501"/>
      <c r="E384" s="1511"/>
      <c r="F384" s="2171"/>
      <c r="G384" s="2171"/>
      <c r="H384" s="2171"/>
      <c r="I384" s="2171"/>
      <c r="J384" s="2171"/>
      <c r="K384" s="2171"/>
      <c r="L384" s="2171"/>
      <c r="M384" s="2171"/>
      <c r="N384" s="2171"/>
      <c r="O384" s="2171"/>
      <c r="P384" s="2171"/>
      <c r="Q384" s="2171"/>
      <c r="R384" s="2171"/>
      <c r="S384" s="2171"/>
      <c r="T384" s="2171"/>
      <c r="U384" s="2171"/>
      <c r="V384" s="2171"/>
      <c r="W384" s="2171"/>
      <c r="X384" s="2171"/>
      <c r="Y384" s="2171"/>
      <c r="Z384" s="4557" t="s">
        <v>684</v>
      </c>
      <c r="AA384" s="2155" t="s">
        <v>107</v>
      </c>
      <c r="AB384" s="1520" t="s">
        <v>1036</v>
      </c>
      <c r="AC384" s="1510">
        <v>24629.71282</v>
      </c>
      <c r="AD384" s="1520" t="str">
        <f>AB384</f>
        <v>  Прочие собственные средства</v>
      </c>
      <c r="AE384" s="1510"/>
      <c r="AF384" s="2172"/>
      <c r="AG384" s="2100"/>
      <c r="AH384" s="2100"/>
      <c r="AI384" s="2172"/>
      <c r="AJ384" s="2100"/>
      <c r="AK384" s="2328"/>
      <c r="AL384" s="2329"/>
      <c r="AM384" s="2164"/>
      <c r="AN384" s="2164"/>
      <c r="AO384" s="2164"/>
      <c r="AP384" s="2164"/>
      <c r="AQ384" s="2164"/>
      <c r="AR384" s="2164"/>
      <c r="AS384" s="2164"/>
      <c r="AT384" s="2164"/>
      <c r="AU384" s="2164"/>
      <c r="AV384" s="2164"/>
      <c r="AW384" s="2164"/>
      <c r="AX384" s="2164"/>
      <c r="AY384" s="2164"/>
      <c r="AZ384" s="2164"/>
      <c r="BA384" s="2164"/>
      <c r="BB384" s="2164"/>
      <c r="BC384" s="2164"/>
      <c r="BD384" s="2164"/>
      <c r="BE384" s="2164"/>
      <c r="BF384" s="2164"/>
      <c r="BG384" s="4573"/>
    </row>
    <row customHeight="1" ht="11.25">
      <c r="A385" s="1507" t="s">
        <v>990</v>
      </c>
      <c r="B385" s="1507"/>
      <c r="C385" s="1507"/>
      <c r="D385" s="1501"/>
      <c r="E385" s="1511"/>
      <c r="F385" s="2170"/>
      <c r="G385" s="2171"/>
      <c r="H385" s="2856" t="s">
        <v>1098</v>
      </c>
      <c r="I385" s="2857"/>
      <c r="J385" s="4694"/>
      <c r="K385" s="2858"/>
      <c r="L385" s="2448"/>
      <c r="M385" s="2449"/>
      <c r="N385" s="2849"/>
      <c r="O385" s="2850"/>
      <c r="P385" s="2853"/>
      <c r="Q385" s="4672"/>
      <c r="R385" s="2854"/>
      <c r="S385" s="2855"/>
      <c r="T385" s="2854"/>
      <c r="U385" s="2854"/>
      <c r="V385" s="2854"/>
      <c r="W385" s="2854"/>
      <c r="X385" s="2854"/>
      <c r="Y385" s="2854"/>
      <c r="Z385" s="1516"/>
      <c r="AA385" s="1517"/>
      <c r="AB385" s="1582" t="s">
        <v>1037</v>
      </c>
      <c r="AC385" s="1521"/>
      <c r="AD385" s="1521"/>
      <c r="AE385" s="1523"/>
      <c r="AF385" s="2847"/>
      <c r="AG385" s="2848"/>
      <c r="AH385" s="2848"/>
      <c r="AI385" s="2847"/>
      <c r="AJ385" s="2848"/>
      <c r="AK385" s="2848"/>
      <c r="AL385" s="2329"/>
      <c r="AM385" s="2164"/>
      <c r="AN385" s="2164"/>
      <c r="AO385" s="2164"/>
      <c r="AP385" s="2164"/>
      <c r="AQ385" s="2164"/>
      <c r="AR385" s="2164"/>
      <c r="AS385" s="2164"/>
      <c r="AT385" s="2164"/>
      <c r="AU385" s="2164"/>
      <c r="AV385" s="2164"/>
      <c r="AW385" s="2164"/>
      <c r="AX385" s="2164"/>
      <c r="AY385" s="2164"/>
      <c r="AZ385" s="2164"/>
      <c r="BA385" s="2164"/>
      <c r="BB385" s="2164"/>
      <c r="BC385" s="2164"/>
      <c r="BD385" s="2164"/>
      <c r="BE385" s="2164"/>
      <c r="BF385" s="2164"/>
      <c r="BG385" s="4573"/>
    </row>
    <row customHeight="1" ht="11.25">
      <c r="A386" s="1507" t="s">
        <v>990</v>
      </c>
      <c r="B386" s="1507"/>
      <c r="C386" s="1507"/>
      <c r="D386" s="1501"/>
      <c r="E386" s="1511"/>
      <c r="F386" s="2170"/>
      <c r="G386" s="2171"/>
      <c r="H386" s="2856" t="s">
        <v>1098</v>
      </c>
      <c r="I386" s="2857"/>
      <c r="J386" s="4694"/>
      <c r="K386" s="2858"/>
      <c r="L386" s="2448"/>
      <c r="M386" s="2449"/>
      <c r="N386" s="1516"/>
      <c r="O386" s="1517"/>
      <c r="P386" s="1509" t="s">
        <v>1038</v>
      </c>
      <c r="Q386" s="1517"/>
      <c r="R386" s="1517"/>
      <c r="S386" s="1517"/>
      <c r="T386" s="1517"/>
      <c r="U386" s="1517"/>
      <c r="V386" s="1517"/>
      <c r="W386" s="1517"/>
      <c r="X386" s="1517"/>
      <c r="Y386" s="1517"/>
      <c r="Z386" s="1517"/>
      <c r="AA386" s="1517"/>
      <c r="AB386" s="1517"/>
      <c r="AC386" s="1517"/>
      <c r="AD386" s="1517"/>
      <c r="AE386" s="1524"/>
      <c r="AF386" s="2847"/>
      <c r="AG386" s="2848"/>
      <c r="AH386" s="2848"/>
      <c r="AI386" s="2847"/>
      <c r="AJ386" s="2848"/>
      <c r="AK386" s="2848"/>
      <c r="AL386" s="2329"/>
      <c r="AM386" s="2164"/>
      <c r="AN386" s="2164"/>
      <c r="AO386" s="2164"/>
      <c r="AP386" s="2164"/>
      <c r="AQ386" s="2164"/>
      <c r="AR386" s="2164"/>
      <c r="AS386" s="2164"/>
      <c r="AT386" s="2164"/>
      <c r="AU386" s="2164"/>
      <c r="AV386" s="2164"/>
      <c r="AW386" s="2164"/>
      <c r="AX386" s="2164"/>
      <c r="AY386" s="2164"/>
      <c r="AZ386" s="2164"/>
      <c r="BA386" s="2164"/>
      <c r="BB386" s="2164"/>
      <c r="BC386" s="2164"/>
      <c r="BD386" s="2164"/>
      <c r="BE386" s="2164"/>
      <c r="BF386" s="2164"/>
      <c r="BG386" s="4573"/>
    </row>
    <row customHeight="1" ht="11.25">
      <c r="A387" s="1507" t="s">
        <v>990</v>
      </c>
      <c r="B387" s="1507" t="s">
        <v>1022</v>
      </c>
      <c r="C387" s="1507"/>
      <c r="D387" s="1501"/>
      <c r="E387" s="1511"/>
      <c r="F387" s="2170"/>
      <c r="G387" s="7510" t="s">
        <v>684</v>
      </c>
      <c r="H387" s="2856" t="s">
        <v>1102</v>
      </c>
      <c r="I387" s="2857" t="s">
        <v>1023</v>
      </c>
      <c r="J387" s="2826" t="s">
        <v>1071</v>
      </c>
      <c r="K387" s="2858" t="s">
        <v>1113</v>
      </c>
      <c r="L387" s="2448" t="s">
        <v>19</v>
      </c>
      <c r="M387" s="2449"/>
      <c r="N387" s="2327"/>
      <c r="O387" s="1518" t="s">
        <v>371</v>
      </c>
      <c r="P387" s="1519"/>
      <c r="Q387" s="1519"/>
      <c r="R387" s="1519"/>
      <c r="S387" s="1519"/>
      <c r="T387" s="1519"/>
      <c r="U387" s="1519"/>
      <c r="V387" s="1519"/>
      <c r="W387" s="1519"/>
      <c r="X387" s="1519"/>
      <c r="Y387" s="1519"/>
      <c r="Z387" s="1519"/>
      <c r="AA387" s="1519"/>
      <c r="AB387" s="1519"/>
      <c r="AC387" s="1519"/>
      <c r="AD387" s="1519"/>
      <c r="AE387" s="1519"/>
      <c r="AF387" s="2847">
        <v>6</v>
      </c>
      <c r="AG387" s="2848" t="s">
        <v>1067</v>
      </c>
      <c r="AH387" s="2848" t="s">
        <v>1104</v>
      </c>
      <c r="AI387" s="2847"/>
      <c r="AJ387" s="2848"/>
      <c r="AK387" s="2848"/>
      <c r="AL387" s="2329"/>
      <c r="AM387" s="2164"/>
      <c r="AN387" s="2164"/>
      <c r="AO387" s="2164"/>
      <c r="AP387" s="2164"/>
      <c r="AQ387" s="2164"/>
      <c r="AR387" s="2164"/>
      <c r="AS387" s="2164"/>
      <c r="AT387" s="2164"/>
      <c r="AU387" s="2164"/>
      <c r="AV387" s="2164"/>
      <c r="AW387" s="2164"/>
      <c r="AX387" s="2164"/>
      <c r="AY387" s="2164"/>
      <c r="AZ387" s="2164"/>
      <c r="BA387" s="2164"/>
      <c r="BB387" s="2164"/>
      <c r="BC387" s="2164"/>
      <c r="BD387" s="2164"/>
      <c r="BE387" s="2164"/>
      <c r="BF387" s="2164"/>
      <c r="BG387" s="7511"/>
    </row>
    <row customHeight="1" ht="11.25">
      <c r="A388" s="1507" t="s">
        <v>990</v>
      </c>
      <c r="B388" s="1507"/>
      <c r="C388" s="1507"/>
      <c r="D388" s="1501"/>
      <c r="E388" s="1511"/>
      <c r="F388" s="2170"/>
      <c r="G388" s="2171"/>
      <c r="H388" s="2856" t="s">
        <v>1100</v>
      </c>
      <c r="I388" s="2857"/>
      <c r="J388" s="2826"/>
      <c r="K388" s="2858"/>
      <c r="L388" s="2448"/>
      <c r="M388" s="2449"/>
      <c r="N388" s="2849"/>
      <c r="O388" s="2850">
        <v>1</v>
      </c>
      <c r="P388" s="2851" t="s">
        <v>65</v>
      </c>
      <c r="Q388" s="7512" t="s">
        <v>1105</v>
      </c>
      <c r="R388" s="7513" t="s">
        <v>1083</v>
      </c>
      <c r="S388" s="7513" t="s">
        <v>1030</v>
      </c>
      <c r="T388" s="7513" t="s">
        <v>1030</v>
      </c>
      <c r="U388" s="7513" t="s">
        <v>1031</v>
      </c>
      <c r="V388" s="7513" t="s">
        <v>1032</v>
      </c>
      <c r="W388" s="7513" t="s">
        <v>1033</v>
      </c>
      <c r="X388" s="7513" t="s">
        <v>1106</v>
      </c>
      <c r="Y388" s="7513" t="s">
        <v>1107</v>
      </c>
      <c r="Z388" s="1516"/>
      <c r="AA388" s="1517"/>
      <c r="AB388" s="1517"/>
      <c r="AC388" s="1521"/>
      <c r="AD388" s="1521"/>
      <c r="AE388" s="1522"/>
      <c r="AF388" s="2847"/>
      <c r="AG388" s="2848"/>
      <c r="AH388" s="2848"/>
      <c r="AI388" s="2847"/>
      <c r="AJ388" s="2848"/>
      <c r="AK388" s="2848"/>
      <c r="AL388" s="2329"/>
      <c r="AM388" s="2164"/>
      <c r="AN388" s="2164"/>
      <c r="AO388" s="2164"/>
      <c r="AP388" s="2164"/>
      <c r="AQ388" s="2164"/>
      <c r="AR388" s="2164"/>
      <c r="AS388" s="2164"/>
      <c r="AT388" s="2164"/>
      <c r="AU388" s="2164"/>
      <c r="AV388" s="2164"/>
      <c r="AW388" s="2164"/>
      <c r="AX388" s="2164"/>
      <c r="AY388" s="2164"/>
      <c r="AZ388" s="2164"/>
      <c r="BA388" s="2164"/>
      <c r="BB388" s="2164"/>
      <c r="BC388" s="2164"/>
      <c r="BD388" s="2164"/>
      <c r="BE388" s="2164"/>
      <c r="BF388" s="2164"/>
      <c r="BG388" s="7511"/>
    </row>
    <row customHeight="1" ht="11.25">
      <c r="A389" s="1507" t="s">
        <v>990</v>
      </c>
      <c r="B389" s="1507"/>
      <c r="C389" s="1507"/>
      <c r="D389" s="1501"/>
      <c r="E389" s="1511"/>
      <c r="F389" s="2170"/>
      <c r="G389" s="2171"/>
      <c r="H389" s="2856" t="s">
        <v>1100</v>
      </c>
      <c r="I389" s="2857"/>
      <c r="J389" s="2826"/>
      <c r="K389" s="2858"/>
      <c r="L389" s="2448"/>
      <c r="M389" s="2449"/>
      <c r="N389" s="2849"/>
      <c r="O389" s="2850"/>
      <c r="P389" s="2852"/>
      <c r="Q389" s="7512"/>
      <c r="R389" s="2854"/>
      <c r="S389" s="2855"/>
      <c r="T389" s="2854"/>
      <c r="U389" s="2854"/>
      <c r="V389" s="2854"/>
      <c r="W389" s="2854"/>
      <c r="X389" s="2854"/>
      <c r="Y389" s="2854"/>
      <c r="Z389" s="2169"/>
      <c r="AA389" s="2135">
        <v>1</v>
      </c>
      <c r="AB389" s="1520" t="s">
        <v>1184</v>
      </c>
      <c r="AC389" s="1510">
        <v>122393.856</v>
      </c>
      <c r="AD389" s="1520" t="str">
        <f>AB389</f>
        <v>      Прочие займы</v>
      </c>
      <c r="AE389" s="1510"/>
      <c r="AF389" s="2847"/>
      <c r="AG389" s="2848"/>
      <c r="AH389" s="2848"/>
      <c r="AI389" s="2847"/>
      <c r="AJ389" s="2848"/>
      <c r="AK389" s="2848"/>
      <c r="AL389" s="2329"/>
      <c r="AM389" s="2164"/>
      <c r="AN389" s="2164"/>
      <c r="AO389" s="2164"/>
      <c r="AP389" s="2164"/>
      <c r="AQ389" s="2164"/>
      <c r="AR389" s="2164"/>
      <c r="AS389" s="2164"/>
      <c r="AT389" s="2164"/>
      <c r="AU389" s="2164"/>
      <c r="AV389" s="2164"/>
      <c r="AW389" s="2164"/>
      <c r="AX389" s="2164"/>
      <c r="AY389" s="2164"/>
      <c r="AZ389" s="2164"/>
      <c r="BA389" s="2164"/>
      <c r="BB389" s="2164"/>
      <c r="BC389" s="2164"/>
      <c r="BD389" s="2164"/>
      <c r="BE389" s="2164"/>
      <c r="BF389" s="2164"/>
      <c r="BG389" s="7511"/>
    </row>
    <row customHeight="1" ht="11.25">
      <c r="A390" s="1507" t="s">
        <v>990</v>
      </c>
      <c r="B390" s="1507"/>
      <c r="C390" s="1507"/>
      <c r="D390" s="1501"/>
      <c r="E390" s="1511"/>
      <c r="F390" s="2170"/>
      <c r="G390" s="2171"/>
      <c r="H390" s="2856" t="s">
        <v>1100</v>
      </c>
      <c r="I390" s="2857"/>
      <c r="J390" s="2826"/>
      <c r="K390" s="2858"/>
      <c r="L390" s="2448"/>
      <c r="M390" s="2449"/>
      <c r="N390" s="2849"/>
      <c r="O390" s="2850"/>
      <c r="P390" s="2853"/>
      <c r="Q390" s="7512"/>
      <c r="R390" s="2854"/>
      <c r="S390" s="2855"/>
      <c r="T390" s="2854"/>
      <c r="U390" s="2854"/>
      <c r="V390" s="2854"/>
      <c r="W390" s="2854"/>
      <c r="X390" s="2854"/>
      <c r="Y390" s="2854"/>
      <c r="Z390" s="1516"/>
      <c r="AA390" s="1517"/>
      <c r="AB390" s="1582" t="s">
        <v>1037</v>
      </c>
      <c r="AC390" s="1521"/>
      <c r="AD390" s="1521"/>
      <c r="AE390" s="1523"/>
      <c r="AF390" s="2847"/>
      <c r="AG390" s="2848"/>
      <c r="AH390" s="2848"/>
      <c r="AI390" s="2847"/>
      <c r="AJ390" s="2848"/>
      <c r="AK390" s="2848"/>
      <c r="AL390" s="2329"/>
      <c r="AM390" s="2164"/>
      <c r="AN390" s="2164"/>
      <c r="AO390" s="2164"/>
      <c r="AP390" s="2164"/>
      <c r="AQ390" s="2164"/>
      <c r="AR390" s="2164"/>
      <c r="AS390" s="2164"/>
      <c r="AT390" s="2164"/>
      <c r="AU390" s="2164"/>
      <c r="AV390" s="2164"/>
      <c r="AW390" s="2164"/>
      <c r="AX390" s="2164"/>
      <c r="AY390" s="2164"/>
      <c r="AZ390" s="2164"/>
      <c r="BA390" s="2164"/>
      <c r="BB390" s="2164"/>
      <c r="BC390" s="2164"/>
      <c r="BD390" s="2164"/>
      <c r="BE390" s="2164"/>
      <c r="BF390" s="2164"/>
      <c r="BG390" s="7511"/>
    </row>
    <row customHeight="1" ht="11.25">
      <c r="A391" s="1507" t="s">
        <v>990</v>
      </c>
      <c r="B391" s="1507"/>
      <c r="C391" s="1507"/>
      <c r="D391" s="1501"/>
      <c r="E391" s="1511"/>
      <c r="F391" s="2170"/>
      <c r="G391" s="2171"/>
      <c r="H391" s="2856" t="s">
        <v>1100</v>
      </c>
      <c r="I391" s="2857"/>
      <c r="J391" s="2826"/>
      <c r="K391" s="2858"/>
      <c r="L391" s="2448"/>
      <c r="M391" s="2449"/>
      <c r="N391" s="1516"/>
      <c r="O391" s="1517"/>
      <c r="P391" s="1509" t="s">
        <v>1038</v>
      </c>
      <c r="Q391" s="1517"/>
      <c r="R391" s="1517"/>
      <c r="S391" s="1517"/>
      <c r="T391" s="1517"/>
      <c r="U391" s="1517"/>
      <c r="V391" s="1517"/>
      <c r="W391" s="1517"/>
      <c r="X391" s="1517"/>
      <c r="Y391" s="1517"/>
      <c r="Z391" s="1517"/>
      <c r="AA391" s="1517"/>
      <c r="AB391" s="1517"/>
      <c r="AC391" s="1517"/>
      <c r="AD391" s="1517"/>
      <c r="AE391" s="1524"/>
      <c r="AF391" s="2847"/>
      <c r="AG391" s="2848"/>
      <c r="AH391" s="2848"/>
      <c r="AI391" s="2847"/>
      <c r="AJ391" s="2848"/>
      <c r="AK391" s="2848"/>
      <c r="AL391" s="2329"/>
      <c r="AM391" s="2164"/>
      <c r="AN391" s="2164"/>
      <c r="AO391" s="2164"/>
      <c r="AP391" s="2164"/>
      <c r="AQ391" s="2164"/>
      <c r="AR391" s="2164"/>
      <c r="AS391" s="2164"/>
      <c r="AT391" s="2164"/>
      <c r="AU391" s="2164"/>
      <c r="AV391" s="2164"/>
      <c r="AW391" s="2164"/>
      <c r="AX391" s="2164"/>
      <c r="AY391" s="2164"/>
      <c r="AZ391" s="2164"/>
      <c r="BA391" s="2164"/>
      <c r="BB391" s="2164"/>
      <c r="BC391" s="2164"/>
      <c r="BD391" s="2164"/>
      <c r="BE391" s="2164"/>
      <c r="BF391" s="2164"/>
      <c r="BG391" s="7511"/>
    </row>
    <row customHeight="1" ht="11.25">
      <c r="A392" s="1507" t="s">
        <v>990</v>
      </c>
      <c r="B392" s="1507" t="s">
        <v>22</v>
      </c>
      <c r="C392" s="1507"/>
      <c r="D392" s="1501"/>
      <c r="E392" s="1511"/>
      <c r="F392" s="2170"/>
      <c r="G392" s="7510" t="s">
        <v>684</v>
      </c>
      <c r="H392" s="2856" t="s">
        <v>1108</v>
      </c>
      <c r="I392" s="2857" t="s">
        <v>1119</v>
      </c>
      <c r="J392" s="7514" t="s">
        <v>22</v>
      </c>
      <c r="K392" s="2858" t="s">
        <v>1120</v>
      </c>
      <c r="L392" s="2448" t="s">
        <v>19</v>
      </c>
      <c r="M392" s="2449"/>
      <c r="N392" s="2327"/>
      <c r="O392" s="1518" t="s">
        <v>371</v>
      </c>
      <c r="P392" s="1519"/>
      <c r="Q392" s="1519"/>
      <c r="R392" s="1519"/>
      <c r="S392" s="1519"/>
      <c r="T392" s="1519"/>
      <c r="U392" s="1519"/>
      <c r="V392" s="1519"/>
      <c r="W392" s="1519"/>
      <c r="X392" s="1519"/>
      <c r="Y392" s="1519"/>
      <c r="Z392" s="1519"/>
      <c r="AA392" s="1519"/>
      <c r="AB392" s="1519"/>
      <c r="AC392" s="1519"/>
      <c r="AD392" s="1519"/>
      <c r="AE392" s="1519"/>
      <c r="AF392" s="2847">
        <v>6</v>
      </c>
      <c r="AG392" s="2848" t="s">
        <v>1026</v>
      </c>
      <c r="AH392" s="2848" t="s">
        <v>1104</v>
      </c>
      <c r="AI392" s="2847"/>
      <c r="AJ392" s="2848"/>
      <c r="AK392" s="2848"/>
      <c r="AL392" s="2329"/>
      <c r="AM392" s="2164"/>
      <c r="AN392" s="2164"/>
      <c r="AO392" s="2164"/>
      <c r="AP392" s="2164"/>
      <c r="AQ392" s="2164"/>
      <c r="AR392" s="2164"/>
      <c r="AS392" s="2164"/>
      <c r="AT392" s="2164"/>
      <c r="AU392" s="2164"/>
      <c r="AV392" s="2164"/>
      <c r="AW392" s="2164"/>
      <c r="AX392" s="2164"/>
      <c r="AY392" s="2164"/>
      <c r="AZ392" s="2164"/>
      <c r="BA392" s="2164"/>
      <c r="BB392" s="2164"/>
      <c r="BC392" s="2164"/>
      <c r="BD392" s="2164"/>
      <c r="BE392" s="2164"/>
      <c r="BF392" s="2164"/>
      <c r="BG392" s="7511"/>
    </row>
    <row customHeight="1" ht="11.25">
      <c r="A393" s="1507" t="s">
        <v>990</v>
      </c>
      <c r="B393" s="1507"/>
      <c r="C393" s="1507"/>
      <c r="D393" s="1501"/>
      <c r="E393" s="1511"/>
      <c r="F393" s="2170"/>
      <c r="G393" s="2171"/>
      <c r="H393" s="2856" t="s">
        <v>1102</v>
      </c>
      <c r="I393" s="2857"/>
      <c r="J393" s="7514"/>
      <c r="K393" s="2858"/>
      <c r="L393" s="2448"/>
      <c r="M393" s="2449"/>
      <c r="N393" s="2849"/>
      <c r="O393" s="2850">
        <v>1</v>
      </c>
      <c r="P393" s="2851" t="s">
        <v>65</v>
      </c>
      <c r="Q393" s="7512" t="s">
        <v>1105</v>
      </c>
      <c r="R393" s="7513" t="s">
        <v>1083</v>
      </c>
      <c r="S393" s="7513" t="s">
        <v>1030</v>
      </c>
      <c r="T393" s="7513" t="s">
        <v>1030</v>
      </c>
      <c r="U393" s="7513" t="s">
        <v>1031</v>
      </c>
      <c r="V393" s="7513" t="s">
        <v>1032</v>
      </c>
      <c r="W393" s="7513" t="s">
        <v>1033</v>
      </c>
      <c r="X393" s="7513" t="s">
        <v>1106</v>
      </c>
      <c r="Y393" s="7513" t="s">
        <v>1107</v>
      </c>
      <c r="Z393" s="1516"/>
      <c r="AA393" s="1517"/>
      <c r="AB393" s="1517"/>
      <c r="AC393" s="1521"/>
      <c r="AD393" s="1521"/>
      <c r="AE393" s="1522"/>
      <c r="AF393" s="2847"/>
      <c r="AG393" s="2848"/>
      <c r="AH393" s="2848"/>
      <c r="AI393" s="2847"/>
      <c r="AJ393" s="2848"/>
      <c r="AK393" s="2848"/>
      <c r="AL393" s="2329"/>
      <c r="AM393" s="2164"/>
      <c r="AN393" s="2164"/>
      <c r="AO393" s="2164"/>
      <c r="AP393" s="2164"/>
      <c r="AQ393" s="2164"/>
      <c r="AR393" s="2164"/>
      <c r="AS393" s="2164"/>
      <c r="AT393" s="2164"/>
      <c r="AU393" s="2164"/>
      <c r="AV393" s="2164"/>
      <c r="AW393" s="2164"/>
      <c r="AX393" s="2164"/>
      <c r="AY393" s="2164"/>
      <c r="AZ393" s="2164"/>
      <c r="BA393" s="2164"/>
      <c r="BB393" s="2164"/>
      <c r="BC393" s="2164"/>
      <c r="BD393" s="2164"/>
      <c r="BE393" s="2164"/>
      <c r="BF393" s="2164"/>
      <c r="BG393" s="7511"/>
    </row>
    <row customHeight="1" ht="11.25">
      <c r="A394" s="1507" t="s">
        <v>990</v>
      </c>
      <c r="B394" s="1507"/>
      <c r="C394" s="1507"/>
      <c r="D394" s="1501"/>
      <c r="E394" s="1511"/>
      <c r="F394" s="2170"/>
      <c r="G394" s="2171"/>
      <c r="H394" s="2856" t="s">
        <v>1102</v>
      </c>
      <c r="I394" s="2857"/>
      <c r="J394" s="7514"/>
      <c r="K394" s="2858"/>
      <c r="L394" s="2448"/>
      <c r="M394" s="2449"/>
      <c r="N394" s="2849"/>
      <c r="O394" s="2850"/>
      <c r="P394" s="2852"/>
      <c r="Q394" s="7512"/>
      <c r="R394" s="2854"/>
      <c r="S394" s="2855"/>
      <c r="T394" s="2854"/>
      <c r="U394" s="2854"/>
      <c r="V394" s="2854"/>
      <c r="W394" s="2854"/>
      <c r="X394" s="2854"/>
      <c r="Y394" s="2854"/>
      <c r="Z394" s="2169"/>
      <c r="AA394" s="2135">
        <v>1</v>
      </c>
      <c r="AB394" s="1520" t="s">
        <v>1035</v>
      </c>
      <c r="AC394" s="1510">
        <v>38379.07608</v>
      </c>
      <c r="AD394" s="1520" t="str">
        <f>AB394</f>
        <v>      Амортизационные отчисления с выделением результатов переоценки основных средств и нематериальных активов</v>
      </c>
      <c r="AE394" s="1510"/>
      <c r="AF394" s="2847"/>
      <c r="AG394" s="2848"/>
      <c r="AH394" s="2848"/>
      <c r="AI394" s="2847"/>
      <c r="AJ394" s="2848"/>
      <c r="AK394" s="2848"/>
      <c r="AL394" s="2329"/>
      <c r="AM394" s="2164"/>
      <c r="AN394" s="2164"/>
      <c r="AO394" s="2164"/>
      <c r="AP394" s="2164"/>
      <c r="AQ394" s="2164"/>
      <c r="AR394" s="2164"/>
      <c r="AS394" s="2164"/>
      <c r="AT394" s="2164"/>
      <c r="AU394" s="2164"/>
      <c r="AV394" s="2164"/>
      <c r="AW394" s="2164"/>
      <c r="AX394" s="2164"/>
      <c r="AY394" s="2164"/>
      <c r="AZ394" s="2164"/>
      <c r="BA394" s="2164"/>
      <c r="BB394" s="2164"/>
      <c r="BC394" s="2164"/>
      <c r="BD394" s="2164"/>
      <c r="BE394" s="2164"/>
      <c r="BF394" s="2164"/>
      <c r="BG394" s="7511"/>
    </row>
    <row customHeight="1" ht="11.25">
      <c r="A395" s="1507" t="s">
        <v>990</v>
      </c>
      <c r="B395" s="1507"/>
      <c r="C395" s="1507"/>
      <c r="D395" s="1501"/>
      <c r="E395" s="1511"/>
      <c r="F395" s="2171"/>
      <c r="G395" s="2171"/>
      <c r="H395" s="2171"/>
      <c r="I395" s="2171"/>
      <c r="J395" s="2171"/>
      <c r="K395" s="2171"/>
      <c r="L395" s="2171"/>
      <c r="M395" s="2171"/>
      <c r="N395" s="2171"/>
      <c r="O395" s="2171"/>
      <c r="P395" s="2171"/>
      <c r="Q395" s="2171"/>
      <c r="R395" s="2171"/>
      <c r="S395" s="2171"/>
      <c r="T395" s="2171"/>
      <c r="U395" s="2171"/>
      <c r="V395" s="2171"/>
      <c r="W395" s="2171"/>
      <c r="X395" s="2171"/>
      <c r="Y395" s="2171"/>
      <c r="Z395" s="7510" t="s">
        <v>684</v>
      </c>
      <c r="AA395" s="2155" t="s">
        <v>107</v>
      </c>
      <c r="AB395" s="1520" t="s">
        <v>1036</v>
      </c>
      <c r="AC395" s="1510">
        <v>7675.81522</v>
      </c>
      <c r="AD395" s="1520" t="str">
        <f>AB395</f>
        <v>  Прочие собственные средства</v>
      </c>
      <c r="AE395" s="1510"/>
      <c r="AF395" s="2172"/>
      <c r="AG395" s="2100"/>
      <c r="AH395" s="2100"/>
      <c r="AI395" s="2172"/>
      <c r="AJ395" s="2100"/>
      <c r="AK395" s="2328"/>
      <c r="AL395" s="2329"/>
      <c r="AM395" s="2164"/>
      <c r="AN395" s="2164"/>
      <c r="AO395" s="2164"/>
      <c r="AP395" s="2164"/>
      <c r="AQ395" s="2164"/>
      <c r="AR395" s="2164"/>
      <c r="AS395" s="2164"/>
      <c r="AT395" s="2164"/>
      <c r="AU395" s="2164"/>
      <c r="AV395" s="2164"/>
      <c r="AW395" s="2164"/>
      <c r="AX395" s="2164"/>
      <c r="AY395" s="2164"/>
      <c r="AZ395" s="2164"/>
      <c r="BA395" s="2164"/>
      <c r="BB395" s="2164"/>
      <c r="BC395" s="2164"/>
      <c r="BD395" s="2164"/>
      <c r="BE395" s="2164"/>
      <c r="BF395" s="2164"/>
      <c r="BG395" s="7511"/>
    </row>
    <row customHeight="1" ht="11.25">
      <c r="A396" s="1507" t="s">
        <v>990</v>
      </c>
      <c r="B396" s="1507"/>
      <c r="C396" s="1507"/>
      <c r="D396" s="1501"/>
      <c r="E396" s="1511"/>
      <c r="F396" s="2170"/>
      <c r="G396" s="2171"/>
      <c r="H396" s="2856" t="s">
        <v>1102</v>
      </c>
      <c r="I396" s="2857"/>
      <c r="J396" s="7514"/>
      <c r="K396" s="2858"/>
      <c r="L396" s="2448"/>
      <c r="M396" s="2449"/>
      <c r="N396" s="2849"/>
      <c r="O396" s="2850"/>
      <c r="P396" s="2853"/>
      <c r="Q396" s="7512"/>
      <c r="R396" s="2854"/>
      <c r="S396" s="2855"/>
      <c r="T396" s="2854"/>
      <c r="U396" s="2854"/>
      <c r="V396" s="2854"/>
      <c r="W396" s="2854"/>
      <c r="X396" s="2854"/>
      <c r="Y396" s="2854"/>
      <c r="Z396" s="1516"/>
      <c r="AA396" s="1517"/>
      <c r="AB396" s="1582" t="s">
        <v>1037</v>
      </c>
      <c r="AC396" s="1521"/>
      <c r="AD396" s="1521"/>
      <c r="AE396" s="1523"/>
      <c r="AF396" s="2847"/>
      <c r="AG396" s="2848"/>
      <c r="AH396" s="2848"/>
      <c r="AI396" s="2847"/>
      <c r="AJ396" s="2848"/>
      <c r="AK396" s="2848"/>
      <c r="AL396" s="2329"/>
      <c r="AM396" s="2164"/>
      <c r="AN396" s="2164"/>
      <c r="AO396" s="2164"/>
      <c r="AP396" s="2164"/>
      <c r="AQ396" s="2164"/>
      <c r="AR396" s="2164"/>
      <c r="AS396" s="2164"/>
      <c r="AT396" s="2164"/>
      <c r="AU396" s="2164"/>
      <c r="AV396" s="2164"/>
      <c r="AW396" s="2164"/>
      <c r="AX396" s="2164"/>
      <c r="AY396" s="2164"/>
      <c r="AZ396" s="2164"/>
      <c r="BA396" s="2164"/>
      <c r="BB396" s="2164"/>
      <c r="BC396" s="2164"/>
      <c r="BD396" s="2164"/>
      <c r="BE396" s="2164"/>
      <c r="BF396" s="2164"/>
      <c r="BG396" s="7511"/>
    </row>
    <row customHeight="1" ht="11.25">
      <c r="A397" s="1507" t="s">
        <v>990</v>
      </c>
      <c r="B397" s="1507"/>
      <c r="C397" s="1507"/>
      <c r="D397" s="1501"/>
      <c r="E397" s="1511"/>
      <c r="F397" s="2170"/>
      <c r="G397" s="2171"/>
      <c r="H397" s="2856" t="s">
        <v>1102</v>
      </c>
      <c r="I397" s="2857"/>
      <c r="J397" s="7514"/>
      <c r="K397" s="2858"/>
      <c r="L397" s="2448"/>
      <c r="M397" s="2449"/>
      <c r="N397" s="1516"/>
      <c r="O397" s="1517"/>
      <c r="P397" s="1509" t="s">
        <v>1038</v>
      </c>
      <c r="Q397" s="1517"/>
      <c r="R397" s="1517"/>
      <c r="S397" s="1517"/>
      <c r="T397" s="1517"/>
      <c r="U397" s="1517"/>
      <c r="V397" s="1517"/>
      <c r="W397" s="1517"/>
      <c r="X397" s="1517"/>
      <c r="Y397" s="1517"/>
      <c r="Z397" s="1517"/>
      <c r="AA397" s="1517"/>
      <c r="AB397" s="1517"/>
      <c r="AC397" s="1517"/>
      <c r="AD397" s="1517"/>
      <c r="AE397" s="1524"/>
      <c r="AF397" s="2847"/>
      <c r="AG397" s="2848"/>
      <c r="AH397" s="2848"/>
      <c r="AI397" s="2847"/>
      <c r="AJ397" s="2848"/>
      <c r="AK397" s="2848"/>
      <c r="AL397" s="2329"/>
      <c r="AM397" s="2164"/>
      <c r="AN397" s="2164"/>
      <c r="AO397" s="2164"/>
      <c r="AP397" s="2164"/>
      <c r="AQ397" s="2164"/>
      <c r="AR397" s="2164"/>
      <c r="AS397" s="2164"/>
      <c r="AT397" s="2164"/>
      <c r="AU397" s="2164"/>
      <c r="AV397" s="2164"/>
      <c r="AW397" s="2164"/>
      <c r="AX397" s="2164"/>
      <c r="AY397" s="2164"/>
      <c r="AZ397" s="2164"/>
      <c r="BA397" s="2164"/>
      <c r="BB397" s="2164"/>
      <c r="BC397" s="2164"/>
      <c r="BD397" s="2164"/>
      <c r="BE397" s="2164"/>
      <c r="BF397" s="2164"/>
      <c r="BG397" s="7511"/>
    </row>
    <row customHeight="1" ht="11.25">
      <c r="A398" s="1507" t="s">
        <v>990</v>
      </c>
      <c r="B398" s="1507" t="s">
        <v>1022</v>
      </c>
      <c r="C398" s="1507"/>
      <c r="D398" s="1501"/>
      <c r="E398" s="1511"/>
      <c r="F398" s="2170"/>
      <c r="G398" s="7510" t="s">
        <v>684</v>
      </c>
      <c r="H398" s="2856" t="s">
        <v>1110</v>
      </c>
      <c r="I398" s="2857" t="s">
        <v>1023</v>
      </c>
      <c r="J398" s="2826" t="s">
        <v>1071</v>
      </c>
      <c r="K398" s="2858" t="s">
        <v>1124</v>
      </c>
      <c r="L398" s="2448" t="s">
        <v>19</v>
      </c>
      <c r="M398" s="2449"/>
      <c r="N398" s="2327"/>
      <c r="O398" s="1518" t="s">
        <v>371</v>
      </c>
      <c r="P398" s="1519"/>
      <c r="Q398" s="1519"/>
      <c r="R398" s="1519"/>
      <c r="S398" s="1519"/>
      <c r="T398" s="1519"/>
      <c r="U398" s="1519"/>
      <c r="V398" s="1519"/>
      <c r="W398" s="1519"/>
      <c r="X398" s="1519"/>
      <c r="Y398" s="1519"/>
      <c r="Z398" s="1519"/>
      <c r="AA398" s="1519"/>
      <c r="AB398" s="1519"/>
      <c r="AC398" s="1519"/>
      <c r="AD398" s="1519"/>
      <c r="AE398" s="1519"/>
      <c r="AF398" s="2847">
        <v>6</v>
      </c>
      <c r="AG398" s="2848" t="s">
        <v>1026</v>
      </c>
      <c r="AH398" s="2848" t="s">
        <v>1104</v>
      </c>
      <c r="AI398" s="2847"/>
      <c r="AJ398" s="2848"/>
      <c r="AK398" s="2848"/>
      <c r="AL398" s="2329"/>
      <c r="AM398" s="2164"/>
      <c r="AN398" s="2164"/>
      <c r="AO398" s="2164"/>
      <c r="AP398" s="2164"/>
      <c r="AQ398" s="2164"/>
      <c r="AR398" s="2164"/>
      <c r="AS398" s="2164"/>
      <c r="AT398" s="2164"/>
      <c r="AU398" s="2164"/>
      <c r="AV398" s="2164"/>
      <c r="AW398" s="2164"/>
      <c r="AX398" s="2164"/>
      <c r="AY398" s="2164"/>
      <c r="AZ398" s="2164"/>
      <c r="BA398" s="2164"/>
      <c r="BB398" s="2164"/>
      <c r="BC398" s="2164"/>
      <c r="BD398" s="2164"/>
      <c r="BE398" s="2164"/>
      <c r="BF398" s="2164"/>
      <c r="BG398" s="7511"/>
    </row>
    <row customHeight="1" ht="11.25">
      <c r="A399" s="1507" t="s">
        <v>990</v>
      </c>
      <c r="B399" s="1507"/>
      <c r="C399" s="1507"/>
      <c r="D399" s="1501"/>
      <c r="E399" s="1511"/>
      <c r="F399" s="2170"/>
      <c r="G399" s="2171"/>
      <c r="H399" s="2856" t="s">
        <v>1108</v>
      </c>
      <c r="I399" s="2857"/>
      <c r="J399" s="2826"/>
      <c r="K399" s="2858"/>
      <c r="L399" s="2448"/>
      <c r="M399" s="2449"/>
      <c r="N399" s="2849"/>
      <c r="O399" s="2850">
        <v>1</v>
      </c>
      <c r="P399" s="2851" t="s">
        <v>65</v>
      </c>
      <c r="Q399" s="7512" t="s">
        <v>1105</v>
      </c>
      <c r="R399" s="7513" t="s">
        <v>1083</v>
      </c>
      <c r="S399" s="7513" t="s">
        <v>1030</v>
      </c>
      <c r="T399" s="7513" t="s">
        <v>1030</v>
      </c>
      <c r="U399" s="7513" t="s">
        <v>1031</v>
      </c>
      <c r="V399" s="7513" t="s">
        <v>1032</v>
      </c>
      <c r="W399" s="7513" t="s">
        <v>1033</v>
      </c>
      <c r="X399" s="7513" t="s">
        <v>1106</v>
      </c>
      <c r="Y399" s="7513" t="s">
        <v>1107</v>
      </c>
      <c r="Z399" s="1516"/>
      <c r="AA399" s="1517"/>
      <c r="AB399" s="1517"/>
      <c r="AC399" s="1521"/>
      <c r="AD399" s="1521"/>
      <c r="AE399" s="1522"/>
      <c r="AF399" s="2847"/>
      <c r="AG399" s="2848"/>
      <c r="AH399" s="2848"/>
      <c r="AI399" s="2847"/>
      <c r="AJ399" s="2848"/>
      <c r="AK399" s="2848"/>
      <c r="AL399" s="2329"/>
      <c r="AM399" s="2164"/>
      <c r="AN399" s="2164"/>
      <c r="AO399" s="2164"/>
      <c r="AP399" s="2164"/>
      <c r="AQ399" s="2164"/>
      <c r="AR399" s="2164"/>
      <c r="AS399" s="2164"/>
      <c r="AT399" s="2164"/>
      <c r="AU399" s="2164"/>
      <c r="AV399" s="2164"/>
      <c r="AW399" s="2164"/>
      <c r="AX399" s="2164"/>
      <c r="AY399" s="2164"/>
      <c r="AZ399" s="2164"/>
      <c r="BA399" s="2164"/>
      <c r="BB399" s="2164"/>
      <c r="BC399" s="2164"/>
      <c r="BD399" s="2164"/>
      <c r="BE399" s="2164"/>
      <c r="BF399" s="2164"/>
      <c r="BG399" s="7511"/>
    </row>
    <row customHeight="1" ht="11.25">
      <c r="A400" s="1507" t="s">
        <v>990</v>
      </c>
      <c r="B400" s="1507"/>
      <c r="C400" s="1507"/>
      <c r="D400" s="1501"/>
      <c r="E400" s="1511"/>
      <c r="F400" s="2170"/>
      <c r="G400" s="2171"/>
      <c r="H400" s="2856" t="s">
        <v>1108</v>
      </c>
      <c r="I400" s="2857"/>
      <c r="J400" s="2826"/>
      <c r="K400" s="2858"/>
      <c r="L400" s="2448"/>
      <c r="M400" s="2449"/>
      <c r="N400" s="2849"/>
      <c r="O400" s="2850"/>
      <c r="P400" s="2852"/>
      <c r="Q400" s="7512"/>
      <c r="R400" s="2854"/>
      <c r="S400" s="2855"/>
      <c r="T400" s="2854"/>
      <c r="U400" s="2854"/>
      <c r="V400" s="2854"/>
      <c r="W400" s="2854"/>
      <c r="X400" s="2854"/>
      <c r="Y400" s="2854"/>
      <c r="Z400" s="2169"/>
      <c r="AA400" s="2135">
        <v>1</v>
      </c>
      <c r="AB400" s="1520" t="s">
        <v>1070</v>
      </c>
      <c r="AC400" s="1510">
        <v>78000</v>
      </c>
      <c r="AD400" s="1520" t="str">
        <f>AB400</f>
        <v>  За счет платы за технологическое присоединение</v>
      </c>
      <c r="AE400" s="1510"/>
      <c r="AF400" s="2847"/>
      <c r="AG400" s="2848"/>
      <c r="AH400" s="2848"/>
      <c r="AI400" s="2847"/>
      <c r="AJ400" s="2848"/>
      <c r="AK400" s="2848"/>
      <c r="AL400" s="2329"/>
      <c r="AM400" s="2164"/>
      <c r="AN400" s="2164"/>
      <c r="AO400" s="2164"/>
      <c r="AP400" s="2164"/>
      <c r="AQ400" s="2164"/>
      <c r="AR400" s="2164"/>
      <c r="AS400" s="2164"/>
      <c r="AT400" s="2164"/>
      <c r="AU400" s="2164"/>
      <c r="AV400" s="2164"/>
      <c r="AW400" s="2164"/>
      <c r="AX400" s="2164"/>
      <c r="AY400" s="2164"/>
      <c r="AZ400" s="2164"/>
      <c r="BA400" s="2164"/>
      <c r="BB400" s="2164"/>
      <c r="BC400" s="2164"/>
      <c r="BD400" s="2164"/>
      <c r="BE400" s="2164"/>
      <c r="BF400" s="2164"/>
      <c r="BG400" s="7511"/>
    </row>
    <row customHeight="1" ht="11.25">
      <c r="A401" s="1507" t="s">
        <v>990</v>
      </c>
      <c r="B401" s="1507"/>
      <c r="C401" s="1507"/>
      <c r="D401" s="1501"/>
      <c r="E401" s="1511"/>
      <c r="F401" s="2171"/>
      <c r="G401" s="2171"/>
      <c r="H401" s="2171"/>
      <c r="I401" s="2171"/>
      <c r="J401" s="2171"/>
      <c r="K401" s="2171"/>
      <c r="L401" s="2171"/>
      <c r="M401" s="2171"/>
      <c r="N401" s="2171"/>
      <c r="O401" s="2171"/>
      <c r="P401" s="2171"/>
      <c r="Q401" s="2171"/>
      <c r="R401" s="2171"/>
      <c r="S401" s="2171"/>
      <c r="T401" s="2171"/>
      <c r="U401" s="2171"/>
      <c r="V401" s="2171"/>
      <c r="W401" s="2171"/>
      <c r="X401" s="2171"/>
      <c r="Y401" s="2171"/>
      <c r="Z401" s="7510" t="s">
        <v>684</v>
      </c>
      <c r="AA401" s="2155" t="s">
        <v>107</v>
      </c>
      <c r="AB401" s="1520" t="s">
        <v>1036</v>
      </c>
      <c r="AC401" s="1510">
        <v>15600</v>
      </c>
      <c r="AD401" s="1520" t="str">
        <f>AB401</f>
        <v>  Прочие собственные средства</v>
      </c>
      <c r="AE401" s="1510"/>
      <c r="AF401" s="2172"/>
      <c r="AG401" s="2100"/>
      <c r="AH401" s="2100"/>
      <c r="AI401" s="2172"/>
      <c r="AJ401" s="2100"/>
      <c r="AK401" s="2328"/>
      <c r="AL401" s="2329"/>
      <c r="AM401" s="2164"/>
      <c r="AN401" s="2164"/>
      <c r="AO401" s="2164"/>
      <c r="AP401" s="2164"/>
      <c r="AQ401" s="2164"/>
      <c r="AR401" s="2164"/>
      <c r="AS401" s="2164"/>
      <c r="AT401" s="2164"/>
      <c r="AU401" s="2164"/>
      <c r="AV401" s="2164"/>
      <c r="AW401" s="2164"/>
      <c r="AX401" s="2164"/>
      <c r="AY401" s="2164"/>
      <c r="AZ401" s="2164"/>
      <c r="BA401" s="2164"/>
      <c r="BB401" s="2164"/>
      <c r="BC401" s="2164"/>
      <c r="BD401" s="2164"/>
      <c r="BE401" s="2164"/>
      <c r="BF401" s="2164"/>
      <c r="BG401" s="7511"/>
    </row>
    <row customHeight="1" ht="11.25">
      <c r="A402" s="1507" t="s">
        <v>990</v>
      </c>
      <c r="B402" s="1507"/>
      <c r="C402" s="1507"/>
      <c r="D402" s="1501"/>
      <c r="E402" s="1511"/>
      <c r="F402" s="2170"/>
      <c r="G402" s="2171"/>
      <c r="H402" s="2856" t="s">
        <v>1108</v>
      </c>
      <c r="I402" s="2857"/>
      <c r="J402" s="2826"/>
      <c r="K402" s="2858"/>
      <c r="L402" s="2448"/>
      <c r="M402" s="2449"/>
      <c r="N402" s="2849"/>
      <c r="O402" s="2850"/>
      <c r="P402" s="2853"/>
      <c r="Q402" s="7512"/>
      <c r="R402" s="2854"/>
      <c r="S402" s="2855"/>
      <c r="T402" s="2854"/>
      <c r="U402" s="2854"/>
      <c r="V402" s="2854"/>
      <c r="W402" s="2854"/>
      <c r="X402" s="2854"/>
      <c r="Y402" s="2854"/>
      <c r="Z402" s="1516"/>
      <c r="AA402" s="1517"/>
      <c r="AB402" s="1582" t="s">
        <v>1037</v>
      </c>
      <c r="AC402" s="1521"/>
      <c r="AD402" s="1521"/>
      <c r="AE402" s="1523"/>
      <c r="AF402" s="2847"/>
      <c r="AG402" s="2848"/>
      <c r="AH402" s="2848"/>
      <c r="AI402" s="2847"/>
      <c r="AJ402" s="2848"/>
      <c r="AK402" s="2848"/>
      <c r="AL402" s="2329"/>
      <c r="AM402" s="2164"/>
      <c r="AN402" s="2164"/>
      <c r="AO402" s="2164"/>
      <c r="AP402" s="2164"/>
      <c r="AQ402" s="2164"/>
      <c r="AR402" s="2164"/>
      <c r="AS402" s="2164"/>
      <c r="AT402" s="2164"/>
      <c r="AU402" s="2164"/>
      <c r="AV402" s="2164"/>
      <c r="AW402" s="2164"/>
      <c r="AX402" s="2164"/>
      <c r="AY402" s="2164"/>
      <c r="AZ402" s="2164"/>
      <c r="BA402" s="2164"/>
      <c r="BB402" s="2164"/>
      <c r="BC402" s="2164"/>
      <c r="BD402" s="2164"/>
      <c r="BE402" s="2164"/>
      <c r="BF402" s="2164"/>
      <c r="BG402" s="7511"/>
    </row>
    <row customHeight="1" ht="11.25">
      <c r="A403" s="1507" t="s">
        <v>990</v>
      </c>
      <c r="B403" s="1507"/>
      <c r="C403" s="1507"/>
      <c r="D403" s="1501"/>
      <c r="E403" s="1511"/>
      <c r="F403" s="2170"/>
      <c r="G403" s="2171"/>
      <c r="H403" s="2856" t="s">
        <v>1108</v>
      </c>
      <c r="I403" s="2857"/>
      <c r="J403" s="2826"/>
      <c r="K403" s="2858"/>
      <c r="L403" s="2448"/>
      <c r="M403" s="2449"/>
      <c r="N403" s="1516"/>
      <c r="O403" s="1517"/>
      <c r="P403" s="1509" t="s">
        <v>1038</v>
      </c>
      <c r="Q403" s="1517"/>
      <c r="R403" s="1517"/>
      <c r="S403" s="1517"/>
      <c r="T403" s="1517"/>
      <c r="U403" s="1517"/>
      <c r="V403" s="1517"/>
      <c r="W403" s="1517"/>
      <c r="X403" s="1517"/>
      <c r="Y403" s="1517"/>
      <c r="Z403" s="1517"/>
      <c r="AA403" s="1517"/>
      <c r="AB403" s="1517"/>
      <c r="AC403" s="1517"/>
      <c r="AD403" s="1517"/>
      <c r="AE403" s="1524"/>
      <c r="AF403" s="2847"/>
      <c r="AG403" s="2848"/>
      <c r="AH403" s="2848"/>
      <c r="AI403" s="2847"/>
      <c r="AJ403" s="2848"/>
      <c r="AK403" s="2848"/>
      <c r="AL403" s="2329"/>
      <c r="AM403" s="2164"/>
      <c r="AN403" s="2164"/>
      <c r="AO403" s="2164"/>
      <c r="AP403" s="2164"/>
      <c r="AQ403" s="2164"/>
      <c r="AR403" s="2164"/>
      <c r="AS403" s="2164"/>
      <c r="AT403" s="2164"/>
      <c r="AU403" s="2164"/>
      <c r="AV403" s="2164"/>
      <c r="AW403" s="2164"/>
      <c r="AX403" s="2164"/>
      <c r="AY403" s="2164"/>
      <c r="AZ403" s="2164"/>
      <c r="BA403" s="2164"/>
      <c r="BB403" s="2164"/>
      <c r="BC403" s="2164"/>
      <c r="BD403" s="2164"/>
      <c r="BE403" s="2164"/>
      <c r="BF403" s="2164"/>
      <c r="BG403" s="7511"/>
    </row>
    <row customHeight="1" ht="11.25">
      <c r="A404" s="1507" t="s">
        <v>990</v>
      </c>
      <c r="B404" s="1507" t="s">
        <v>1022</v>
      </c>
      <c r="C404" s="1507"/>
      <c r="D404" s="1501"/>
      <c r="E404" s="1511"/>
      <c r="F404" s="2170"/>
      <c r="G404" s="7510" t="s">
        <v>684</v>
      </c>
      <c r="H404" s="2856" t="s">
        <v>1112</v>
      </c>
      <c r="I404" s="2857" t="s">
        <v>1023</v>
      </c>
      <c r="J404" s="2826" t="s">
        <v>1071</v>
      </c>
      <c r="K404" s="2858" t="s">
        <v>1185</v>
      </c>
      <c r="L404" s="2448" t="s">
        <v>19</v>
      </c>
      <c r="M404" s="2449"/>
      <c r="N404" s="2327"/>
      <c r="O404" s="1518" t="s">
        <v>371</v>
      </c>
      <c r="P404" s="1519"/>
      <c r="Q404" s="1519"/>
      <c r="R404" s="1519"/>
      <c r="S404" s="1519"/>
      <c r="T404" s="1519"/>
      <c r="U404" s="1519"/>
      <c r="V404" s="1519"/>
      <c r="W404" s="1519"/>
      <c r="X404" s="1519"/>
      <c r="Y404" s="1519"/>
      <c r="Z404" s="1519"/>
      <c r="AA404" s="1519"/>
      <c r="AB404" s="1519"/>
      <c r="AC404" s="1519"/>
      <c r="AD404" s="1519"/>
      <c r="AE404" s="1519"/>
      <c r="AF404" s="2847">
        <v>2</v>
      </c>
      <c r="AG404" s="2848" t="s">
        <v>1067</v>
      </c>
      <c r="AH404" s="2848" t="s">
        <v>1104</v>
      </c>
      <c r="AI404" s="2847"/>
      <c r="AJ404" s="2848"/>
      <c r="AK404" s="2848"/>
      <c r="AL404" s="2329"/>
      <c r="AM404" s="2164"/>
      <c r="AN404" s="2164"/>
      <c r="AO404" s="2164"/>
      <c r="AP404" s="2164"/>
      <c r="AQ404" s="2164"/>
      <c r="AR404" s="2164"/>
      <c r="AS404" s="2164"/>
      <c r="AT404" s="2164"/>
      <c r="AU404" s="2164"/>
      <c r="AV404" s="2164"/>
      <c r="AW404" s="2164"/>
      <c r="AX404" s="2164"/>
      <c r="AY404" s="2164"/>
      <c r="AZ404" s="2164"/>
      <c r="BA404" s="2164"/>
      <c r="BB404" s="2164"/>
      <c r="BC404" s="2164"/>
      <c r="BD404" s="2164"/>
      <c r="BE404" s="2164"/>
      <c r="BF404" s="2164"/>
      <c r="BG404" s="7511"/>
    </row>
    <row customHeight="1" ht="11.25">
      <c r="A405" s="1507" t="s">
        <v>990</v>
      </c>
      <c r="B405" s="1507"/>
      <c r="C405" s="1507"/>
      <c r="D405" s="1501"/>
      <c r="E405" s="1511"/>
      <c r="F405" s="2170"/>
      <c r="G405" s="2171"/>
      <c r="H405" s="2856" t="s">
        <v>1110</v>
      </c>
      <c r="I405" s="2857"/>
      <c r="J405" s="2826"/>
      <c r="K405" s="2858"/>
      <c r="L405" s="2448"/>
      <c r="M405" s="2449"/>
      <c r="N405" s="2849"/>
      <c r="O405" s="2850">
        <v>1</v>
      </c>
      <c r="P405" s="2851" t="s">
        <v>65</v>
      </c>
      <c r="Q405" s="7512" t="s">
        <v>1105</v>
      </c>
      <c r="R405" s="7513" t="s">
        <v>1083</v>
      </c>
      <c r="S405" s="7513" t="s">
        <v>1030</v>
      </c>
      <c r="T405" s="7513" t="s">
        <v>1030</v>
      </c>
      <c r="U405" s="7513" t="s">
        <v>1031</v>
      </c>
      <c r="V405" s="7513" t="s">
        <v>1032</v>
      </c>
      <c r="W405" s="7513" t="s">
        <v>1033</v>
      </c>
      <c r="X405" s="7513" t="s">
        <v>1106</v>
      </c>
      <c r="Y405" s="7513" t="s">
        <v>1107</v>
      </c>
      <c r="Z405" s="1516"/>
      <c r="AA405" s="1517"/>
      <c r="AB405" s="1517"/>
      <c r="AC405" s="1521"/>
      <c r="AD405" s="1521"/>
      <c r="AE405" s="1522"/>
      <c r="AF405" s="2847"/>
      <c r="AG405" s="2848"/>
      <c r="AH405" s="2848"/>
      <c r="AI405" s="2847"/>
      <c r="AJ405" s="2848"/>
      <c r="AK405" s="2848"/>
      <c r="AL405" s="2329"/>
      <c r="AM405" s="2164"/>
      <c r="AN405" s="2164"/>
      <c r="AO405" s="2164"/>
      <c r="AP405" s="2164"/>
      <c r="AQ405" s="2164"/>
      <c r="AR405" s="2164"/>
      <c r="AS405" s="2164"/>
      <c r="AT405" s="2164"/>
      <c r="AU405" s="2164"/>
      <c r="AV405" s="2164"/>
      <c r="AW405" s="2164"/>
      <c r="AX405" s="2164"/>
      <c r="AY405" s="2164"/>
      <c r="AZ405" s="2164"/>
      <c r="BA405" s="2164"/>
      <c r="BB405" s="2164"/>
      <c r="BC405" s="2164"/>
      <c r="BD405" s="2164"/>
      <c r="BE405" s="2164"/>
      <c r="BF405" s="2164"/>
      <c r="BG405" s="7511"/>
    </row>
    <row customHeight="1" ht="11.25">
      <c r="A406" s="1507" t="s">
        <v>990</v>
      </c>
      <c r="B406" s="1507"/>
      <c r="C406" s="1507"/>
      <c r="D406" s="1501"/>
      <c r="E406" s="1511"/>
      <c r="F406" s="2170"/>
      <c r="G406" s="2171"/>
      <c r="H406" s="2856" t="s">
        <v>1110</v>
      </c>
      <c r="I406" s="2857"/>
      <c r="J406" s="2826"/>
      <c r="K406" s="2858"/>
      <c r="L406" s="2448"/>
      <c r="M406" s="2449"/>
      <c r="N406" s="2849"/>
      <c r="O406" s="2850"/>
      <c r="P406" s="2852"/>
      <c r="Q406" s="7512"/>
      <c r="R406" s="2854"/>
      <c r="S406" s="2855"/>
      <c r="T406" s="2854"/>
      <c r="U406" s="2854"/>
      <c r="V406" s="2854"/>
      <c r="W406" s="2854"/>
      <c r="X406" s="2854"/>
      <c r="Y406" s="2854"/>
      <c r="Z406" s="2169"/>
      <c r="AA406" s="2135">
        <v>1</v>
      </c>
      <c r="AB406" s="1520" t="s">
        <v>1070</v>
      </c>
      <c r="AC406" s="1510">
        <v>62552.34611</v>
      </c>
      <c r="AD406" s="1520" t="str">
        <f>AB406</f>
        <v>  За счет платы за технологическое присоединение</v>
      </c>
      <c r="AE406" s="1510"/>
      <c r="AF406" s="2847"/>
      <c r="AG406" s="2848"/>
      <c r="AH406" s="2848"/>
      <c r="AI406" s="2847"/>
      <c r="AJ406" s="2848"/>
      <c r="AK406" s="2848"/>
      <c r="AL406" s="2329"/>
      <c r="AM406" s="2164"/>
      <c r="AN406" s="2164"/>
      <c r="AO406" s="2164"/>
      <c r="AP406" s="2164"/>
      <c r="AQ406" s="2164"/>
      <c r="AR406" s="2164"/>
      <c r="AS406" s="2164"/>
      <c r="AT406" s="2164"/>
      <c r="AU406" s="2164"/>
      <c r="AV406" s="2164"/>
      <c r="AW406" s="2164"/>
      <c r="AX406" s="2164"/>
      <c r="AY406" s="2164"/>
      <c r="AZ406" s="2164"/>
      <c r="BA406" s="2164"/>
      <c r="BB406" s="2164"/>
      <c r="BC406" s="2164"/>
      <c r="BD406" s="2164"/>
      <c r="BE406" s="2164"/>
      <c r="BF406" s="2164"/>
      <c r="BG406" s="7511"/>
    </row>
    <row customHeight="1" ht="11.25">
      <c r="A407" s="1507" t="s">
        <v>990</v>
      </c>
      <c r="B407" s="1507"/>
      <c r="C407" s="1507"/>
      <c r="D407" s="1501"/>
      <c r="E407" s="1511"/>
      <c r="F407" s="2171"/>
      <c r="G407" s="2171"/>
      <c r="H407" s="2171"/>
      <c r="I407" s="2171"/>
      <c r="J407" s="2171"/>
      <c r="K407" s="2171"/>
      <c r="L407" s="2171"/>
      <c r="M407" s="2171"/>
      <c r="N407" s="2171"/>
      <c r="O407" s="2171"/>
      <c r="P407" s="2171"/>
      <c r="Q407" s="2171"/>
      <c r="R407" s="2171"/>
      <c r="S407" s="2171"/>
      <c r="T407" s="2171"/>
      <c r="U407" s="2171"/>
      <c r="V407" s="2171"/>
      <c r="W407" s="2171"/>
      <c r="X407" s="2171"/>
      <c r="Y407" s="2171"/>
      <c r="Z407" s="7510" t="s">
        <v>684</v>
      </c>
      <c r="AA407" s="2155" t="s">
        <v>107</v>
      </c>
      <c r="AB407" s="1520" t="s">
        <v>1036</v>
      </c>
      <c r="AC407" s="1510">
        <v>12510.46922</v>
      </c>
      <c r="AD407" s="1520" t="str">
        <f>AB407</f>
        <v>  Прочие собственные средства</v>
      </c>
      <c r="AE407" s="1510"/>
      <c r="AF407" s="2172"/>
      <c r="AG407" s="2100"/>
      <c r="AH407" s="2100"/>
      <c r="AI407" s="2172"/>
      <c r="AJ407" s="2100"/>
      <c r="AK407" s="2328"/>
      <c r="AL407" s="2329"/>
      <c r="AM407" s="2164"/>
      <c r="AN407" s="2164"/>
      <c r="AO407" s="2164"/>
      <c r="AP407" s="2164"/>
      <c r="AQ407" s="2164"/>
      <c r="AR407" s="2164"/>
      <c r="AS407" s="2164"/>
      <c r="AT407" s="2164"/>
      <c r="AU407" s="2164"/>
      <c r="AV407" s="2164"/>
      <c r="AW407" s="2164"/>
      <c r="AX407" s="2164"/>
      <c r="AY407" s="2164"/>
      <c r="AZ407" s="2164"/>
      <c r="BA407" s="2164"/>
      <c r="BB407" s="2164"/>
      <c r="BC407" s="2164"/>
      <c r="BD407" s="2164"/>
      <c r="BE407" s="2164"/>
      <c r="BF407" s="2164"/>
      <c r="BG407" s="7511"/>
    </row>
    <row customHeight="1" ht="11.25">
      <c r="A408" s="1507" t="s">
        <v>990</v>
      </c>
      <c r="B408" s="1507"/>
      <c r="C408" s="1507"/>
      <c r="D408" s="1501"/>
      <c r="E408" s="1511"/>
      <c r="F408" s="2170"/>
      <c r="G408" s="2171"/>
      <c r="H408" s="2856" t="s">
        <v>1110</v>
      </c>
      <c r="I408" s="2857"/>
      <c r="J408" s="2826"/>
      <c r="K408" s="2858"/>
      <c r="L408" s="2448"/>
      <c r="M408" s="2449"/>
      <c r="N408" s="2849"/>
      <c r="O408" s="2850"/>
      <c r="P408" s="2853"/>
      <c r="Q408" s="7512"/>
      <c r="R408" s="2854"/>
      <c r="S408" s="2855"/>
      <c r="T408" s="2854"/>
      <c r="U408" s="2854"/>
      <c r="V408" s="2854"/>
      <c r="W408" s="2854"/>
      <c r="X408" s="2854"/>
      <c r="Y408" s="2854"/>
      <c r="Z408" s="1516"/>
      <c r="AA408" s="1517"/>
      <c r="AB408" s="1582" t="s">
        <v>1037</v>
      </c>
      <c r="AC408" s="1521"/>
      <c r="AD408" s="1521"/>
      <c r="AE408" s="1523"/>
      <c r="AF408" s="2847"/>
      <c r="AG408" s="2848"/>
      <c r="AH408" s="2848"/>
      <c r="AI408" s="2847"/>
      <c r="AJ408" s="2848"/>
      <c r="AK408" s="2848"/>
      <c r="AL408" s="2329"/>
      <c r="AM408" s="2164"/>
      <c r="AN408" s="2164"/>
      <c r="AO408" s="2164"/>
      <c r="AP408" s="2164"/>
      <c r="AQ408" s="2164"/>
      <c r="AR408" s="2164"/>
      <c r="AS408" s="2164"/>
      <c r="AT408" s="2164"/>
      <c r="AU408" s="2164"/>
      <c r="AV408" s="2164"/>
      <c r="AW408" s="2164"/>
      <c r="AX408" s="2164"/>
      <c r="AY408" s="2164"/>
      <c r="AZ408" s="2164"/>
      <c r="BA408" s="2164"/>
      <c r="BB408" s="2164"/>
      <c r="BC408" s="2164"/>
      <c r="BD408" s="2164"/>
      <c r="BE408" s="2164"/>
      <c r="BF408" s="2164"/>
      <c r="BG408" s="7511"/>
    </row>
    <row customHeight="1" ht="11.25">
      <c r="A409" s="1507" t="s">
        <v>990</v>
      </c>
      <c r="B409" s="1507"/>
      <c r="C409" s="1507"/>
      <c r="D409" s="1501"/>
      <c r="E409" s="1511"/>
      <c r="F409" s="2170"/>
      <c r="G409" s="2171"/>
      <c r="H409" s="2856" t="s">
        <v>1110</v>
      </c>
      <c r="I409" s="2857"/>
      <c r="J409" s="2826"/>
      <c r="K409" s="2858"/>
      <c r="L409" s="2448"/>
      <c r="M409" s="2449"/>
      <c r="N409" s="1516"/>
      <c r="O409" s="1517"/>
      <c r="P409" s="1509" t="s">
        <v>1038</v>
      </c>
      <c r="Q409" s="1517"/>
      <c r="R409" s="1517"/>
      <c r="S409" s="1517"/>
      <c r="T409" s="1517"/>
      <c r="U409" s="1517"/>
      <c r="V409" s="1517"/>
      <c r="W409" s="1517"/>
      <c r="X409" s="1517"/>
      <c r="Y409" s="1517"/>
      <c r="Z409" s="1517"/>
      <c r="AA409" s="1517"/>
      <c r="AB409" s="1517"/>
      <c r="AC409" s="1517"/>
      <c r="AD409" s="1517"/>
      <c r="AE409" s="1524"/>
      <c r="AF409" s="2847"/>
      <c r="AG409" s="2848"/>
      <c r="AH409" s="2848"/>
      <c r="AI409" s="2847"/>
      <c r="AJ409" s="2848"/>
      <c r="AK409" s="2848"/>
      <c r="AL409" s="2329"/>
      <c r="AM409" s="2164"/>
      <c r="AN409" s="2164"/>
      <c r="AO409" s="2164"/>
      <c r="AP409" s="2164"/>
      <c r="AQ409" s="2164"/>
      <c r="AR409" s="2164"/>
      <c r="AS409" s="2164"/>
      <c r="AT409" s="2164"/>
      <c r="AU409" s="2164"/>
      <c r="AV409" s="2164"/>
      <c r="AW409" s="2164"/>
      <c r="AX409" s="2164"/>
      <c r="AY409" s="2164"/>
      <c r="AZ409" s="2164"/>
      <c r="BA409" s="2164"/>
      <c r="BB409" s="2164"/>
      <c r="BC409" s="2164"/>
      <c r="BD409" s="2164"/>
      <c r="BE409" s="2164"/>
      <c r="BF409" s="2164"/>
      <c r="BG409" s="7511"/>
    </row>
    <row customHeight="1" ht="11.25">
      <c r="A410" s="1507" t="s">
        <v>990</v>
      </c>
      <c r="B410" s="1507" t="s">
        <v>1022</v>
      </c>
      <c r="C410" s="1507"/>
      <c r="D410" s="1501"/>
      <c r="E410" s="1511"/>
      <c r="F410" s="2170"/>
      <c r="G410" s="7510" t="s">
        <v>684</v>
      </c>
      <c r="H410" s="2856" t="s">
        <v>1114</v>
      </c>
      <c r="I410" s="2857" t="s">
        <v>1023</v>
      </c>
      <c r="J410" s="2826" t="s">
        <v>1071</v>
      </c>
      <c r="K410" s="2858" t="s">
        <v>1132</v>
      </c>
      <c r="L410" s="2448" t="s">
        <v>19</v>
      </c>
      <c r="M410" s="2449"/>
      <c r="N410" s="2327"/>
      <c r="O410" s="1518" t="s">
        <v>371</v>
      </c>
      <c r="P410" s="1519"/>
      <c r="Q410" s="1519"/>
      <c r="R410" s="1519"/>
      <c r="S410" s="1519"/>
      <c r="T410" s="1519"/>
      <c r="U410" s="1519"/>
      <c r="V410" s="1519"/>
      <c r="W410" s="1519"/>
      <c r="X410" s="1519"/>
      <c r="Y410" s="1519"/>
      <c r="Z410" s="1519"/>
      <c r="AA410" s="1519"/>
      <c r="AB410" s="1519"/>
      <c r="AC410" s="1519"/>
      <c r="AD410" s="1519"/>
      <c r="AE410" s="1519"/>
      <c r="AF410" s="2847">
        <v>6</v>
      </c>
      <c r="AG410" s="2848" t="s">
        <v>1067</v>
      </c>
      <c r="AH410" s="2848" t="s">
        <v>1104</v>
      </c>
      <c r="AI410" s="2847"/>
      <c r="AJ410" s="2848"/>
      <c r="AK410" s="2848"/>
      <c r="AL410" s="2329"/>
      <c r="AM410" s="2164"/>
      <c r="AN410" s="2164"/>
      <c r="AO410" s="2164"/>
      <c r="AP410" s="2164"/>
      <c r="AQ410" s="2164"/>
      <c r="AR410" s="2164"/>
      <c r="AS410" s="2164"/>
      <c r="AT410" s="2164"/>
      <c r="AU410" s="2164"/>
      <c r="AV410" s="2164"/>
      <c r="AW410" s="2164"/>
      <c r="AX410" s="2164"/>
      <c r="AY410" s="2164"/>
      <c r="AZ410" s="2164"/>
      <c r="BA410" s="2164"/>
      <c r="BB410" s="2164"/>
      <c r="BC410" s="2164"/>
      <c r="BD410" s="2164"/>
      <c r="BE410" s="2164"/>
      <c r="BF410" s="2164"/>
      <c r="BG410" s="7511"/>
    </row>
    <row customHeight="1" ht="11.25">
      <c r="A411" s="1507" t="s">
        <v>990</v>
      </c>
      <c r="B411" s="1507"/>
      <c r="C411" s="1507"/>
      <c r="D411" s="1501"/>
      <c r="E411" s="1511"/>
      <c r="F411" s="2170"/>
      <c r="G411" s="2171"/>
      <c r="H411" s="2856" t="s">
        <v>1112</v>
      </c>
      <c r="I411" s="2857"/>
      <c r="J411" s="2826"/>
      <c r="K411" s="2858"/>
      <c r="L411" s="2448"/>
      <c r="M411" s="2449"/>
      <c r="N411" s="2849"/>
      <c r="O411" s="2850">
        <v>1</v>
      </c>
      <c r="P411" s="2851" t="s">
        <v>65</v>
      </c>
      <c r="Q411" s="7512" t="s">
        <v>1105</v>
      </c>
      <c r="R411" s="7513" t="s">
        <v>1083</v>
      </c>
      <c r="S411" s="7513" t="s">
        <v>1030</v>
      </c>
      <c r="T411" s="7513" t="s">
        <v>1030</v>
      </c>
      <c r="U411" s="7513" t="s">
        <v>1031</v>
      </c>
      <c r="V411" s="7513" t="s">
        <v>1032</v>
      </c>
      <c r="W411" s="7513" t="s">
        <v>1033</v>
      </c>
      <c r="X411" s="7513" t="s">
        <v>1106</v>
      </c>
      <c r="Y411" s="7513" t="s">
        <v>1107</v>
      </c>
      <c r="Z411" s="1516"/>
      <c r="AA411" s="1517"/>
      <c r="AB411" s="1517"/>
      <c r="AC411" s="1521"/>
      <c r="AD411" s="1521"/>
      <c r="AE411" s="1522"/>
      <c r="AF411" s="2847"/>
      <c r="AG411" s="2848"/>
      <c r="AH411" s="2848"/>
      <c r="AI411" s="2847"/>
      <c r="AJ411" s="2848"/>
      <c r="AK411" s="2848"/>
      <c r="AL411" s="2329"/>
      <c r="AM411" s="2164"/>
      <c r="AN411" s="2164"/>
      <c r="AO411" s="2164"/>
      <c r="AP411" s="2164"/>
      <c r="AQ411" s="2164"/>
      <c r="AR411" s="2164"/>
      <c r="AS411" s="2164"/>
      <c r="AT411" s="2164"/>
      <c r="AU411" s="2164"/>
      <c r="AV411" s="2164"/>
      <c r="AW411" s="2164"/>
      <c r="AX411" s="2164"/>
      <c r="AY411" s="2164"/>
      <c r="AZ411" s="2164"/>
      <c r="BA411" s="2164"/>
      <c r="BB411" s="2164"/>
      <c r="BC411" s="2164"/>
      <c r="BD411" s="2164"/>
      <c r="BE411" s="2164"/>
      <c r="BF411" s="2164"/>
      <c r="BG411" s="7511"/>
    </row>
    <row customHeight="1" ht="11.25">
      <c r="A412" s="1507" t="s">
        <v>990</v>
      </c>
      <c r="B412" s="1507"/>
      <c r="C412" s="1507"/>
      <c r="D412" s="1501"/>
      <c r="E412" s="1511"/>
      <c r="F412" s="2170"/>
      <c r="G412" s="2171"/>
      <c r="H412" s="2856" t="s">
        <v>1112</v>
      </c>
      <c r="I412" s="2857"/>
      <c r="J412" s="2826"/>
      <c r="K412" s="2858"/>
      <c r="L412" s="2448"/>
      <c r="M412" s="2449"/>
      <c r="N412" s="2849"/>
      <c r="O412" s="2850"/>
      <c r="P412" s="2852"/>
      <c r="Q412" s="7512"/>
      <c r="R412" s="2854"/>
      <c r="S412" s="2855"/>
      <c r="T412" s="2854"/>
      <c r="U412" s="2854"/>
      <c r="V412" s="2854"/>
      <c r="W412" s="2854"/>
      <c r="X412" s="2854"/>
      <c r="Y412" s="2854"/>
      <c r="Z412" s="2169"/>
      <c r="AA412" s="2135">
        <v>1</v>
      </c>
      <c r="AB412" s="1520" t="s">
        <v>1070</v>
      </c>
      <c r="AC412" s="1510">
        <v>41776.06</v>
      </c>
      <c r="AD412" s="1520" t="str">
        <f>AB412</f>
        <v>  За счет платы за технологическое присоединение</v>
      </c>
      <c r="AE412" s="1510"/>
      <c r="AF412" s="2847"/>
      <c r="AG412" s="2848"/>
      <c r="AH412" s="2848"/>
      <c r="AI412" s="2847"/>
      <c r="AJ412" s="2848"/>
      <c r="AK412" s="2848"/>
      <c r="AL412" s="2329"/>
      <c r="AM412" s="2164"/>
      <c r="AN412" s="2164"/>
      <c r="AO412" s="2164"/>
      <c r="AP412" s="2164"/>
      <c r="AQ412" s="2164"/>
      <c r="AR412" s="2164"/>
      <c r="AS412" s="2164"/>
      <c r="AT412" s="2164"/>
      <c r="AU412" s="2164"/>
      <c r="AV412" s="2164"/>
      <c r="AW412" s="2164"/>
      <c r="AX412" s="2164"/>
      <c r="AY412" s="2164"/>
      <c r="AZ412" s="2164"/>
      <c r="BA412" s="2164"/>
      <c r="BB412" s="2164"/>
      <c r="BC412" s="2164"/>
      <c r="BD412" s="2164"/>
      <c r="BE412" s="2164"/>
      <c r="BF412" s="2164"/>
      <c r="BG412" s="7511"/>
    </row>
    <row customHeight="1" ht="11.25">
      <c r="A413" s="1507" t="s">
        <v>990</v>
      </c>
      <c r="B413" s="1507"/>
      <c r="C413" s="1507"/>
      <c r="D413" s="1501"/>
      <c r="E413" s="1511"/>
      <c r="F413" s="2171"/>
      <c r="G413" s="2171"/>
      <c r="H413" s="2171"/>
      <c r="I413" s="2171"/>
      <c r="J413" s="2171"/>
      <c r="K413" s="2171"/>
      <c r="L413" s="2171"/>
      <c r="M413" s="2171"/>
      <c r="N413" s="2171"/>
      <c r="O413" s="2171"/>
      <c r="P413" s="2171"/>
      <c r="Q413" s="2171"/>
      <c r="R413" s="2171"/>
      <c r="S413" s="2171"/>
      <c r="T413" s="2171"/>
      <c r="U413" s="2171"/>
      <c r="V413" s="2171"/>
      <c r="W413" s="2171"/>
      <c r="X413" s="2171"/>
      <c r="Y413" s="2171"/>
      <c r="Z413" s="7510" t="s">
        <v>684</v>
      </c>
      <c r="AA413" s="2155" t="s">
        <v>107</v>
      </c>
      <c r="AB413" s="1520" t="s">
        <v>1036</v>
      </c>
      <c r="AC413" s="1510">
        <v>8355.212</v>
      </c>
      <c r="AD413" s="1520" t="str">
        <f>AB413</f>
        <v>  Прочие собственные средства</v>
      </c>
      <c r="AE413" s="1510"/>
      <c r="AF413" s="2172"/>
      <c r="AG413" s="2100"/>
      <c r="AH413" s="2100"/>
      <c r="AI413" s="2172"/>
      <c r="AJ413" s="2100"/>
      <c r="AK413" s="2328"/>
      <c r="AL413" s="2329"/>
      <c r="AM413" s="2164"/>
      <c r="AN413" s="2164"/>
      <c r="AO413" s="2164"/>
      <c r="AP413" s="2164"/>
      <c r="AQ413" s="2164"/>
      <c r="AR413" s="2164"/>
      <c r="AS413" s="2164"/>
      <c r="AT413" s="2164"/>
      <c r="AU413" s="2164"/>
      <c r="AV413" s="2164"/>
      <c r="AW413" s="2164"/>
      <c r="AX413" s="2164"/>
      <c r="AY413" s="2164"/>
      <c r="AZ413" s="2164"/>
      <c r="BA413" s="2164"/>
      <c r="BB413" s="2164"/>
      <c r="BC413" s="2164"/>
      <c r="BD413" s="2164"/>
      <c r="BE413" s="2164"/>
      <c r="BF413" s="2164"/>
      <c r="BG413" s="7511"/>
    </row>
    <row customHeight="1" ht="11.25">
      <c r="A414" s="1507" t="s">
        <v>990</v>
      </c>
      <c r="B414" s="1507"/>
      <c r="C414" s="1507"/>
      <c r="D414" s="1501"/>
      <c r="E414" s="1511"/>
      <c r="F414" s="2170"/>
      <c r="G414" s="2171"/>
      <c r="H414" s="2856" t="s">
        <v>1112</v>
      </c>
      <c r="I414" s="2857"/>
      <c r="J414" s="2826"/>
      <c r="K414" s="2858"/>
      <c r="L414" s="2448"/>
      <c r="M414" s="2449"/>
      <c r="N414" s="2849"/>
      <c r="O414" s="2850"/>
      <c r="P414" s="2853"/>
      <c r="Q414" s="7512"/>
      <c r="R414" s="2854"/>
      <c r="S414" s="2855"/>
      <c r="T414" s="2854"/>
      <c r="U414" s="2854"/>
      <c r="V414" s="2854"/>
      <c r="W414" s="2854"/>
      <c r="X414" s="2854"/>
      <c r="Y414" s="2854"/>
      <c r="Z414" s="1516"/>
      <c r="AA414" s="1517"/>
      <c r="AB414" s="1582" t="s">
        <v>1037</v>
      </c>
      <c r="AC414" s="1521"/>
      <c r="AD414" s="1521"/>
      <c r="AE414" s="1523"/>
      <c r="AF414" s="2847"/>
      <c r="AG414" s="2848"/>
      <c r="AH414" s="2848"/>
      <c r="AI414" s="2847"/>
      <c r="AJ414" s="2848"/>
      <c r="AK414" s="2848"/>
      <c r="AL414" s="2329"/>
      <c r="AM414" s="2164"/>
      <c r="AN414" s="2164"/>
      <c r="AO414" s="2164"/>
      <c r="AP414" s="2164"/>
      <c r="AQ414" s="2164"/>
      <c r="AR414" s="2164"/>
      <c r="AS414" s="2164"/>
      <c r="AT414" s="2164"/>
      <c r="AU414" s="2164"/>
      <c r="AV414" s="2164"/>
      <c r="AW414" s="2164"/>
      <c r="AX414" s="2164"/>
      <c r="AY414" s="2164"/>
      <c r="AZ414" s="2164"/>
      <c r="BA414" s="2164"/>
      <c r="BB414" s="2164"/>
      <c r="BC414" s="2164"/>
      <c r="BD414" s="2164"/>
      <c r="BE414" s="2164"/>
      <c r="BF414" s="2164"/>
      <c r="BG414" s="7511"/>
    </row>
    <row customHeight="1" ht="11.25">
      <c r="A415" s="1507" t="s">
        <v>990</v>
      </c>
      <c r="B415" s="1507"/>
      <c r="C415" s="1507"/>
      <c r="D415" s="1501"/>
      <c r="E415" s="1511"/>
      <c r="F415" s="2170"/>
      <c r="G415" s="2171"/>
      <c r="H415" s="2856" t="s">
        <v>1112</v>
      </c>
      <c r="I415" s="2857"/>
      <c r="J415" s="2826"/>
      <c r="K415" s="2858"/>
      <c r="L415" s="2448"/>
      <c r="M415" s="2449"/>
      <c r="N415" s="1516"/>
      <c r="O415" s="1517"/>
      <c r="P415" s="1509" t="s">
        <v>1038</v>
      </c>
      <c r="Q415" s="1517"/>
      <c r="R415" s="1517"/>
      <c r="S415" s="1517"/>
      <c r="T415" s="1517"/>
      <c r="U415" s="1517"/>
      <c r="V415" s="1517"/>
      <c r="W415" s="1517"/>
      <c r="X415" s="1517"/>
      <c r="Y415" s="1517"/>
      <c r="Z415" s="1517"/>
      <c r="AA415" s="1517"/>
      <c r="AB415" s="1517"/>
      <c r="AC415" s="1517"/>
      <c r="AD415" s="1517"/>
      <c r="AE415" s="1524"/>
      <c r="AF415" s="2847"/>
      <c r="AG415" s="2848"/>
      <c r="AH415" s="2848"/>
      <c r="AI415" s="2847"/>
      <c r="AJ415" s="2848"/>
      <c r="AK415" s="2848"/>
      <c r="AL415" s="2329"/>
      <c r="AM415" s="2164"/>
      <c r="AN415" s="2164"/>
      <c r="AO415" s="2164"/>
      <c r="AP415" s="2164"/>
      <c r="AQ415" s="2164"/>
      <c r="AR415" s="2164"/>
      <c r="AS415" s="2164"/>
      <c r="AT415" s="2164"/>
      <c r="AU415" s="2164"/>
      <c r="AV415" s="2164"/>
      <c r="AW415" s="2164"/>
      <c r="AX415" s="2164"/>
      <c r="AY415" s="2164"/>
      <c r="AZ415" s="2164"/>
      <c r="BA415" s="2164"/>
      <c r="BB415" s="2164"/>
      <c r="BC415" s="2164"/>
      <c r="BD415" s="2164"/>
      <c r="BE415" s="2164"/>
      <c r="BF415" s="2164"/>
      <c r="BG415" s="7511"/>
    </row>
    <row customHeight="1" ht="11.25">
      <c r="A416" s="1507" t="s">
        <v>990</v>
      </c>
      <c r="B416" s="1507" t="s">
        <v>1139</v>
      </c>
      <c r="C416" s="1507"/>
      <c r="D416" s="1501"/>
      <c r="E416" s="1511"/>
      <c r="F416" s="2170"/>
      <c r="G416" s="7510" t="s">
        <v>684</v>
      </c>
      <c r="H416" s="2856" t="s">
        <v>1116</v>
      </c>
      <c r="I416" s="2857" t="s">
        <v>1141</v>
      </c>
      <c r="J416" s="2826" t="s">
        <v>1142</v>
      </c>
      <c r="K416" s="2858" t="s">
        <v>1150</v>
      </c>
      <c r="L416" s="2448" t="s">
        <v>19</v>
      </c>
      <c r="M416" s="2449"/>
      <c r="N416" s="2327"/>
      <c r="O416" s="1518" t="s">
        <v>371</v>
      </c>
      <c r="P416" s="1519"/>
      <c r="Q416" s="1519"/>
      <c r="R416" s="1519"/>
      <c r="S416" s="1519"/>
      <c r="T416" s="1519"/>
      <c r="U416" s="1519"/>
      <c r="V416" s="1519"/>
      <c r="W416" s="1519"/>
      <c r="X416" s="1519"/>
      <c r="Y416" s="1519"/>
      <c r="Z416" s="1519"/>
      <c r="AA416" s="1519"/>
      <c r="AB416" s="1519"/>
      <c r="AC416" s="1519"/>
      <c r="AD416" s="1519"/>
      <c r="AE416" s="1519"/>
      <c r="AF416" s="2847">
        <v>6</v>
      </c>
      <c r="AG416" s="2848" t="s">
        <v>1067</v>
      </c>
      <c r="AH416" s="2848" t="s">
        <v>1104</v>
      </c>
      <c r="AI416" s="2847"/>
      <c r="AJ416" s="2848"/>
      <c r="AK416" s="2848"/>
      <c r="AL416" s="2329"/>
      <c r="AM416" s="2164"/>
      <c r="AN416" s="2164"/>
      <c r="AO416" s="2164"/>
      <c r="AP416" s="2164"/>
      <c r="AQ416" s="2164"/>
      <c r="AR416" s="2164"/>
      <c r="AS416" s="2164"/>
      <c r="AT416" s="2164"/>
      <c r="AU416" s="2164"/>
      <c r="AV416" s="2164"/>
      <c r="AW416" s="2164"/>
      <c r="AX416" s="2164"/>
      <c r="AY416" s="2164"/>
      <c r="AZ416" s="2164"/>
      <c r="BA416" s="2164"/>
      <c r="BB416" s="2164"/>
      <c r="BC416" s="2164"/>
      <c r="BD416" s="2164"/>
      <c r="BE416" s="2164"/>
      <c r="BF416" s="2164"/>
      <c r="BG416" s="7511"/>
    </row>
    <row customHeight="1" ht="11.25">
      <c r="A417" s="1507" t="s">
        <v>990</v>
      </c>
      <c r="B417" s="1507"/>
      <c r="C417" s="1507"/>
      <c r="D417" s="1501"/>
      <c r="E417" s="1511"/>
      <c r="F417" s="2170"/>
      <c r="G417" s="2171"/>
      <c r="H417" s="2856" t="s">
        <v>1114</v>
      </c>
      <c r="I417" s="2857"/>
      <c r="J417" s="2826"/>
      <c r="K417" s="2858"/>
      <c r="L417" s="2448"/>
      <c r="M417" s="2449"/>
      <c r="N417" s="2849"/>
      <c r="O417" s="2850">
        <v>1</v>
      </c>
      <c r="P417" s="2851" t="s">
        <v>65</v>
      </c>
      <c r="Q417" s="7512" t="s">
        <v>1105</v>
      </c>
      <c r="R417" s="7513" t="s">
        <v>1083</v>
      </c>
      <c r="S417" s="7513" t="s">
        <v>1030</v>
      </c>
      <c r="T417" s="7513" t="s">
        <v>1030</v>
      </c>
      <c r="U417" s="7513" t="s">
        <v>1031</v>
      </c>
      <c r="V417" s="7513" t="s">
        <v>1032</v>
      </c>
      <c r="W417" s="7513" t="s">
        <v>1033</v>
      </c>
      <c r="X417" s="7513" t="s">
        <v>1106</v>
      </c>
      <c r="Y417" s="7513" t="s">
        <v>1107</v>
      </c>
      <c r="Z417" s="1516"/>
      <c r="AA417" s="1517"/>
      <c r="AB417" s="1517"/>
      <c r="AC417" s="1521"/>
      <c r="AD417" s="1521"/>
      <c r="AE417" s="1522"/>
      <c r="AF417" s="2847"/>
      <c r="AG417" s="2848"/>
      <c r="AH417" s="2848"/>
      <c r="AI417" s="2847"/>
      <c r="AJ417" s="2848"/>
      <c r="AK417" s="2848"/>
      <c r="AL417" s="2329"/>
      <c r="AM417" s="2164"/>
      <c r="AN417" s="2164"/>
      <c r="AO417" s="2164"/>
      <c r="AP417" s="2164"/>
      <c r="AQ417" s="2164"/>
      <c r="AR417" s="2164"/>
      <c r="AS417" s="2164"/>
      <c r="AT417" s="2164"/>
      <c r="AU417" s="2164"/>
      <c r="AV417" s="2164"/>
      <c r="AW417" s="2164"/>
      <c r="AX417" s="2164"/>
      <c r="AY417" s="2164"/>
      <c r="AZ417" s="2164"/>
      <c r="BA417" s="2164"/>
      <c r="BB417" s="2164"/>
      <c r="BC417" s="2164"/>
      <c r="BD417" s="2164"/>
      <c r="BE417" s="2164"/>
      <c r="BF417" s="2164"/>
      <c r="BG417" s="7511"/>
    </row>
    <row customHeight="1" ht="11.25">
      <c r="A418" s="1507" t="s">
        <v>990</v>
      </c>
      <c r="B418" s="1507"/>
      <c r="C418" s="1507"/>
      <c r="D418" s="1501"/>
      <c r="E418" s="1511"/>
      <c r="F418" s="2170"/>
      <c r="G418" s="2171"/>
      <c r="H418" s="2856" t="s">
        <v>1114</v>
      </c>
      <c r="I418" s="2857"/>
      <c r="J418" s="2826"/>
      <c r="K418" s="2858"/>
      <c r="L418" s="2448"/>
      <c r="M418" s="2449"/>
      <c r="N418" s="2849"/>
      <c r="O418" s="2850"/>
      <c r="P418" s="2852"/>
      <c r="Q418" s="7512"/>
      <c r="R418" s="2854"/>
      <c r="S418" s="2855"/>
      <c r="T418" s="2854"/>
      <c r="U418" s="2854"/>
      <c r="V418" s="2854"/>
      <c r="W418" s="2854"/>
      <c r="X418" s="2854"/>
      <c r="Y418" s="2854"/>
      <c r="Z418" s="2169"/>
      <c r="AA418" s="2135">
        <v>1</v>
      </c>
      <c r="AB418" s="1520" t="s">
        <v>1035</v>
      </c>
      <c r="AC418" s="1510">
        <v>35248.87482</v>
      </c>
      <c r="AD418" s="1520" t="str">
        <f>AB418</f>
        <v>      Амортизационные отчисления с выделением результатов переоценки основных средств и нематериальных активов</v>
      </c>
      <c r="AE418" s="1510"/>
      <c r="AF418" s="2847"/>
      <c r="AG418" s="2848"/>
      <c r="AH418" s="2848"/>
      <c r="AI418" s="2847"/>
      <c r="AJ418" s="2848"/>
      <c r="AK418" s="2848"/>
      <c r="AL418" s="2329"/>
      <c r="AM418" s="2164"/>
      <c r="AN418" s="2164"/>
      <c r="AO418" s="2164"/>
      <c r="AP418" s="2164"/>
      <c r="AQ418" s="2164"/>
      <c r="AR418" s="2164"/>
      <c r="AS418" s="2164"/>
      <c r="AT418" s="2164"/>
      <c r="AU418" s="2164"/>
      <c r="AV418" s="2164"/>
      <c r="AW418" s="2164"/>
      <c r="AX418" s="2164"/>
      <c r="AY418" s="2164"/>
      <c r="AZ418" s="2164"/>
      <c r="BA418" s="2164"/>
      <c r="BB418" s="2164"/>
      <c r="BC418" s="2164"/>
      <c r="BD418" s="2164"/>
      <c r="BE418" s="2164"/>
      <c r="BF418" s="2164"/>
      <c r="BG418" s="7511"/>
    </row>
    <row customHeight="1" ht="11.25">
      <c r="A419" s="1507" t="s">
        <v>990</v>
      </c>
      <c r="B419" s="1507"/>
      <c r="C419" s="1507"/>
      <c r="D419" s="1501"/>
      <c r="E419" s="1511"/>
      <c r="F419" s="2171"/>
      <c r="G419" s="2171"/>
      <c r="H419" s="2171"/>
      <c r="I419" s="2171"/>
      <c r="J419" s="2171"/>
      <c r="K419" s="2171"/>
      <c r="L419" s="2171"/>
      <c r="M419" s="2171"/>
      <c r="N419" s="2171"/>
      <c r="O419" s="2171"/>
      <c r="P419" s="2171"/>
      <c r="Q419" s="2171"/>
      <c r="R419" s="2171"/>
      <c r="S419" s="2171"/>
      <c r="T419" s="2171"/>
      <c r="U419" s="2171"/>
      <c r="V419" s="2171"/>
      <c r="W419" s="2171"/>
      <c r="X419" s="2171"/>
      <c r="Y419" s="2171"/>
      <c r="Z419" s="7510" t="s">
        <v>684</v>
      </c>
      <c r="AA419" s="2155" t="s">
        <v>107</v>
      </c>
      <c r="AB419" s="1520" t="s">
        <v>1070</v>
      </c>
      <c r="AC419" s="1510">
        <v>116982.927</v>
      </c>
      <c r="AD419" s="1520" t="str">
        <f>AB419</f>
        <v>  За счет платы за технологическое присоединение</v>
      </c>
      <c r="AE419" s="1510"/>
      <c r="AF419" s="2172"/>
      <c r="AG419" s="2100"/>
      <c r="AH419" s="2100"/>
      <c r="AI419" s="2172"/>
      <c r="AJ419" s="2100"/>
      <c r="AK419" s="2328"/>
      <c r="AL419" s="2329"/>
      <c r="AM419" s="2164"/>
      <c r="AN419" s="2164"/>
      <c r="AO419" s="2164"/>
      <c r="AP419" s="2164"/>
      <c r="AQ419" s="2164"/>
      <c r="AR419" s="2164"/>
      <c r="AS419" s="2164"/>
      <c r="AT419" s="2164"/>
      <c r="AU419" s="2164"/>
      <c r="AV419" s="2164"/>
      <c r="AW419" s="2164"/>
      <c r="AX419" s="2164"/>
      <c r="AY419" s="2164"/>
      <c r="AZ419" s="2164"/>
      <c r="BA419" s="2164"/>
      <c r="BB419" s="2164"/>
      <c r="BC419" s="2164"/>
      <c r="BD419" s="2164"/>
      <c r="BE419" s="2164"/>
      <c r="BF419" s="2164"/>
      <c r="BG419" s="7511"/>
    </row>
    <row customHeight="1" ht="11.25">
      <c r="A420" s="1507" t="s">
        <v>990</v>
      </c>
      <c r="B420" s="1507"/>
      <c r="C420" s="1507"/>
      <c r="D420" s="1501"/>
      <c r="E420" s="1511"/>
      <c r="F420" s="2171"/>
      <c r="G420" s="2171"/>
      <c r="H420" s="2171"/>
      <c r="I420" s="2171"/>
      <c r="J420" s="2171"/>
      <c r="K420" s="2171"/>
      <c r="L420" s="2171"/>
      <c r="M420" s="2171"/>
      <c r="N420" s="2171"/>
      <c r="O420" s="2171"/>
      <c r="P420" s="2171"/>
      <c r="Q420" s="2171"/>
      <c r="R420" s="2171"/>
      <c r="S420" s="2171"/>
      <c r="T420" s="2171"/>
      <c r="U420" s="2171"/>
      <c r="V420" s="2171"/>
      <c r="W420" s="2171"/>
      <c r="X420" s="2171"/>
      <c r="Y420" s="2171"/>
      <c r="Z420" s="7510" t="s">
        <v>684</v>
      </c>
      <c r="AA420" s="2155" t="s">
        <v>90</v>
      </c>
      <c r="AB420" s="1520" t="s">
        <v>1036</v>
      </c>
      <c r="AC420" s="1510">
        <v>30446.36036</v>
      </c>
      <c r="AD420" s="1520" t="str">
        <f>AB420</f>
        <v>  Прочие собственные средства</v>
      </c>
      <c r="AE420" s="1510"/>
      <c r="AF420" s="2172"/>
      <c r="AG420" s="2100"/>
      <c r="AH420" s="2100"/>
      <c r="AI420" s="2172"/>
      <c r="AJ420" s="2100"/>
      <c r="AK420" s="2328"/>
      <c r="AL420" s="2329"/>
      <c r="AM420" s="2164"/>
      <c r="AN420" s="2164"/>
      <c r="AO420" s="2164"/>
      <c r="AP420" s="2164"/>
      <c r="AQ420" s="2164"/>
      <c r="AR420" s="2164"/>
      <c r="AS420" s="2164"/>
      <c r="AT420" s="2164"/>
      <c r="AU420" s="2164"/>
      <c r="AV420" s="2164"/>
      <c r="AW420" s="2164"/>
      <c r="AX420" s="2164"/>
      <c r="AY420" s="2164"/>
      <c r="AZ420" s="2164"/>
      <c r="BA420" s="2164"/>
      <c r="BB420" s="2164"/>
      <c r="BC420" s="2164"/>
      <c r="BD420" s="2164"/>
      <c r="BE420" s="2164"/>
      <c r="BF420" s="2164"/>
      <c r="BG420" s="7511"/>
    </row>
    <row customHeight="1" ht="11.25">
      <c r="A421" s="1507" t="s">
        <v>990</v>
      </c>
      <c r="B421" s="1507"/>
      <c r="C421" s="1507"/>
      <c r="D421" s="1501"/>
      <c r="E421" s="1511"/>
      <c r="F421" s="2170"/>
      <c r="G421" s="2171"/>
      <c r="H421" s="2856" t="s">
        <v>1114</v>
      </c>
      <c r="I421" s="2857"/>
      <c r="J421" s="2826"/>
      <c r="K421" s="2858"/>
      <c r="L421" s="2448"/>
      <c r="M421" s="2449"/>
      <c r="N421" s="2849"/>
      <c r="O421" s="2850"/>
      <c r="P421" s="2853"/>
      <c r="Q421" s="7512"/>
      <c r="R421" s="2854"/>
      <c r="S421" s="2855"/>
      <c r="T421" s="2854"/>
      <c r="U421" s="2854"/>
      <c r="V421" s="2854"/>
      <c r="W421" s="2854"/>
      <c r="X421" s="2854"/>
      <c r="Y421" s="2854"/>
      <c r="Z421" s="1516"/>
      <c r="AA421" s="1517"/>
      <c r="AB421" s="1582" t="s">
        <v>1037</v>
      </c>
      <c r="AC421" s="1521"/>
      <c r="AD421" s="1521"/>
      <c r="AE421" s="1523"/>
      <c r="AF421" s="2847"/>
      <c r="AG421" s="2848"/>
      <c r="AH421" s="2848"/>
      <c r="AI421" s="2847"/>
      <c r="AJ421" s="2848"/>
      <c r="AK421" s="2848"/>
      <c r="AL421" s="2329"/>
      <c r="AM421" s="2164"/>
      <c r="AN421" s="2164"/>
      <c r="AO421" s="2164"/>
      <c r="AP421" s="2164"/>
      <c r="AQ421" s="2164"/>
      <c r="AR421" s="2164"/>
      <c r="AS421" s="2164"/>
      <c r="AT421" s="2164"/>
      <c r="AU421" s="2164"/>
      <c r="AV421" s="2164"/>
      <c r="AW421" s="2164"/>
      <c r="AX421" s="2164"/>
      <c r="AY421" s="2164"/>
      <c r="AZ421" s="2164"/>
      <c r="BA421" s="2164"/>
      <c r="BB421" s="2164"/>
      <c r="BC421" s="2164"/>
      <c r="BD421" s="2164"/>
      <c r="BE421" s="2164"/>
      <c r="BF421" s="2164"/>
      <c r="BG421" s="7511"/>
    </row>
    <row customHeight="1" ht="11.25">
      <c r="A422" s="1507" t="s">
        <v>990</v>
      </c>
      <c r="B422" s="1507"/>
      <c r="C422" s="1507"/>
      <c r="D422" s="1501"/>
      <c r="E422" s="1511"/>
      <c r="F422" s="2170"/>
      <c r="G422" s="2171"/>
      <c r="H422" s="2856" t="s">
        <v>1114</v>
      </c>
      <c r="I422" s="2857"/>
      <c r="J422" s="2826"/>
      <c r="K422" s="2858"/>
      <c r="L422" s="2448"/>
      <c r="M422" s="2449"/>
      <c r="N422" s="1516"/>
      <c r="O422" s="1517"/>
      <c r="P422" s="1509" t="s">
        <v>1038</v>
      </c>
      <c r="Q422" s="1517"/>
      <c r="R422" s="1517"/>
      <c r="S422" s="1517"/>
      <c r="T422" s="1517"/>
      <c r="U422" s="1517"/>
      <c r="V422" s="1517"/>
      <c r="W422" s="1517"/>
      <c r="X422" s="1517"/>
      <c r="Y422" s="1517"/>
      <c r="Z422" s="1517"/>
      <c r="AA422" s="1517"/>
      <c r="AB422" s="1517"/>
      <c r="AC422" s="1517"/>
      <c r="AD422" s="1517"/>
      <c r="AE422" s="1524"/>
      <c r="AF422" s="2847"/>
      <c r="AG422" s="2848"/>
      <c r="AH422" s="2848"/>
      <c r="AI422" s="2847"/>
      <c r="AJ422" s="2848"/>
      <c r="AK422" s="2848"/>
      <c r="AL422" s="2329"/>
      <c r="AM422" s="2164"/>
      <c r="AN422" s="2164"/>
      <c r="AO422" s="2164"/>
      <c r="AP422" s="2164"/>
      <c r="AQ422" s="2164"/>
      <c r="AR422" s="2164"/>
      <c r="AS422" s="2164"/>
      <c r="AT422" s="2164"/>
      <c r="AU422" s="2164"/>
      <c r="AV422" s="2164"/>
      <c r="AW422" s="2164"/>
      <c r="AX422" s="2164"/>
      <c r="AY422" s="2164"/>
      <c r="AZ422" s="2164"/>
      <c r="BA422" s="2164"/>
      <c r="BB422" s="2164"/>
      <c r="BC422" s="2164"/>
      <c r="BD422" s="2164"/>
      <c r="BE422" s="2164"/>
      <c r="BF422" s="2164"/>
      <c r="BG422" s="7511"/>
    </row>
    <row customHeight="1" ht="11.25">
      <c r="A423" s="1507" t="s">
        <v>990</v>
      </c>
      <c r="B423" s="1507" t="s">
        <v>1022</v>
      </c>
      <c r="C423" s="1507"/>
      <c r="D423" s="1501"/>
      <c r="E423" s="1511"/>
      <c r="F423" s="2170"/>
      <c r="G423" s="7510" t="s">
        <v>684</v>
      </c>
      <c r="H423" s="2856" t="s">
        <v>1118</v>
      </c>
      <c r="I423" s="2857" t="s">
        <v>1023</v>
      </c>
      <c r="J423" s="2826" t="s">
        <v>1071</v>
      </c>
      <c r="K423" s="2858" t="s">
        <v>1152</v>
      </c>
      <c r="L423" s="2448" t="s">
        <v>19</v>
      </c>
      <c r="M423" s="2449"/>
      <c r="N423" s="2327"/>
      <c r="O423" s="1518" t="s">
        <v>371</v>
      </c>
      <c r="P423" s="1519"/>
      <c r="Q423" s="1519"/>
      <c r="R423" s="1519"/>
      <c r="S423" s="1519"/>
      <c r="T423" s="1519"/>
      <c r="U423" s="1519"/>
      <c r="V423" s="1519"/>
      <c r="W423" s="1519"/>
      <c r="X423" s="1519"/>
      <c r="Y423" s="1519"/>
      <c r="Z423" s="1519"/>
      <c r="AA423" s="1519"/>
      <c r="AB423" s="1519"/>
      <c r="AC423" s="1519"/>
      <c r="AD423" s="1519"/>
      <c r="AE423" s="1519"/>
      <c r="AF423" s="2847">
        <v>6</v>
      </c>
      <c r="AG423" s="2848" t="s">
        <v>1067</v>
      </c>
      <c r="AH423" s="2848" t="s">
        <v>1104</v>
      </c>
      <c r="AI423" s="2847"/>
      <c r="AJ423" s="2848"/>
      <c r="AK423" s="2848"/>
      <c r="AL423" s="2329"/>
      <c r="AM423" s="2164"/>
      <c r="AN423" s="2164"/>
      <c r="AO423" s="2164"/>
      <c r="AP423" s="2164"/>
      <c r="AQ423" s="2164"/>
      <c r="AR423" s="2164"/>
      <c r="AS423" s="2164"/>
      <c r="AT423" s="2164"/>
      <c r="AU423" s="2164"/>
      <c r="AV423" s="2164"/>
      <c r="AW423" s="2164"/>
      <c r="AX423" s="2164"/>
      <c r="AY423" s="2164"/>
      <c r="AZ423" s="2164"/>
      <c r="BA423" s="2164"/>
      <c r="BB423" s="2164"/>
      <c r="BC423" s="2164"/>
      <c r="BD423" s="2164"/>
      <c r="BE423" s="2164"/>
      <c r="BF423" s="2164"/>
      <c r="BG423" s="7511"/>
    </row>
    <row customHeight="1" ht="11.25">
      <c r="A424" s="1507" t="s">
        <v>990</v>
      </c>
      <c r="B424" s="1507"/>
      <c r="C424" s="1507"/>
      <c r="D424" s="1501"/>
      <c r="E424" s="1511"/>
      <c r="F424" s="2170"/>
      <c r="G424" s="2171"/>
      <c r="H424" s="2856" t="s">
        <v>1116</v>
      </c>
      <c r="I424" s="2857"/>
      <c r="J424" s="2826"/>
      <c r="K424" s="2858"/>
      <c r="L424" s="2448"/>
      <c r="M424" s="2449"/>
      <c r="N424" s="2849"/>
      <c r="O424" s="2850">
        <v>1</v>
      </c>
      <c r="P424" s="2851" t="s">
        <v>65</v>
      </c>
      <c r="Q424" s="7512" t="s">
        <v>1153</v>
      </c>
      <c r="R424" s="7513" t="s">
        <v>1083</v>
      </c>
      <c r="S424" s="7513" t="s">
        <v>1154</v>
      </c>
      <c r="T424" s="7513" t="s">
        <v>1154</v>
      </c>
      <c r="U424" s="7513" t="s">
        <v>1155</v>
      </c>
      <c r="V424" s="7513" t="s">
        <v>1156</v>
      </c>
      <c r="W424" s="7513" t="s">
        <v>1157</v>
      </c>
      <c r="X424" s="7513" t="s">
        <v>1158</v>
      </c>
      <c r="Y424" s="7513" t="s">
        <v>92</v>
      </c>
      <c r="Z424" s="1516"/>
      <c r="AA424" s="1517"/>
      <c r="AB424" s="1517"/>
      <c r="AC424" s="1521"/>
      <c r="AD424" s="1521"/>
      <c r="AE424" s="1522"/>
      <c r="AF424" s="2847"/>
      <c r="AG424" s="2848"/>
      <c r="AH424" s="2848"/>
      <c r="AI424" s="2847"/>
      <c r="AJ424" s="2848"/>
      <c r="AK424" s="2848"/>
      <c r="AL424" s="2329"/>
      <c r="AM424" s="2164"/>
      <c r="AN424" s="2164"/>
      <c r="AO424" s="2164"/>
      <c r="AP424" s="2164"/>
      <c r="AQ424" s="2164"/>
      <c r="AR424" s="2164"/>
      <c r="AS424" s="2164"/>
      <c r="AT424" s="2164"/>
      <c r="AU424" s="2164"/>
      <c r="AV424" s="2164"/>
      <c r="AW424" s="2164"/>
      <c r="AX424" s="2164"/>
      <c r="AY424" s="2164"/>
      <c r="AZ424" s="2164"/>
      <c r="BA424" s="2164"/>
      <c r="BB424" s="2164"/>
      <c r="BC424" s="2164"/>
      <c r="BD424" s="2164"/>
      <c r="BE424" s="2164"/>
      <c r="BF424" s="2164"/>
      <c r="BG424" s="7511"/>
    </row>
    <row customHeight="1" ht="11.25">
      <c r="A425" s="1507" t="s">
        <v>990</v>
      </c>
      <c r="B425" s="1507"/>
      <c r="C425" s="1507"/>
      <c r="D425" s="1501"/>
      <c r="E425" s="1511"/>
      <c r="F425" s="2170"/>
      <c r="G425" s="2171"/>
      <c r="H425" s="2856" t="s">
        <v>1116</v>
      </c>
      <c r="I425" s="2857"/>
      <c r="J425" s="2826"/>
      <c r="K425" s="2858"/>
      <c r="L425" s="2448"/>
      <c r="M425" s="2449"/>
      <c r="N425" s="2849"/>
      <c r="O425" s="2850"/>
      <c r="P425" s="2852"/>
      <c r="Q425" s="7512"/>
      <c r="R425" s="2854"/>
      <c r="S425" s="2855"/>
      <c r="T425" s="2854"/>
      <c r="U425" s="2854"/>
      <c r="V425" s="2854"/>
      <c r="W425" s="2854"/>
      <c r="X425" s="2854"/>
      <c r="Y425" s="2854"/>
      <c r="Z425" s="2169"/>
      <c r="AA425" s="2135">
        <v>1</v>
      </c>
      <c r="AB425" s="1520" t="s">
        <v>1035</v>
      </c>
      <c r="AC425" s="1510">
        <v>93832.30782</v>
      </c>
      <c r="AD425" s="1520" t="str">
        <f>AB425</f>
        <v>      Амортизационные отчисления с выделением результатов переоценки основных средств и нематериальных активов</v>
      </c>
      <c r="AE425" s="1510"/>
      <c r="AF425" s="2847"/>
      <c r="AG425" s="2848"/>
      <c r="AH425" s="2848"/>
      <c r="AI425" s="2847"/>
      <c r="AJ425" s="2848"/>
      <c r="AK425" s="2848"/>
      <c r="AL425" s="2329"/>
      <c r="AM425" s="2164"/>
      <c r="AN425" s="2164"/>
      <c r="AO425" s="2164"/>
      <c r="AP425" s="2164"/>
      <c r="AQ425" s="2164"/>
      <c r="AR425" s="2164"/>
      <c r="AS425" s="2164"/>
      <c r="AT425" s="2164"/>
      <c r="AU425" s="2164"/>
      <c r="AV425" s="2164"/>
      <c r="AW425" s="2164"/>
      <c r="AX425" s="2164"/>
      <c r="AY425" s="2164"/>
      <c r="AZ425" s="2164"/>
      <c r="BA425" s="2164"/>
      <c r="BB425" s="2164"/>
      <c r="BC425" s="2164"/>
      <c r="BD425" s="2164"/>
      <c r="BE425" s="2164"/>
      <c r="BF425" s="2164"/>
      <c r="BG425" s="7511"/>
    </row>
    <row customHeight="1" ht="11.25">
      <c r="A426" s="1507" t="s">
        <v>990</v>
      </c>
      <c r="B426" s="1507"/>
      <c r="C426" s="1507"/>
      <c r="D426" s="1501"/>
      <c r="E426" s="1511"/>
      <c r="F426" s="2171"/>
      <c r="G426" s="2171"/>
      <c r="H426" s="2171"/>
      <c r="I426" s="2171"/>
      <c r="J426" s="7515"/>
      <c r="K426" s="2171"/>
      <c r="L426" s="2171"/>
      <c r="M426" s="2171"/>
      <c r="N426" s="2171"/>
      <c r="O426" s="2171"/>
      <c r="P426" s="2171"/>
      <c r="Q426" s="2171"/>
      <c r="R426" s="2171"/>
      <c r="S426" s="2171"/>
      <c r="T426" s="2171"/>
      <c r="U426" s="2171"/>
      <c r="V426" s="2171"/>
      <c r="W426" s="2171"/>
      <c r="X426" s="2171"/>
      <c r="Y426" s="2171"/>
      <c r="Z426" s="7510" t="s">
        <v>684</v>
      </c>
      <c r="AA426" s="2155" t="s">
        <v>107</v>
      </c>
      <c r="AB426" s="1520" t="s">
        <v>1036</v>
      </c>
      <c r="AC426" s="1510">
        <v>17557.35</v>
      </c>
      <c r="AD426" s="1520" t="str">
        <f>AB426</f>
        <v>  Прочие собственные средства</v>
      </c>
      <c r="AE426" s="1510"/>
      <c r="AF426" s="2172"/>
      <c r="AG426" s="2100"/>
      <c r="AH426" s="2100"/>
      <c r="AI426" s="2172"/>
      <c r="AJ426" s="2100"/>
      <c r="AK426" s="2328"/>
      <c r="AL426" s="2329"/>
      <c r="AM426" s="2164"/>
      <c r="AN426" s="2164"/>
      <c r="AO426" s="2164"/>
      <c r="AP426" s="2164"/>
      <c r="AQ426" s="2164"/>
      <c r="AR426" s="2164"/>
      <c r="AS426" s="2164"/>
      <c r="AT426" s="2164"/>
      <c r="AU426" s="2164"/>
      <c r="AV426" s="2164"/>
      <c r="AW426" s="2164"/>
      <c r="AX426" s="2164"/>
      <c r="AY426" s="2164"/>
      <c r="AZ426" s="2164"/>
      <c r="BA426" s="2164"/>
      <c r="BB426" s="2164"/>
      <c r="BC426" s="2164"/>
      <c r="BD426" s="2164"/>
      <c r="BE426" s="2164"/>
      <c r="BF426" s="2164"/>
      <c r="BG426" s="7511"/>
    </row>
    <row customHeight="1" ht="11.25">
      <c r="A427" s="1507" t="s">
        <v>990</v>
      </c>
      <c r="B427" s="1507"/>
      <c r="C427" s="1507"/>
      <c r="D427" s="1501"/>
      <c r="E427" s="1511"/>
      <c r="F427" s="2170"/>
      <c r="G427" s="2171"/>
      <c r="H427" s="2856" t="s">
        <v>1116</v>
      </c>
      <c r="I427" s="2857"/>
      <c r="J427" s="2826"/>
      <c r="K427" s="2858"/>
      <c r="L427" s="2448"/>
      <c r="M427" s="2449"/>
      <c r="N427" s="2849"/>
      <c r="O427" s="2850"/>
      <c r="P427" s="2853"/>
      <c r="Q427" s="7512"/>
      <c r="R427" s="2854"/>
      <c r="S427" s="2855"/>
      <c r="T427" s="2854"/>
      <c r="U427" s="2854"/>
      <c r="V427" s="2854"/>
      <c r="W427" s="2854"/>
      <c r="X427" s="2854"/>
      <c r="Y427" s="2854"/>
      <c r="Z427" s="1516"/>
      <c r="AA427" s="1517"/>
      <c r="AB427" s="1582" t="s">
        <v>1037</v>
      </c>
      <c r="AC427" s="1521"/>
      <c r="AD427" s="1521"/>
      <c r="AE427" s="1523"/>
      <c r="AF427" s="2847"/>
      <c r="AG427" s="2848"/>
      <c r="AH427" s="2848"/>
      <c r="AI427" s="2847"/>
      <c r="AJ427" s="2848"/>
      <c r="AK427" s="2848"/>
      <c r="AL427" s="2329"/>
      <c r="AM427" s="2164"/>
      <c r="AN427" s="2164"/>
      <c r="AO427" s="2164"/>
      <c r="AP427" s="2164"/>
      <c r="AQ427" s="2164"/>
      <c r="AR427" s="2164"/>
      <c r="AS427" s="2164"/>
      <c r="AT427" s="2164"/>
      <c r="AU427" s="2164"/>
      <c r="AV427" s="2164"/>
      <c r="AW427" s="2164"/>
      <c r="AX427" s="2164"/>
      <c r="AY427" s="2164"/>
      <c r="AZ427" s="2164"/>
      <c r="BA427" s="2164"/>
      <c r="BB427" s="2164"/>
      <c r="BC427" s="2164"/>
      <c r="BD427" s="2164"/>
      <c r="BE427" s="2164"/>
      <c r="BF427" s="2164"/>
      <c r="BG427" s="7511"/>
    </row>
    <row customHeight="1" ht="11.25">
      <c r="A428" s="1507" t="s">
        <v>990</v>
      </c>
      <c r="B428" s="1507"/>
      <c r="C428" s="1507"/>
      <c r="D428" s="1501"/>
      <c r="E428" s="1511"/>
      <c r="F428" s="2170"/>
      <c r="G428" s="2171"/>
      <c r="H428" s="2856" t="s">
        <v>1116</v>
      </c>
      <c r="I428" s="2857"/>
      <c r="J428" s="2826"/>
      <c r="K428" s="2858"/>
      <c r="L428" s="2448"/>
      <c r="M428" s="2449"/>
      <c r="N428" s="1516"/>
      <c r="O428" s="1517"/>
      <c r="P428" s="1509" t="s">
        <v>1038</v>
      </c>
      <c r="Q428" s="1517"/>
      <c r="R428" s="1517"/>
      <c r="S428" s="1517"/>
      <c r="T428" s="1517"/>
      <c r="U428" s="1517"/>
      <c r="V428" s="1517"/>
      <c r="W428" s="1517"/>
      <c r="X428" s="1517"/>
      <c r="Y428" s="1517"/>
      <c r="Z428" s="1517"/>
      <c r="AA428" s="1517"/>
      <c r="AB428" s="1517"/>
      <c r="AC428" s="1517"/>
      <c r="AD428" s="1517"/>
      <c r="AE428" s="1524"/>
      <c r="AF428" s="2847"/>
      <c r="AG428" s="2848"/>
      <c r="AH428" s="2848"/>
      <c r="AI428" s="2847"/>
      <c r="AJ428" s="2848"/>
      <c r="AK428" s="2848"/>
      <c r="AL428" s="2329"/>
      <c r="AM428" s="2164"/>
      <c r="AN428" s="2164"/>
      <c r="AO428" s="2164"/>
      <c r="AP428" s="2164"/>
      <c r="AQ428" s="2164"/>
      <c r="AR428" s="2164"/>
      <c r="AS428" s="2164"/>
      <c r="AT428" s="2164"/>
      <c r="AU428" s="2164"/>
      <c r="AV428" s="2164"/>
      <c r="AW428" s="2164"/>
      <c r="AX428" s="2164"/>
      <c r="AY428" s="2164"/>
      <c r="AZ428" s="2164"/>
      <c r="BA428" s="2164"/>
      <c r="BB428" s="2164"/>
      <c r="BC428" s="2164"/>
      <c r="BD428" s="2164"/>
      <c r="BE428" s="2164"/>
      <c r="BF428" s="2164"/>
      <c r="BG428" s="7511"/>
    </row>
    <row customHeight="1" ht="11.25">
      <c r="A429" s="1507" t="s">
        <v>990</v>
      </c>
      <c r="B429" s="1507" t="s">
        <v>1022</v>
      </c>
      <c r="C429" s="1507"/>
      <c r="D429" s="1501"/>
      <c r="E429" s="1511"/>
      <c r="F429" s="2170"/>
      <c r="G429" s="7510" t="s">
        <v>684</v>
      </c>
      <c r="H429" s="2856" t="s">
        <v>1121</v>
      </c>
      <c r="I429" s="2857" t="s">
        <v>1023</v>
      </c>
      <c r="J429" s="2826" t="s">
        <v>1071</v>
      </c>
      <c r="K429" s="2858" t="s">
        <v>1160</v>
      </c>
      <c r="L429" s="2448" t="s">
        <v>19</v>
      </c>
      <c r="M429" s="2449"/>
      <c r="N429" s="2327"/>
      <c r="O429" s="1518" t="s">
        <v>371</v>
      </c>
      <c r="P429" s="1519"/>
      <c r="Q429" s="1519"/>
      <c r="R429" s="1519"/>
      <c r="S429" s="1519"/>
      <c r="T429" s="1519"/>
      <c r="U429" s="1519"/>
      <c r="V429" s="1519"/>
      <c r="W429" s="1519"/>
      <c r="X429" s="1519"/>
      <c r="Y429" s="1519"/>
      <c r="Z429" s="1519"/>
      <c r="AA429" s="1519"/>
      <c r="AB429" s="1519"/>
      <c r="AC429" s="1519"/>
      <c r="AD429" s="1519"/>
      <c r="AE429" s="1519"/>
      <c r="AF429" s="2847">
        <v>6</v>
      </c>
      <c r="AG429" s="2848" t="s">
        <v>1067</v>
      </c>
      <c r="AH429" s="2848" t="s">
        <v>1104</v>
      </c>
      <c r="AI429" s="2847"/>
      <c r="AJ429" s="2848"/>
      <c r="AK429" s="2848"/>
      <c r="AL429" s="2329"/>
      <c r="AM429" s="2164"/>
      <c r="AN429" s="2164"/>
      <c r="AO429" s="2164"/>
      <c r="AP429" s="2164"/>
      <c r="AQ429" s="2164"/>
      <c r="AR429" s="2164"/>
      <c r="AS429" s="2164"/>
      <c r="AT429" s="2164"/>
      <c r="AU429" s="2164"/>
      <c r="AV429" s="2164"/>
      <c r="AW429" s="2164"/>
      <c r="AX429" s="2164"/>
      <c r="AY429" s="2164"/>
      <c r="AZ429" s="2164"/>
      <c r="BA429" s="2164"/>
      <c r="BB429" s="2164"/>
      <c r="BC429" s="2164"/>
      <c r="BD429" s="2164"/>
      <c r="BE429" s="2164"/>
      <c r="BF429" s="2164"/>
      <c r="BG429" s="7511"/>
    </row>
    <row customHeight="1" ht="11.25">
      <c r="A430" s="1507" t="s">
        <v>990</v>
      </c>
      <c r="B430" s="1507"/>
      <c r="C430" s="1507"/>
      <c r="D430" s="1501"/>
      <c r="E430" s="1511"/>
      <c r="F430" s="2170"/>
      <c r="G430" s="2171"/>
      <c r="H430" s="2856" t="s">
        <v>1118</v>
      </c>
      <c r="I430" s="2857"/>
      <c r="J430" s="2826"/>
      <c r="K430" s="2858"/>
      <c r="L430" s="2448"/>
      <c r="M430" s="2449"/>
      <c r="N430" s="2849"/>
      <c r="O430" s="2850">
        <v>1</v>
      </c>
      <c r="P430" s="2851" t="s">
        <v>65</v>
      </c>
      <c r="Q430" s="7512" t="s">
        <v>1161</v>
      </c>
      <c r="R430" s="7513" t="s">
        <v>1083</v>
      </c>
      <c r="S430" s="7513" t="s">
        <v>1162</v>
      </c>
      <c r="T430" s="7513" t="s">
        <v>1163</v>
      </c>
      <c r="U430" s="7513" t="s">
        <v>1164</v>
      </c>
      <c r="V430" s="7513" t="s">
        <v>1165</v>
      </c>
      <c r="W430" s="7513" t="s">
        <v>1166</v>
      </c>
      <c r="X430" s="7513" t="s">
        <v>1167</v>
      </c>
      <c r="Y430" s="7513" t="s">
        <v>1168</v>
      </c>
      <c r="Z430" s="1516"/>
      <c r="AA430" s="1517"/>
      <c r="AB430" s="1517"/>
      <c r="AC430" s="1521"/>
      <c r="AD430" s="1521"/>
      <c r="AE430" s="1522"/>
      <c r="AF430" s="2847"/>
      <c r="AG430" s="2848"/>
      <c r="AH430" s="2848"/>
      <c r="AI430" s="2847"/>
      <c r="AJ430" s="2848"/>
      <c r="AK430" s="2848"/>
      <c r="AL430" s="2329"/>
      <c r="AM430" s="2164"/>
      <c r="AN430" s="2164"/>
      <c r="AO430" s="2164"/>
      <c r="AP430" s="2164"/>
      <c r="AQ430" s="2164"/>
      <c r="AR430" s="2164"/>
      <c r="AS430" s="2164"/>
      <c r="AT430" s="2164"/>
      <c r="AU430" s="2164"/>
      <c r="AV430" s="2164"/>
      <c r="AW430" s="2164"/>
      <c r="AX430" s="2164"/>
      <c r="AY430" s="2164"/>
      <c r="AZ430" s="2164"/>
      <c r="BA430" s="2164"/>
      <c r="BB430" s="2164"/>
      <c r="BC430" s="2164"/>
      <c r="BD430" s="2164"/>
      <c r="BE430" s="2164"/>
      <c r="BF430" s="2164"/>
      <c r="BG430" s="7511"/>
    </row>
    <row customHeight="1" ht="11.25">
      <c r="A431" s="1507" t="s">
        <v>990</v>
      </c>
      <c r="B431" s="1507"/>
      <c r="C431" s="1507"/>
      <c r="D431" s="1501"/>
      <c r="E431" s="1511"/>
      <c r="F431" s="2170"/>
      <c r="G431" s="2171"/>
      <c r="H431" s="2856" t="s">
        <v>1118</v>
      </c>
      <c r="I431" s="2857"/>
      <c r="J431" s="2826"/>
      <c r="K431" s="2858"/>
      <c r="L431" s="2448"/>
      <c r="M431" s="2449"/>
      <c r="N431" s="2849"/>
      <c r="O431" s="2850"/>
      <c r="P431" s="2852"/>
      <c r="Q431" s="7512"/>
      <c r="R431" s="2854"/>
      <c r="S431" s="2855"/>
      <c r="T431" s="2854"/>
      <c r="U431" s="2854"/>
      <c r="V431" s="2854"/>
      <c r="W431" s="2854"/>
      <c r="X431" s="2854"/>
      <c r="Y431" s="2854"/>
      <c r="Z431" s="2169"/>
      <c r="AA431" s="2135">
        <v>1</v>
      </c>
      <c r="AB431" s="1520" t="s">
        <v>1035</v>
      </c>
      <c r="AC431" s="1510">
        <v>27901.03635</v>
      </c>
      <c r="AD431" s="1520" t="str">
        <f>AB431</f>
        <v>      Амортизационные отчисления с выделением результатов переоценки основных средств и нематериальных активов</v>
      </c>
      <c r="AE431" s="1510"/>
      <c r="AF431" s="2847"/>
      <c r="AG431" s="2848"/>
      <c r="AH431" s="2848"/>
      <c r="AI431" s="2847"/>
      <c r="AJ431" s="2848"/>
      <c r="AK431" s="2848"/>
      <c r="AL431" s="2329"/>
      <c r="AM431" s="2164"/>
      <c r="AN431" s="2164"/>
      <c r="AO431" s="2164"/>
      <c r="AP431" s="2164"/>
      <c r="AQ431" s="2164"/>
      <c r="AR431" s="2164"/>
      <c r="AS431" s="2164"/>
      <c r="AT431" s="2164"/>
      <c r="AU431" s="2164"/>
      <c r="AV431" s="2164"/>
      <c r="AW431" s="2164"/>
      <c r="AX431" s="2164"/>
      <c r="AY431" s="2164"/>
      <c r="AZ431" s="2164"/>
      <c r="BA431" s="2164"/>
      <c r="BB431" s="2164"/>
      <c r="BC431" s="2164"/>
      <c r="BD431" s="2164"/>
      <c r="BE431" s="2164"/>
      <c r="BF431" s="2164"/>
      <c r="BG431" s="7511"/>
    </row>
    <row customHeight="1" ht="11.25">
      <c r="A432" s="1507" t="s">
        <v>990</v>
      </c>
      <c r="B432" s="1507"/>
      <c r="C432" s="1507"/>
      <c r="D432" s="1501"/>
      <c r="E432" s="1511"/>
      <c r="F432" s="2171"/>
      <c r="G432" s="2171"/>
      <c r="H432" s="2171"/>
      <c r="I432" s="2171"/>
      <c r="J432" s="7515"/>
      <c r="K432" s="2171"/>
      <c r="L432" s="2171"/>
      <c r="M432" s="2171"/>
      <c r="N432" s="2171"/>
      <c r="O432" s="2171"/>
      <c r="P432" s="2171"/>
      <c r="Q432" s="2171"/>
      <c r="R432" s="2171"/>
      <c r="S432" s="2171"/>
      <c r="T432" s="2171"/>
      <c r="U432" s="2171"/>
      <c r="V432" s="2171"/>
      <c r="W432" s="2171"/>
      <c r="X432" s="2171"/>
      <c r="Y432" s="2171"/>
      <c r="Z432" s="7510" t="s">
        <v>684</v>
      </c>
      <c r="AA432" s="2155" t="s">
        <v>107</v>
      </c>
      <c r="AB432" s="1520" t="s">
        <v>1036</v>
      </c>
      <c r="AC432" s="1510">
        <v>5081.9069</v>
      </c>
      <c r="AD432" s="1520" t="str">
        <f>AB432</f>
        <v>  Прочие собственные средства</v>
      </c>
      <c r="AE432" s="1510"/>
      <c r="AF432" s="2172"/>
      <c r="AG432" s="2100"/>
      <c r="AH432" s="2100"/>
      <c r="AI432" s="2172"/>
      <c r="AJ432" s="2100"/>
      <c r="AK432" s="2328"/>
      <c r="AL432" s="2329"/>
      <c r="AM432" s="2164"/>
      <c r="AN432" s="2164"/>
      <c r="AO432" s="2164"/>
      <c r="AP432" s="2164"/>
      <c r="AQ432" s="2164"/>
      <c r="AR432" s="2164"/>
      <c r="AS432" s="2164"/>
      <c r="AT432" s="2164"/>
      <c r="AU432" s="2164"/>
      <c r="AV432" s="2164"/>
      <c r="AW432" s="2164"/>
      <c r="AX432" s="2164"/>
      <c r="AY432" s="2164"/>
      <c r="AZ432" s="2164"/>
      <c r="BA432" s="2164"/>
      <c r="BB432" s="2164"/>
      <c r="BC432" s="2164"/>
      <c r="BD432" s="2164"/>
      <c r="BE432" s="2164"/>
      <c r="BF432" s="2164"/>
      <c r="BG432" s="7511"/>
    </row>
    <row customHeight="1" ht="11.25">
      <c r="A433" s="1507" t="s">
        <v>990</v>
      </c>
      <c r="B433" s="1507"/>
      <c r="C433" s="1507"/>
      <c r="D433" s="1501"/>
      <c r="E433" s="1511"/>
      <c r="F433" s="2170"/>
      <c r="G433" s="2171"/>
      <c r="H433" s="2856" t="s">
        <v>1118</v>
      </c>
      <c r="I433" s="2857"/>
      <c r="J433" s="2826"/>
      <c r="K433" s="2858"/>
      <c r="L433" s="2448"/>
      <c r="M433" s="2449"/>
      <c r="N433" s="2849"/>
      <c r="O433" s="2850"/>
      <c r="P433" s="2853"/>
      <c r="Q433" s="7512"/>
      <c r="R433" s="2854"/>
      <c r="S433" s="2855"/>
      <c r="T433" s="2854"/>
      <c r="U433" s="2854"/>
      <c r="V433" s="2854"/>
      <c r="W433" s="2854"/>
      <c r="X433" s="2854"/>
      <c r="Y433" s="2854"/>
      <c r="Z433" s="1516"/>
      <c r="AA433" s="1517"/>
      <c r="AB433" s="1582" t="s">
        <v>1037</v>
      </c>
      <c r="AC433" s="1521"/>
      <c r="AD433" s="1521"/>
      <c r="AE433" s="1523"/>
      <c r="AF433" s="2847"/>
      <c r="AG433" s="2848"/>
      <c r="AH433" s="2848"/>
      <c r="AI433" s="2847"/>
      <c r="AJ433" s="2848"/>
      <c r="AK433" s="2848"/>
      <c r="AL433" s="2329"/>
      <c r="AM433" s="2164"/>
      <c r="AN433" s="2164"/>
      <c r="AO433" s="2164"/>
      <c r="AP433" s="2164"/>
      <c r="AQ433" s="2164"/>
      <c r="AR433" s="2164"/>
      <c r="AS433" s="2164"/>
      <c r="AT433" s="2164"/>
      <c r="AU433" s="2164"/>
      <c r="AV433" s="2164"/>
      <c r="AW433" s="2164"/>
      <c r="AX433" s="2164"/>
      <c r="AY433" s="2164"/>
      <c r="AZ433" s="2164"/>
      <c r="BA433" s="2164"/>
      <c r="BB433" s="2164"/>
      <c r="BC433" s="2164"/>
      <c r="BD433" s="2164"/>
      <c r="BE433" s="2164"/>
      <c r="BF433" s="2164"/>
      <c r="BG433" s="7511"/>
    </row>
    <row customHeight="1" ht="11.25">
      <c r="A434" s="1507" t="s">
        <v>990</v>
      </c>
      <c r="B434" s="1507"/>
      <c r="C434" s="1507"/>
      <c r="D434" s="1501"/>
      <c r="E434" s="1511"/>
      <c r="F434" s="2170"/>
      <c r="G434" s="2171"/>
      <c r="H434" s="2856" t="s">
        <v>1118</v>
      </c>
      <c r="I434" s="2857"/>
      <c r="J434" s="2826"/>
      <c r="K434" s="2858"/>
      <c r="L434" s="2448"/>
      <c r="M434" s="2449"/>
      <c r="N434" s="1516"/>
      <c r="O434" s="1517"/>
      <c r="P434" s="1509" t="s">
        <v>1038</v>
      </c>
      <c r="Q434" s="1517"/>
      <c r="R434" s="1517"/>
      <c r="S434" s="1517"/>
      <c r="T434" s="1517"/>
      <c r="U434" s="1517"/>
      <c r="V434" s="1517"/>
      <c r="W434" s="1517"/>
      <c r="X434" s="1517"/>
      <c r="Y434" s="1517"/>
      <c r="Z434" s="1517"/>
      <c r="AA434" s="1517"/>
      <c r="AB434" s="1517"/>
      <c r="AC434" s="1517"/>
      <c r="AD434" s="1517"/>
      <c r="AE434" s="1524"/>
      <c r="AF434" s="2847"/>
      <c r="AG434" s="2848"/>
      <c r="AH434" s="2848"/>
      <c r="AI434" s="2847"/>
      <c r="AJ434" s="2848"/>
      <c r="AK434" s="2848"/>
      <c r="AL434" s="2329"/>
      <c r="AM434" s="2164"/>
      <c r="AN434" s="2164"/>
      <c r="AO434" s="2164"/>
      <c r="AP434" s="2164"/>
      <c r="AQ434" s="2164"/>
      <c r="AR434" s="2164"/>
      <c r="AS434" s="2164"/>
      <c r="AT434" s="2164"/>
      <c r="AU434" s="2164"/>
      <c r="AV434" s="2164"/>
      <c r="AW434" s="2164"/>
      <c r="AX434" s="2164"/>
      <c r="AY434" s="2164"/>
      <c r="AZ434" s="2164"/>
      <c r="BA434" s="2164"/>
      <c r="BB434" s="2164"/>
      <c r="BC434" s="2164"/>
      <c r="BD434" s="2164"/>
      <c r="BE434" s="2164"/>
      <c r="BF434" s="2164"/>
      <c r="BG434" s="7511"/>
    </row>
    <row customHeight="1" ht="11.25">
      <c r="A435" s="1507" t="s">
        <v>990</v>
      </c>
      <c r="B435" s="1507" t="s">
        <v>1022</v>
      </c>
      <c r="C435" s="1507"/>
      <c r="D435" s="1501"/>
      <c r="E435" s="1511"/>
      <c r="F435" s="2170"/>
      <c r="G435" s="7510" t="s">
        <v>684</v>
      </c>
      <c r="H435" s="2856" t="s">
        <v>1123</v>
      </c>
      <c r="I435" s="2857" t="s">
        <v>1023</v>
      </c>
      <c r="J435" s="2826" t="s">
        <v>1071</v>
      </c>
      <c r="K435" s="2858" t="s">
        <v>1170</v>
      </c>
      <c r="L435" s="2448" t="s">
        <v>19</v>
      </c>
      <c r="M435" s="2449"/>
      <c r="N435" s="2327"/>
      <c r="O435" s="1518" t="s">
        <v>371</v>
      </c>
      <c r="P435" s="1519"/>
      <c r="Q435" s="1519"/>
      <c r="R435" s="1519"/>
      <c r="S435" s="1519"/>
      <c r="T435" s="1519"/>
      <c r="U435" s="1519"/>
      <c r="V435" s="1519"/>
      <c r="W435" s="1519"/>
      <c r="X435" s="1519"/>
      <c r="Y435" s="1519"/>
      <c r="Z435" s="1519"/>
      <c r="AA435" s="1519"/>
      <c r="AB435" s="1519"/>
      <c r="AC435" s="1519"/>
      <c r="AD435" s="1519"/>
      <c r="AE435" s="1519"/>
      <c r="AF435" s="2847">
        <v>2</v>
      </c>
      <c r="AG435" s="2848" t="s">
        <v>1067</v>
      </c>
      <c r="AH435" s="2848" t="s">
        <v>1053</v>
      </c>
      <c r="AI435" s="2847"/>
      <c r="AJ435" s="2848"/>
      <c r="AK435" s="2848"/>
      <c r="AL435" s="2329"/>
      <c r="AM435" s="2164"/>
      <c r="AN435" s="2164"/>
      <c r="AO435" s="2164"/>
      <c r="AP435" s="2164"/>
      <c r="AQ435" s="2164"/>
      <c r="AR435" s="2164"/>
      <c r="AS435" s="2164"/>
      <c r="AT435" s="2164"/>
      <c r="AU435" s="2164"/>
      <c r="AV435" s="2164"/>
      <c r="AW435" s="2164"/>
      <c r="AX435" s="2164"/>
      <c r="AY435" s="2164"/>
      <c r="AZ435" s="2164"/>
      <c r="BA435" s="2164"/>
      <c r="BB435" s="2164"/>
      <c r="BC435" s="2164"/>
      <c r="BD435" s="2164"/>
      <c r="BE435" s="2164"/>
      <c r="BF435" s="2164"/>
      <c r="BG435" s="7511"/>
    </row>
    <row customHeight="1" ht="11.25">
      <c r="A436" s="1507" t="s">
        <v>990</v>
      </c>
      <c r="B436" s="1507"/>
      <c r="C436" s="1507"/>
      <c r="D436" s="1501"/>
      <c r="E436" s="1511"/>
      <c r="F436" s="2170"/>
      <c r="G436" s="2171"/>
      <c r="H436" s="2856" t="s">
        <v>1121</v>
      </c>
      <c r="I436" s="2857"/>
      <c r="J436" s="2826"/>
      <c r="K436" s="2858"/>
      <c r="L436" s="2448"/>
      <c r="M436" s="2449"/>
      <c r="N436" s="2849"/>
      <c r="O436" s="2850">
        <v>1</v>
      </c>
      <c r="P436" s="2851" t="s">
        <v>65</v>
      </c>
      <c r="Q436" s="7512" t="s">
        <v>1153</v>
      </c>
      <c r="R436" s="7513" t="s">
        <v>1083</v>
      </c>
      <c r="S436" s="7513" t="s">
        <v>1154</v>
      </c>
      <c r="T436" s="7513" t="s">
        <v>1154</v>
      </c>
      <c r="U436" s="7513" t="s">
        <v>1155</v>
      </c>
      <c r="V436" s="7513" t="s">
        <v>1156</v>
      </c>
      <c r="W436" s="7513" t="s">
        <v>1157</v>
      </c>
      <c r="X436" s="7513" t="s">
        <v>1158</v>
      </c>
      <c r="Y436" s="7513" t="s">
        <v>92</v>
      </c>
      <c r="Z436" s="1516"/>
      <c r="AA436" s="1517"/>
      <c r="AB436" s="1517"/>
      <c r="AC436" s="1521"/>
      <c r="AD436" s="1521"/>
      <c r="AE436" s="1522"/>
      <c r="AF436" s="2847"/>
      <c r="AG436" s="2848"/>
      <c r="AH436" s="2848"/>
      <c r="AI436" s="2847"/>
      <c r="AJ436" s="2848"/>
      <c r="AK436" s="2848"/>
      <c r="AL436" s="2329"/>
      <c r="AM436" s="2164"/>
      <c r="AN436" s="2164"/>
      <c r="AO436" s="2164"/>
      <c r="AP436" s="2164"/>
      <c r="AQ436" s="2164"/>
      <c r="AR436" s="2164"/>
      <c r="AS436" s="2164"/>
      <c r="AT436" s="2164"/>
      <c r="AU436" s="2164"/>
      <c r="AV436" s="2164"/>
      <c r="AW436" s="2164"/>
      <c r="AX436" s="2164"/>
      <c r="AY436" s="2164"/>
      <c r="AZ436" s="2164"/>
      <c r="BA436" s="2164"/>
      <c r="BB436" s="2164"/>
      <c r="BC436" s="2164"/>
      <c r="BD436" s="2164"/>
      <c r="BE436" s="2164"/>
      <c r="BF436" s="2164"/>
      <c r="BG436" s="7511"/>
    </row>
    <row customHeight="1" ht="11.25">
      <c r="A437" s="1507" t="s">
        <v>990</v>
      </c>
      <c r="B437" s="1507"/>
      <c r="C437" s="1507"/>
      <c r="D437" s="1501"/>
      <c r="E437" s="1511"/>
      <c r="F437" s="2170"/>
      <c r="G437" s="2171"/>
      <c r="H437" s="2856" t="s">
        <v>1121</v>
      </c>
      <c r="I437" s="2857"/>
      <c r="J437" s="2826"/>
      <c r="K437" s="2858"/>
      <c r="L437" s="2448"/>
      <c r="M437" s="2449"/>
      <c r="N437" s="2849"/>
      <c r="O437" s="2850"/>
      <c r="P437" s="2852"/>
      <c r="Q437" s="7512"/>
      <c r="R437" s="2854"/>
      <c r="S437" s="2855"/>
      <c r="T437" s="2854"/>
      <c r="U437" s="2854"/>
      <c r="V437" s="2854"/>
      <c r="W437" s="2854"/>
      <c r="X437" s="2854"/>
      <c r="Y437" s="2854"/>
      <c r="Z437" s="2169"/>
      <c r="AA437" s="2135">
        <v>1</v>
      </c>
      <c r="AB437" s="1520" t="s">
        <v>1035</v>
      </c>
      <c r="AC437" s="1510">
        <v>113867.72187</v>
      </c>
      <c r="AD437" s="1520" t="str">
        <f>AB437</f>
        <v>      Амортизационные отчисления с выделением результатов переоценки основных средств и нематериальных активов</v>
      </c>
      <c r="AE437" s="1510"/>
      <c r="AF437" s="2847"/>
      <c r="AG437" s="2848"/>
      <c r="AH437" s="2848"/>
      <c r="AI437" s="2847"/>
      <c r="AJ437" s="2848"/>
      <c r="AK437" s="2848"/>
      <c r="AL437" s="2329"/>
      <c r="AM437" s="2164"/>
      <c r="AN437" s="2164"/>
      <c r="AO437" s="2164"/>
      <c r="AP437" s="2164"/>
      <c r="AQ437" s="2164"/>
      <c r="AR437" s="2164"/>
      <c r="AS437" s="2164"/>
      <c r="AT437" s="2164"/>
      <c r="AU437" s="2164"/>
      <c r="AV437" s="2164"/>
      <c r="AW437" s="2164"/>
      <c r="AX437" s="2164"/>
      <c r="AY437" s="2164"/>
      <c r="AZ437" s="2164"/>
      <c r="BA437" s="2164"/>
      <c r="BB437" s="2164"/>
      <c r="BC437" s="2164"/>
      <c r="BD437" s="2164"/>
      <c r="BE437" s="2164"/>
      <c r="BF437" s="2164"/>
      <c r="BG437" s="7511"/>
    </row>
    <row customHeight="1" ht="11.25">
      <c r="A438" s="1507" t="s">
        <v>990</v>
      </c>
      <c r="B438" s="1507"/>
      <c r="C438" s="1507"/>
      <c r="D438" s="1501"/>
      <c r="E438" s="1511"/>
      <c r="F438" s="2171"/>
      <c r="G438" s="2171"/>
      <c r="H438" s="2171"/>
      <c r="I438" s="2171"/>
      <c r="J438" s="7515"/>
      <c r="K438" s="2171"/>
      <c r="L438" s="2171"/>
      <c r="M438" s="2171"/>
      <c r="N438" s="2171"/>
      <c r="O438" s="2171"/>
      <c r="P438" s="2171"/>
      <c r="Q438" s="7515"/>
      <c r="R438" s="2171"/>
      <c r="S438" s="2171"/>
      <c r="T438" s="2171"/>
      <c r="U438" s="2171"/>
      <c r="V438" s="2171"/>
      <c r="W438" s="2171"/>
      <c r="X438" s="2171"/>
      <c r="Y438" s="2171"/>
      <c r="Z438" s="7510" t="s">
        <v>684</v>
      </c>
      <c r="AA438" s="2155" t="s">
        <v>107</v>
      </c>
      <c r="AB438" s="1520" t="s">
        <v>1036</v>
      </c>
      <c r="AC438" s="1510">
        <v>22561.43655</v>
      </c>
      <c r="AD438" s="1520" t="str">
        <f>AB438</f>
        <v>  Прочие собственные средства</v>
      </c>
      <c r="AE438" s="1510"/>
      <c r="AF438" s="2172"/>
      <c r="AG438" s="2100"/>
      <c r="AH438" s="2100"/>
      <c r="AI438" s="2172"/>
      <c r="AJ438" s="2100"/>
      <c r="AK438" s="2328"/>
      <c r="AL438" s="2329"/>
      <c r="AM438" s="2164"/>
      <c r="AN438" s="2164"/>
      <c r="AO438" s="2164"/>
      <c r="AP438" s="2164"/>
      <c r="AQ438" s="2164"/>
      <c r="AR438" s="2164"/>
      <c r="AS438" s="2164"/>
      <c r="AT438" s="2164"/>
      <c r="AU438" s="2164"/>
      <c r="AV438" s="2164"/>
      <c r="AW438" s="2164"/>
      <c r="AX438" s="2164"/>
      <c r="AY438" s="2164"/>
      <c r="AZ438" s="2164"/>
      <c r="BA438" s="2164"/>
      <c r="BB438" s="2164"/>
      <c r="BC438" s="2164"/>
      <c r="BD438" s="2164"/>
      <c r="BE438" s="2164"/>
      <c r="BF438" s="2164"/>
      <c r="BG438" s="7511"/>
    </row>
    <row customHeight="1" ht="11.25">
      <c r="A439" s="1507" t="s">
        <v>990</v>
      </c>
      <c r="B439" s="1507"/>
      <c r="C439" s="1507"/>
      <c r="D439" s="1501"/>
      <c r="E439" s="1511"/>
      <c r="F439" s="2170"/>
      <c r="G439" s="2171"/>
      <c r="H439" s="2856" t="s">
        <v>1121</v>
      </c>
      <c r="I439" s="2857"/>
      <c r="J439" s="2826"/>
      <c r="K439" s="2858"/>
      <c r="L439" s="2448"/>
      <c r="M439" s="2449"/>
      <c r="N439" s="2849"/>
      <c r="O439" s="2850"/>
      <c r="P439" s="2853"/>
      <c r="Q439" s="7512"/>
      <c r="R439" s="2854"/>
      <c r="S439" s="2855"/>
      <c r="T439" s="2854"/>
      <c r="U439" s="2854"/>
      <c r="V439" s="2854"/>
      <c r="W439" s="2854"/>
      <c r="X439" s="2854"/>
      <c r="Y439" s="2854"/>
      <c r="Z439" s="1516"/>
      <c r="AA439" s="1517"/>
      <c r="AB439" s="1582" t="s">
        <v>1037</v>
      </c>
      <c r="AC439" s="1521"/>
      <c r="AD439" s="1521"/>
      <c r="AE439" s="1523"/>
      <c r="AF439" s="2847"/>
      <c r="AG439" s="2848"/>
      <c r="AH439" s="2848"/>
      <c r="AI439" s="2847"/>
      <c r="AJ439" s="2848"/>
      <c r="AK439" s="2848"/>
      <c r="AL439" s="2329"/>
      <c r="AM439" s="2164"/>
      <c r="AN439" s="2164"/>
      <c r="AO439" s="2164"/>
      <c r="AP439" s="2164"/>
      <c r="AQ439" s="2164"/>
      <c r="AR439" s="2164"/>
      <c r="AS439" s="2164"/>
      <c r="AT439" s="2164"/>
      <c r="AU439" s="2164"/>
      <c r="AV439" s="2164"/>
      <c r="AW439" s="2164"/>
      <c r="AX439" s="2164"/>
      <c r="AY439" s="2164"/>
      <c r="AZ439" s="2164"/>
      <c r="BA439" s="2164"/>
      <c r="BB439" s="2164"/>
      <c r="BC439" s="2164"/>
      <c r="BD439" s="2164"/>
      <c r="BE439" s="2164"/>
      <c r="BF439" s="2164"/>
      <c r="BG439" s="7511"/>
    </row>
    <row customHeight="1" ht="11.25">
      <c r="A440" s="1507" t="s">
        <v>990</v>
      </c>
      <c r="B440" s="1507"/>
      <c r="C440" s="1507"/>
      <c r="D440" s="1501"/>
      <c r="E440" s="1511"/>
      <c r="F440" s="2170"/>
      <c r="G440" s="2171"/>
      <c r="H440" s="2856" t="s">
        <v>1121</v>
      </c>
      <c r="I440" s="2857"/>
      <c r="J440" s="2826"/>
      <c r="K440" s="2858"/>
      <c r="L440" s="2448"/>
      <c r="M440" s="2449"/>
      <c r="N440" s="1516"/>
      <c r="O440" s="1517"/>
      <c r="P440" s="1509" t="s">
        <v>1038</v>
      </c>
      <c r="Q440" s="1517"/>
      <c r="R440" s="1517"/>
      <c r="S440" s="1517"/>
      <c r="T440" s="1517"/>
      <c r="U440" s="1517"/>
      <c r="V440" s="1517"/>
      <c r="W440" s="1517"/>
      <c r="X440" s="1517"/>
      <c r="Y440" s="1517"/>
      <c r="Z440" s="1517"/>
      <c r="AA440" s="1517"/>
      <c r="AB440" s="1517"/>
      <c r="AC440" s="1517"/>
      <c r="AD440" s="1517"/>
      <c r="AE440" s="1524"/>
      <c r="AF440" s="2847"/>
      <c r="AG440" s="2848"/>
      <c r="AH440" s="2848"/>
      <c r="AI440" s="2847"/>
      <c r="AJ440" s="2848"/>
      <c r="AK440" s="2848"/>
      <c r="AL440" s="2329"/>
      <c r="AM440" s="2164"/>
      <c r="AN440" s="2164"/>
      <c r="AO440" s="2164"/>
      <c r="AP440" s="2164"/>
      <c r="AQ440" s="2164"/>
      <c r="AR440" s="2164"/>
      <c r="AS440" s="2164"/>
      <c r="AT440" s="2164"/>
      <c r="AU440" s="2164"/>
      <c r="AV440" s="2164"/>
      <c r="AW440" s="2164"/>
      <c r="AX440" s="2164"/>
      <c r="AY440" s="2164"/>
      <c r="AZ440" s="2164"/>
      <c r="BA440" s="2164"/>
      <c r="BB440" s="2164"/>
      <c r="BC440" s="2164"/>
      <c r="BD440" s="2164"/>
      <c r="BE440" s="2164"/>
      <c r="BF440" s="2164"/>
      <c r="BG440" s="7511"/>
    </row>
    <row customHeight="1" ht="11.25">
      <c r="A441" s="1507" t="s">
        <v>990</v>
      </c>
      <c r="B441" s="1507" t="s">
        <v>22</v>
      </c>
      <c r="C441" s="1507"/>
      <c r="D441" s="1501"/>
      <c r="E441" s="1511"/>
      <c r="F441" s="2170"/>
      <c r="G441" s="7510" t="s">
        <v>684</v>
      </c>
      <c r="H441" s="2856" t="s">
        <v>1125</v>
      </c>
      <c r="I441" s="2857" t="s">
        <v>1039</v>
      </c>
      <c r="J441" s="7514" t="s">
        <v>22</v>
      </c>
      <c r="K441" s="2858" t="s">
        <v>1174</v>
      </c>
      <c r="L441" s="2448" t="s">
        <v>19</v>
      </c>
      <c r="M441" s="2449"/>
      <c r="N441" s="2327"/>
      <c r="O441" s="1518" t="s">
        <v>371</v>
      </c>
      <c r="P441" s="1519"/>
      <c r="Q441" s="1519"/>
      <c r="R441" s="1519"/>
      <c r="S441" s="1519"/>
      <c r="T441" s="1519"/>
      <c r="U441" s="1519"/>
      <c r="V441" s="1519"/>
      <c r="W441" s="1519"/>
      <c r="X441" s="1519"/>
      <c r="Y441" s="1519"/>
      <c r="Z441" s="1519"/>
      <c r="AA441" s="1519"/>
      <c r="AB441" s="1519"/>
      <c r="AC441" s="1519"/>
      <c r="AD441" s="1519"/>
      <c r="AE441" s="1519"/>
      <c r="AF441" s="2847">
        <v>1</v>
      </c>
      <c r="AG441" s="2848" t="s">
        <v>1026</v>
      </c>
      <c r="AH441" s="2848" t="s">
        <v>1053</v>
      </c>
      <c r="AI441" s="2847"/>
      <c r="AJ441" s="2848"/>
      <c r="AK441" s="2848"/>
      <c r="AL441" s="2329"/>
      <c r="AM441" s="2164"/>
      <c r="AN441" s="2164"/>
      <c r="AO441" s="2164"/>
      <c r="AP441" s="2164"/>
      <c r="AQ441" s="2164"/>
      <c r="AR441" s="2164"/>
      <c r="AS441" s="2164"/>
      <c r="AT441" s="2164"/>
      <c r="AU441" s="2164"/>
      <c r="AV441" s="2164"/>
      <c r="AW441" s="2164"/>
      <c r="AX441" s="2164"/>
      <c r="AY441" s="2164"/>
      <c r="AZ441" s="2164"/>
      <c r="BA441" s="2164"/>
      <c r="BB441" s="2164"/>
      <c r="BC441" s="2164"/>
      <c r="BD441" s="2164"/>
      <c r="BE441" s="2164"/>
      <c r="BF441" s="2164"/>
      <c r="BG441" s="7511"/>
    </row>
    <row customHeight="1" ht="11.25">
      <c r="A442" s="1507" t="s">
        <v>990</v>
      </c>
      <c r="B442" s="1507"/>
      <c r="C442" s="1507"/>
      <c r="D442" s="1501"/>
      <c r="E442" s="1511"/>
      <c r="F442" s="2170"/>
      <c r="G442" s="2171"/>
      <c r="H442" s="2856" t="s">
        <v>1123</v>
      </c>
      <c r="I442" s="2857"/>
      <c r="J442" s="7514"/>
      <c r="K442" s="2858"/>
      <c r="L442" s="2448"/>
      <c r="M442" s="2449"/>
      <c r="N442" s="2849"/>
      <c r="O442" s="2850">
        <v>1</v>
      </c>
      <c r="P442" s="2851" t="s">
        <v>19</v>
      </c>
      <c r="Q442" s="2854" t="s">
        <v>22</v>
      </c>
      <c r="R442" s="2854" t="s">
        <v>22</v>
      </c>
      <c r="S442" s="2854" t="s">
        <v>22</v>
      </c>
      <c r="T442" s="2854" t="s">
        <v>22</v>
      </c>
      <c r="U442" s="2854" t="s">
        <v>22</v>
      </c>
      <c r="V442" s="2854" t="s">
        <v>22</v>
      </c>
      <c r="W442" s="2854" t="s">
        <v>22</v>
      </c>
      <c r="X442" s="2854" t="s">
        <v>22</v>
      </c>
      <c r="Y442" s="2854"/>
      <c r="Z442" s="1516"/>
      <c r="AA442" s="1517"/>
      <c r="AB442" s="1517"/>
      <c r="AC442" s="1521"/>
      <c r="AD442" s="1521"/>
      <c r="AE442" s="1522"/>
      <c r="AF442" s="2847"/>
      <c r="AG442" s="2848"/>
      <c r="AH442" s="2848"/>
      <c r="AI442" s="2847"/>
      <c r="AJ442" s="2848"/>
      <c r="AK442" s="2848"/>
      <c r="AL442" s="2329"/>
      <c r="AM442" s="2164"/>
      <c r="AN442" s="2164"/>
      <c r="AO442" s="2164"/>
      <c r="AP442" s="2164"/>
      <c r="AQ442" s="2164"/>
      <c r="AR442" s="2164"/>
      <c r="AS442" s="2164"/>
      <c r="AT442" s="2164"/>
      <c r="AU442" s="2164"/>
      <c r="AV442" s="2164"/>
      <c r="AW442" s="2164"/>
      <c r="AX442" s="2164"/>
      <c r="AY442" s="2164"/>
      <c r="AZ442" s="2164"/>
      <c r="BA442" s="2164"/>
      <c r="BB442" s="2164"/>
      <c r="BC442" s="2164"/>
      <c r="BD442" s="2164"/>
      <c r="BE442" s="2164"/>
      <c r="BF442" s="2164"/>
      <c r="BG442" s="7511"/>
    </row>
    <row customHeight="1" ht="11.25">
      <c r="A443" s="1507" t="s">
        <v>990</v>
      </c>
      <c r="B443" s="1507"/>
      <c r="C443" s="1507"/>
      <c r="D443" s="1501"/>
      <c r="E443" s="1511"/>
      <c r="F443" s="2170"/>
      <c r="G443" s="2171"/>
      <c r="H443" s="2856" t="s">
        <v>1123</v>
      </c>
      <c r="I443" s="2857"/>
      <c r="J443" s="7514"/>
      <c r="K443" s="2858"/>
      <c r="L443" s="2448"/>
      <c r="M443" s="2449"/>
      <c r="N443" s="2849"/>
      <c r="O443" s="2850"/>
      <c r="P443" s="2852"/>
      <c r="Q443" s="2854"/>
      <c r="R443" s="2854"/>
      <c r="S443" s="2855"/>
      <c r="T443" s="2854"/>
      <c r="U443" s="2854"/>
      <c r="V443" s="2854"/>
      <c r="W443" s="2854"/>
      <c r="X443" s="2854"/>
      <c r="Y443" s="2854"/>
      <c r="Z443" s="2169"/>
      <c r="AA443" s="2135">
        <v>1</v>
      </c>
      <c r="AB443" s="1520" t="s">
        <v>1035</v>
      </c>
      <c r="AC443" s="1510">
        <v>1455.01826</v>
      </c>
      <c r="AD443" s="1520" t="str">
        <f>AB443</f>
        <v>      Амортизационные отчисления с выделением результатов переоценки основных средств и нематериальных активов</v>
      </c>
      <c r="AE443" s="1510"/>
      <c r="AF443" s="2847"/>
      <c r="AG443" s="2848"/>
      <c r="AH443" s="2848"/>
      <c r="AI443" s="2847"/>
      <c r="AJ443" s="2848"/>
      <c r="AK443" s="2848"/>
      <c r="AL443" s="2329"/>
      <c r="AM443" s="2164"/>
      <c r="AN443" s="2164"/>
      <c r="AO443" s="2164"/>
      <c r="AP443" s="2164"/>
      <c r="AQ443" s="2164"/>
      <c r="AR443" s="2164"/>
      <c r="AS443" s="2164"/>
      <c r="AT443" s="2164"/>
      <c r="AU443" s="2164"/>
      <c r="AV443" s="2164"/>
      <c r="AW443" s="2164"/>
      <c r="AX443" s="2164"/>
      <c r="AY443" s="2164"/>
      <c r="AZ443" s="2164"/>
      <c r="BA443" s="2164"/>
      <c r="BB443" s="2164"/>
      <c r="BC443" s="2164"/>
      <c r="BD443" s="2164"/>
      <c r="BE443" s="2164"/>
      <c r="BF443" s="2164"/>
      <c r="BG443" s="7511"/>
    </row>
    <row customHeight="1" ht="11.25">
      <c r="A444" s="1507" t="s">
        <v>990</v>
      </c>
      <c r="B444" s="1507"/>
      <c r="C444" s="1507"/>
      <c r="D444" s="1501"/>
      <c r="E444" s="1511"/>
      <c r="F444" s="2171"/>
      <c r="G444" s="2171"/>
      <c r="H444" s="2171"/>
      <c r="I444" s="2171"/>
      <c r="J444" s="2171"/>
      <c r="K444" s="2171"/>
      <c r="L444" s="2171"/>
      <c r="M444" s="2171"/>
      <c r="N444" s="2171"/>
      <c r="O444" s="2171"/>
      <c r="P444" s="2171"/>
      <c r="Q444" s="2171"/>
      <c r="R444" s="2171"/>
      <c r="S444" s="2171"/>
      <c r="T444" s="2171"/>
      <c r="U444" s="2171"/>
      <c r="V444" s="2171"/>
      <c r="W444" s="2171"/>
      <c r="X444" s="2171"/>
      <c r="Y444" s="2171"/>
      <c r="Z444" s="7510" t="s">
        <v>684</v>
      </c>
      <c r="AA444" s="2155" t="s">
        <v>107</v>
      </c>
      <c r="AB444" s="1520" t="s">
        <v>1036</v>
      </c>
      <c r="AC444" s="1510">
        <v>291.00365</v>
      </c>
      <c r="AD444" s="1520" t="str">
        <f>AB444</f>
        <v>  Прочие собственные средства</v>
      </c>
      <c r="AE444" s="1510"/>
      <c r="AF444" s="2172"/>
      <c r="AG444" s="2100"/>
      <c r="AH444" s="2100"/>
      <c r="AI444" s="2172"/>
      <c r="AJ444" s="2100"/>
      <c r="AK444" s="2328"/>
      <c r="AL444" s="2329"/>
      <c r="AM444" s="2164"/>
      <c r="AN444" s="2164"/>
      <c r="AO444" s="2164"/>
      <c r="AP444" s="2164"/>
      <c r="AQ444" s="2164"/>
      <c r="AR444" s="2164"/>
      <c r="AS444" s="2164"/>
      <c r="AT444" s="2164"/>
      <c r="AU444" s="2164"/>
      <c r="AV444" s="2164"/>
      <c r="AW444" s="2164"/>
      <c r="AX444" s="2164"/>
      <c r="AY444" s="2164"/>
      <c r="AZ444" s="2164"/>
      <c r="BA444" s="2164"/>
      <c r="BB444" s="2164"/>
      <c r="BC444" s="2164"/>
      <c r="BD444" s="2164"/>
      <c r="BE444" s="2164"/>
      <c r="BF444" s="2164"/>
      <c r="BG444" s="7511"/>
    </row>
    <row customHeight="1" ht="11.25">
      <c r="A445" s="1507" t="s">
        <v>990</v>
      </c>
      <c r="B445" s="1507"/>
      <c r="C445" s="1507"/>
      <c r="D445" s="1501"/>
      <c r="E445" s="1511"/>
      <c r="F445" s="2170"/>
      <c r="G445" s="2171"/>
      <c r="H445" s="2856" t="s">
        <v>1123</v>
      </c>
      <c r="I445" s="2857"/>
      <c r="J445" s="7514"/>
      <c r="K445" s="2858"/>
      <c r="L445" s="2448"/>
      <c r="M445" s="2449"/>
      <c r="N445" s="2849"/>
      <c r="O445" s="2850"/>
      <c r="P445" s="2853"/>
      <c r="Q445" s="2854"/>
      <c r="R445" s="2854"/>
      <c r="S445" s="2855"/>
      <c r="T445" s="2854"/>
      <c r="U445" s="2854"/>
      <c r="V445" s="2854"/>
      <c r="W445" s="2854"/>
      <c r="X445" s="2854"/>
      <c r="Y445" s="2854"/>
      <c r="Z445" s="1516"/>
      <c r="AA445" s="1517"/>
      <c r="AB445" s="1582" t="s">
        <v>1037</v>
      </c>
      <c r="AC445" s="1521"/>
      <c r="AD445" s="1521"/>
      <c r="AE445" s="1523"/>
      <c r="AF445" s="2847"/>
      <c r="AG445" s="2848"/>
      <c r="AH445" s="2848"/>
      <c r="AI445" s="2847"/>
      <c r="AJ445" s="2848"/>
      <c r="AK445" s="2848"/>
      <c r="AL445" s="2329"/>
      <c r="AM445" s="2164"/>
      <c r="AN445" s="2164"/>
      <c r="AO445" s="2164"/>
      <c r="AP445" s="2164"/>
      <c r="AQ445" s="2164"/>
      <c r="AR445" s="2164"/>
      <c r="AS445" s="2164"/>
      <c r="AT445" s="2164"/>
      <c r="AU445" s="2164"/>
      <c r="AV445" s="2164"/>
      <c r="AW445" s="2164"/>
      <c r="AX445" s="2164"/>
      <c r="AY445" s="2164"/>
      <c r="AZ445" s="2164"/>
      <c r="BA445" s="2164"/>
      <c r="BB445" s="2164"/>
      <c r="BC445" s="2164"/>
      <c r="BD445" s="2164"/>
      <c r="BE445" s="2164"/>
      <c r="BF445" s="2164"/>
      <c r="BG445" s="7511"/>
    </row>
    <row customHeight="1" ht="11.25">
      <c r="A446" s="1507" t="s">
        <v>990</v>
      </c>
      <c r="B446" s="1507"/>
      <c r="C446" s="1507"/>
      <c r="D446" s="1501"/>
      <c r="E446" s="1511"/>
      <c r="F446" s="2170"/>
      <c r="G446" s="2171"/>
      <c r="H446" s="2856" t="s">
        <v>1123</v>
      </c>
      <c r="I446" s="2857"/>
      <c r="J446" s="7514"/>
      <c r="K446" s="2858"/>
      <c r="L446" s="2448"/>
      <c r="M446" s="2449"/>
      <c r="N446" s="1516"/>
      <c r="O446" s="1517"/>
      <c r="P446" s="1509" t="s">
        <v>1038</v>
      </c>
      <c r="Q446" s="1517"/>
      <c r="R446" s="1517"/>
      <c r="S446" s="1517"/>
      <c r="T446" s="1517"/>
      <c r="U446" s="1517"/>
      <c r="V446" s="1517"/>
      <c r="W446" s="1517"/>
      <c r="X446" s="1517"/>
      <c r="Y446" s="1517"/>
      <c r="Z446" s="1517"/>
      <c r="AA446" s="1517"/>
      <c r="AB446" s="1517"/>
      <c r="AC446" s="1517"/>
      <c r="AD446" s="1517"/>
      <c r="AE446" s="1524"/>
      <c r="AF446" s="2847"/>
      <c r="AG446" s="2848"/>
      <c r="AH446" s="2848"/>
      <c r="AI446" s="2847"/>
      <c r="AJ446" s="2848"/>
      <c r="AK446" s="2848"/>
      <c r="AL446" s="2329"/>
      <c r="AM446" s="2164"/>
      <c r="AN446" s="2164"/>
      <c r="AO446" s="2164"/>
      <c r="AP446" s="2164"/>
      <c r="AQ446" s="2164"/>
      <c r="AR446" s="2164"/>
      <c r="AS446" s="2164"/>
      <c r="AT446" s="2164"/>
      <c r="AU446" s="2164"/>
      <c r="AV446" s="2164"/>
      <c r="AW446" s="2164"/>
      <c r="AX446" s="2164"/>
      <c r="AY446" s="2164"/>
      <c r="AZ446" s="2164"/>
      <c r="BA446" s="2164"/>
      <c r="BB446" s="2164"/>
      <c r="BC446" s="2164"/>
      <c r="BD446" s="2164"/>
      <c r="BE446" s="2164"/>
      <c r="BF446" s="2164"/>
      <c r="BG446" s="7511"/>
    </row>
    <row customHeight="1" ht="11.25">
      <c r="A447" s="1507" t="s">
        <v>990</v>
      </c>
      <c r="B447" s="1507" t="s">
        <v>1022</v>
      </c>
      <c r="C447" s="1507"/>
      <c r="D447" s="1501"/>
      <c r="E447" s="1511"/>
      <c r="F447" s="2170"/>
      <c r="G447" s="7510" t="s">
        <v>684</v>
      </c>
      <c r="H447" s="2856" t="s">
        <v>1127</v>
      </c>
      <c r="I447" s="2857" t="s">
        <v>1023</v>
      </c>
      <c r="J447" s="2826" t="s">
        <v>1024</v>
      </c>
      <c r="K447" s="2858" t="s">
        <v>1176</v>
      </c>
      <c r="L447" s="2448" t="s">
        <v>19</v>
      </c>
      <c r="M447" s="2449"/>
      <c r="N447" s="2327"/>
      <c r="O447" s="1518" t="s">
        <v>371</v>
      </c>
      <c r="P447" s="1519"/>
      <c r="Q447" s="1519"/>
      <c r="R447" s="1519"/>
      <c r="S447" s="1519"/>
      <c r="T447" s="1519"/>
      <c r="U447" s="1519"/>
      <c r="V447" s="1519"/>
      <c r="W447" s="1519"/>
      <c r="X447" s="1519"/>
      <c r="Y447" s="1519"/>
      <c r="Z447" s="1519"/>
      <c r="AA447" s="1519"/>
      <c r="AB447" s="1519"/>
      <c r="AC447" s="1519"/>
      <c r="AD447" s="1519"/>
      <c r="AE447" s="1519"/>
      <c r="AF447" s="2847">
        <v>3</v>
      </c>
      <c r="AG447" s="2848" t="s">
        <v>1026</v>
      </c>
      <c r="AH447" s="2848" t="s">
        <v>1051</v>
      </c>
      <c r="AI447" s="2847"/>
      <c r="AJ447" s="2848"/>
      <c r="AK447" s="2848"/>
      <c r="AL447" s="2329"/>
      <c r="AM447" s="2164"/>
      <c r="AN447" s="2164"/>
      <c r="AO447" s="2164"/>
      <c r="AP447" s="2164"/>
      <c r="AQ447" s="2164"/>
      <c r="AR447" s="2164"/>
      <c r="AS447" s="2164"/>
      <c r="AT447" s="2164"/>
      <c r="AU447" s="2164"/>
      <c r="AV447" s="2164"/>
      <c r="AW447" s="2164"/>
      <c r="AX447" s="2164"/>
      <c r="AY447" s="2164"/>
      <c r="AZ447" s="2164"/>
      <c r="BA447" s="2164"/>
      <c r="BB447" s="2164"/>
      <c r="BC447" s="2164"/>
      <c r="BD447" s="2164"/>
      <c r="BE447" s="2164"/>
      <c r="BF447" s="2164"/>
      <c r="BG447" s="7511"/>
    </row>
    <row customHeight="1" ht="11.25">
      <c r="A448" s="1507" t="s">
        <v>990</v>
      </c>
      <c r="B448" s="1507"/>
      <c r="C448" s="1507"/>
      <c r="D448" s="1501"/>
      <c r="E448" s="1511"/>
      <c r="F448" s="2170"/>
      <c r="G448" s="2171"/>
      <c r="H448" s="2856" t="s">
        <v>1125</v>
      </c>
      <c r="I448" s="2857"/>
      <c r="J448" s="2826"/>
      <c r="K448" s="2858"/>
      <c r="L448" s="2448"/>
      <c r="M448" s="2449"/>
      <c r="N448" s="2849"/>
      <c r="O448" s="2850">
        <v>1</v>
      </c>
      <c r="P448" s="2851" t="s">
        <v>65</v>
      </c>
      <c r="Q448" s="7512" t="s">
        <v>1153</v>
      </c>
      <c r="R448" s="7513" t="s">
        <v>1083</v>
      </c>
      <c r="S448" s="7513" t="s">
        <v>1154</v>
      </c>
      <c r="T448" s="7513" t="s">
        <v>1154</v>
      </c>
      <c r="U448" s="7513" t="s">
        <v>1155</v>
      </c>
      <c r="V448" s="7513" t="s">
        <v>1156</v>
      </c>
      <c r="W448" s="7513" t="s">
        <v>1157</v>
      </c>
      <c r="X448" s="7513" t="s">
        <v>1158</v>
      </c>
      <c r="Y448" s="7513" t="s">
        <v>92</v>
      </c>
      <c r="Z448" s="1516"/>
      <c r="AA448" s="1517"/>
      <c r="AB448" s="1517"/>
      <c r="AC448" s="1521"/>
      <c r="AD448" s="1521"/>
      <c r="AE448" s="1522"/>
      <c r="AF448" s="2847"/>
      <c r="AG448" s="2848"/>
      <c r="AH448" s="2848"/>
      <c r="AI448" s="2847"/>
      <c r="AJ448" s="2848"/>
      <c r="AK448" s="2848"/>
      <c r="AL448" s="2329"/>
      <c r="AM448" s="2164"/>
      <c r="AN448" s="2164"/>
      <c r="AO448" s="2164"/>
      <c r="AP448" s="2164"/>
      <c r="AQ448" s="2164"/>
      <c r="AR448" s="2164"/>
      <c r="AS448" s="2164"/>
      <c r="AT448" s="2164"/>
      <c r="AU448" s="2164"/>
      <c r="AV448" s="2164"/>
      <c r="AW448" s="2164"/>
      <c r="AX448" s="2164"/>
      <c r="AY448" s="2164"/>
      <c r="AZ448" s="2164"/>
      <c r="BA448" s="2164"/>
      <c r="BB448" s="2164"/>
      <c r="BC448" s="2164"/>
      <c r="BD448" s="2164"/>
      <c r="BE448" s="2164"/>
      <c r="BF448" s="2164"/>
      <c r="BG448" s="7511"/>
    </row>
    <row customHeight="1" ht="11.25">
      <c r="A449" s="1507" t="s">
        <v>990</v>
      </c>
      <c r="B449" s="1507"/>
      <c r="C449" s="1507"/>
      <c r="D449" s="1501"/>
      <c r="E449" s="1511"/>
      <c r="F449" s="2170"/>
      <c r="G449" s="2171"/>
      <c r="H449" s="2856" t="s">
        <v>1125</v>
      </c>
      <c r="I449" s="2857"/>
      <c r="J449" s="2826"/>
      <c r="K449" s="2858"/>
      <c r="L449" s="2448"/>
      <c r="M449" s="2449"/>
      <c r="N449" s="2849"/>
      <c r="O449" s="2850"/>
      <c r="P449" s="2852"/>
      <c r="Q449" s="7512"/>
      <c r="R449" s="2854"/>
      <c r="S449" s="2855"/>
      <c r="T449" s="2854"/>
      <c r="U449" s="2854"/>
      <c r="V449" s="2854"/>
      <c r="W449" s="2854"/>
      <c r="X449" s="2854"/>
      <c r="Y449" s="2854"/>
      <c r="Z449" s="2169"/>
      <c r="AA449" s="2135">
        <v>1</v>
      </c>
      <c r="AB449" s="1520" t="s">
        <v>1035</v>
      </c>
      <c r="AC449" s="1510">
        <v>1262.5</v>
      </c>
      <c r="AD449" s="1520" t="str">
        <f>AB449</f>
        <v>      Амортизационные отчисления с выделением результатов переоценки основных средств и нематериальных активов</v>
      </c>
      <c r="AE449" s="1510"/>
      <c r="AF449" s="2847"/>
      <c r="AG449" s="2848"/>
      <c r="AH449" s="2848"/>
      <c r="AI449" s="2847"/>
      <c r="AJ449" s="2848"/>
      <c r="AK449" s="2848"/>
      <c r="AL449" s="2329"/>
      <c r="AM449" s="2164"/>
      <c r="AN449" s="2164"/>
      <c r="AO449" s="2164"/>
      <c r="AP449" s="2164"/>
      <c r="AQ449" s="2164"/>
      <c r="AR449" s="2164"/>
      <c r="AS449" s="2164"/>
      <c r="AT449" s="2164"/>
      <c r="AU449" s="2164"/>
      <c r="AV449" s="2164"/>
      <c r="AW449" s="2164"/>
      <c r="AX449" s="2164"/>
      <c r="AY449" s="2164"/>
      <c r="AZ449" s="2164"/>
      <c r="BA449" s="2164"/>
      <c r="BB449" s="2164"/>
      <c r="BC449" s="2164"/>
      <c r="BD449" s="2164"/>
      <c r="BE449" s="2164"/>
      <c r="BF449" s="2164"/>
      <c r="BG449" s="7511"/>
    </row>
    <row customHeight="1" ht="11.25">
      <c r="A450" s="1507" t="s">
        <v>990</v>
      </c>
      <c r="B450" s="1507"/>
      <c r="C450" s="1507"/>
      <c r="D450" s="1501"/>
      <c r="E450" s="1511"/>
      <c r="F450" s="2171"/>
      <c r="G450" s="2171"/>
      <c r="H450" s="2171"/>
      <c r="I450" s="2171"/>
      <c r="J450" s="2171"/>
      <c r="K450" s="2171"/>
      <c r="L450" s="2171"/>
      <c r="M450" s="2171"/>
      <c r="N450" s="2171"/>
      <c r="O450" s="2171"/>
      <c r="P450" s="2171"/>
      <c r="Q450" s="2171"/>
      <c r="R450" s="2171"/>
      <c r="S450" s="2171"/>
      <c r="T450" s="2171"/>
      <c r="U450" s="2171"/>
      <c r="V450" s="2171"/>
      <c r="W450" s="2171"/>
      <c r="X450" s="2171"/>
      <c r="Y450" s="2171"/>
      <c r="Z450" s="7510" t="s">
        <v>684</v>
      </c>
      <c r="AA450" s="2155" t="s">
        <v>107</v>
      </c>
      <c r="AB450" s="1520" t="s">
        <v>1036</v>
      </c>
      <c r="AC450" s="1510">
        <v>252.5</v>
      </c>
      <c r="AD450" s="1520" t="str">
        <f>AB450</f>
        <v>  Прочие собственные средства</v>
      </c>
      <c r="AE450" s="1510"/>
      <c r="AF450" s="2172"/>
      <c r="AG450" s="2100"/>
      <c r="AH450" s="2100"/>
      <c r="AI450" s="2172"/>
      <c r="AJ450" s="2100"/>
      <c r="AK450" s="2328"/>
      <c r="AL450" s="2329"/>
      <c r="AM450" s="2164"/>
      <c r="AN450" s="2164"/>
      <c r="AO450" s="2164"/>
      <c r="AP450" s="2164"/>
      <c r="AQ450" s="2164"/>
      <c r="AR450" s="2164"/>
      <c r="AS450" s="2164"/>
      <c r="AT450" s="2164"/>
      <c r="AU450" s="2164"/>
      <c r="AV450" s="2164"/>
      <c r="AW450" s="2164"/>
      <c r="AX450" s="2164"/>
      <c r="AY450" s="2164"/>
      <c r="AZ450" s="2164"/>
      <c r="BA450" s="2164"/>
      <c r="BB450" s="2164"/>
      <c r="BC450" s="2164"/>
      <c r="BD450" s="2164"/>
      <c r="BE450" s="2164"/>
      <c r="BF450" s="2164"/>
      <c r="BG450" s="7511"/>
    </row>
    <row customHeight="1" ht="11.25">
      <c r="A451" s="1507" t="s">
        <v>990</v>
      </c>
      <c r="B451" s="1507"/>
      <c r="C451" s="1507"/>
      <c r="D451" s="1501"/>
      <c r="E451" s="1511"/>
      <c r="F451" s="2170"/>
      <c r="G451" s="2171"/>
      <c r="H451" s="2856" t="s">
        <v>1125</v>
      </c>
      <c r="I451" s="2857"/>
      <c r="J451" s="2826"/>
      <c r="K451" s="2858"/>
      <c r="L451" s="2448"/>
      <c r="M451" s="2449"/>
      <c r="N451" s="2849"/>
      <c r="O451" s="2850"/>
      <c r="P451" s="2853"/>
      <c r="Q451" s="7512"/>
      <c r="R451" s="2854"/>
      <c r="S451" s="2855"/>
      <c r="T451" s="2854"/>
      <c r="U451" s="2854"/>
      <c r="V451" s="2854"/>
      <c r="W451" s="2854"/>
      <c r="X451" s="2854"/>
      <c r="Y451" s="2854"/>
      <c r="Z451" s="1516"/>
      <c r="AA451" s="1517"/>
      <c r="AB451" s="1582" t="s">
        <v>1037</v>
      </c>
      <c r="AC451" s="1521"/>
      <c r="AD451" s="1521"/>
      <c r="AE451" s="1523"/>
      <c r="AF451" s="2847"/>
      <c r="AG451" s="2848"/>
      <c r="AH451" s="2848"/>
      <c r="AI451" s="2847"/>
      <c r="AJ451" s="2848"/>
      <c r="AK451" s="2848"/>
      <c r="AL451" s="2329"/>
      <c r="AM451" s="2164"/>
      <c r="AN451" s="2164"/>
      <c r="AO451" s="2164"/>
      <c r="AP451" s="2164"/>
      <c r="AQ451" s="2164"/>
      <c r="AR451" s="2164"/>
      <c r="AS451" s="2164"/>
      <c r="AT451" s="2164"/>
      <c r="AU451" s="2164"/>
      <c r="AV451" s="2164"/>
      <c r="AW451" s="2164"/>
      <c r="AX451" s="2164"/>
      <c r="AY451" s="2164"/>
      <c r="AZ451" s="2164"/>
      <c r="BA451" s="2164"/>
      <c r="BB451" s="2164"/>
      <c r="BC451" s="2164"/>
      <c r="BD451" s="2164"/>
      <c r="BE451" s="2164"/>
      <c r="BF451" s="2164"/>
      <c r="BG451" s="7511"/>
    </row>
    <row customHeight="1" ht="11.25">
      <c r="A452" s="1507" t="s">
        <v>990</v>
      </c>
      <c r="B452" s="1507"/>
      <c r="C452" s="1507"/>
      <c r="D452" s="1501"/>
      <c r="E452" s="1511"/>
      <c r="F452" s="2170"/>
      <c r="G452" s="2171"/>
      <c r="H452" s="2856" t="s">
        <v>1125</v>
      </c>
      <c r="I452" s="2857"/>
      <c r="J452" s="2826"/>
      <c r="K452" s="2858"/>
      <c r="L452" s="2448"/>
      <c r="M452" s="2449"/>
      <c r="N452" s="1516"/>
      <c r="O452" s="1517"/>
      <c r="P452" s="1509" t="s">
        <v>1038</v>
      </c>
      <c r="Q452" s="1517"/>
      <c r="R452" s="1517"/>
      <c r="S452" s="1517"/>
      <c r="T452" s="1517"/>
      <c r="U452" s="1517"/>
      <c r="V452" s="1517"/>
      <c r="W452" s="1517"/>
      <c r="X452" s="1517"/>
      <c r="Y452" s="1517"/>
      <c r="Z452" s="1517"/>
      <c r="AA452" s="1517"/>
      <c r="AB452" s="1517"/>
      <c r="AC452" s="1517"/>
      <c r="AD452" s="1517"/>
      <c r="AE452" s="1524"/>
      <c r="AF452" s="2847"/>
      <c r="AG452" s="2848"/>
      <c r="AH452" s="2848"/>
      <c r="AI452" s="2847"/>
      <c r="AJ452" s="2848"/>
      <c r="AK452" s="2848"/>
      <c r="AL452" s="2329"/>
      <c r="AM452" s="2164"/>
      <c r="AN452" s="2164"/>
      <c r="AO452" s="2164"/>
      <c r="AP452" s="2164"/>
      <c r="AQ452" s="2164"/>
      <c r="AR452" s="2164"/>
      <c r="AS452" s="2164"/>
      <c r="AT452" s="2164"/>
      <c r="AU452" s="2164"/>
      <c r="AV452" s="2164"/>
      <c r="AW452" s="2164"/>
      <c r="AX452" s="2164"/>
      <c r="AY452" s="2164"/>
      <c r="AZ452" s="2164"/>
      <c r="BA452" s="2164"/>
      <c r="BB452" s="2164"/>
      <c r="BC452" s="2164"/>
      <c r="BD452" s="2164"/>
      <c r="BE452" s="2164"/>
      <c r="BF452" s="2164"/>
      <c r="BG452" s="7511"/>
    </row>
    <row customHeight="1" ht="11.25">
      <c r="A453" s="1507" t="s">
        <v>990</v>
      </c>
      <c r="B453" s="1507" t="s">
        <v>1022</v>
      </c>
      <c r="C453" s="1507"/>
      <c r="D453" s="1501"/>
      <c r="E453" s="1511"/>
      <c r="F453" s="2170"/>
      <c r="G453" s="7510" t="s">
        <v>684</v>
      </c>
      <c r="H453" s="2856" t="s">
        <v>1129</v>
      </c>
      <c r="I453" s="2857" t="s">
        <v>1023</v>
      </c>
      <c r="J453" s="2826" t="s">
        <v>1024</v>
      </c>
      <c r="K453" s="2858" t="s">
        <v>1178</v>
      </c>
      <c r="L453" s="2448" t="s">
        <v>19</v>
      </c>
      <c r="M453" s="2449"/>
      <c r="N453" s="2327"/>
      <c r="O453" s="1518" t="s">
        <v>371</v>
      </c>
      <c r="P453" s="1519"/>
      <c r="Q453" s="1519"/>
      <c r="R453" s="1519"/>
      <c r="S453" s="1519"/>
      <c r="T453" s="1519"/>
      <c r="U453" s="1519"/>
      <c r="V453" s="1519"/>
      <c r="W453" s="1519"/>
      <c r="X453" s="1519"/>
      <c r="Y453" s="1519"/>
      <c r="Z453" s="1519"/>
      <c r="AA453" s="1519"/>
      <c r="AB453" s="1519"/>
      <c r="AC453" s="1519"/>
      <c r="AD453" s="1519"/>
      <c r="AE453" s="1519"/>
      <c r="AF453" s="2847">
        <v>3</v>
      </c>
      <c r="AG453" s="2848" t="s">
        <v>1026</v>
      </c>
      <c r="AH453" s="2848" t="s">
        <v>1051</v>
      </c>
      <c r="AI453" s="2847"/>
      <c r="AJ453" s="2848"/>
      <c r="AK453" s="2848"/>
      <c r="AL453" s="2329"/>
      <c r="AM453" s="2164"/>
      <c r="AN453" s="2164"/>
      <c r="AO453" s="2164"/>
      <c r="AP453" s="2164"/>
      <c r="AQ453" s="2164"/>
      <c r="AR453" s="2164"/>
      <c r="AS453" s="2164"/>
      <c r="AT453" s="2164"/>
      <c r="AU453" s="2164"/>
      <c r="AV453" s="2164"/>
      <c r="AW453" s="2164"/>
      <c r="AX453" s="2164"/>
      <c r="AY453" s="2164"/>
      <c r="AZ453" s="2164"/>
      <c r="BA453" s="2164"/>
      <c r="BB453" s="2164"/>
      <c r="BC453" s="2164"/>
      <c r="BD453" s="2164"/>
      <c r="BE453" s="2164"/>
      <c r="BF453" s="2164"/>
      <c r="BG453" s="7511"/>
    </row>
    <row customHeight="1" ht="11.25">
      <c r="A454" s="1507" t="s">
        <v>990</v>
      </c>
      <c r="B454" s="1507"/>
      <c r="C454" s="1507"/>
      <c r="D454" s="1501"/>
      <c r="E454" s="1511"/>
      <c r="F454" s="2170"/>
      <c r="G454" s="2171"/>
      <c r="H454" s="2856" t="s">
        <v>1127</v>
      </c>
      <c r="I454" s="2857"/>
      <c r="J454" s="2826"/>
      <c r="K454" s="2858"/>
      <c r="L454" s="2448"/>
      <c r="M454" s="2449"/>
      <c r="N454" s="2849"/>
      <c r="O454" s="2850">
        <v>1</v>
      </c>
      <c r="P454" s="2851" t="s">
        <v>65</v>
      </c>
      <c r="Q454" s="7512" t="s">
        <v>1153</v>
      </c>
      <c r="R454" s="7513" t="s">
        <v>1083</v>
      </c>
      <c r="S454" s="7513" t="s">
        <v>1154</v>
      </c>
      <c r="T454" s="7513" t="s">
        <v>1154</v>
      </c>
      <c r="U454" s="7513" t="s">
        <v>1155</v>
      </c>
      <c r="V454" s="7513" t="s">
        <v>1156</v>
      </c>
      <c r="W454" s="7513" t="s">
        <v>1157</v>
      </c>
      <c r="X454" s="7513" t="s">
        <v>1158</v>
      </c>
      <c r="Y454" s="7513" t="s">
        <v>92</v>
      </c>
      <c r="Z454" s="1516"/>
      <c r="AA454" s="1517"/>
      <c r="AB454" s="1517"/>
      <c r="AC454" s="1521"/>
      <c r="AD454" s="1521"/>
      <c r="AE454" s="1522"/>
      <c r="AF454" s="2847"/>
      <c r="AG454" s="2848"/>
      <c r="AH454" s="2848"/>
      <c r="AI454" s="2847"/>
      <c r="AJ454" s="2848"/>
      <c r="AK454" s="2848"/>
      <c r="AL454" s="2329"/>
      <c r="AM454" s="2164"/>
      <c r="AN454" s="2164"/>
      <c r="AO454" s="2164"/>
      <c r="AP454" s="2164"/>
      <c r="AQ454" s="2164"/>
      <c r="AR454" s="2164"/>
      <c r="AS454" s="2164"/>
      <c r="AT454" s="2164"/>
      <c r="AU454" s="2164"/>
      <c r="AV454" s="2164"/>
      <c r="AW454" s="2164"/>
      <c r="AX454" s="2164"/>
      <c r="AY454" s="2164"/>
      <c r="AZ454" s="2164"/>
      <c r="BA454" s="2164"/>
      <c r="BB454" s="2164"/>
      <c r="BC454" s="2164"/>
      <c r="BD454" s="2164"/>
      <c r="BE454" s="2164"/>
      <c r="BF454" s="2164"/>
      <c r="BG454" s="7511"/>
    </row>
    <row customHeight="1" ht="11.25">
      <c r="A455" s="1507" t="s">
        <v>990</v>
      </c>
      <c r="B455" s="1507"/>
      <c r="C455" s="1507"/>
      <c r="D455" s="1501"/>
      <c r="E455" s="1511"/>
      <c r="F455" s="2170"/>
      <c r="G455" s="2171"/>
      <c r="H455" s="2856" t="s">
        <v>1127</v>
      </c>
      <c r="I455" s="2857"/>
      <c r="J455" s="2826"/>
      <c r="K455" s="2858"/>
      <c r="L455" s="2448"/>
      <c r="M455" s="2449"/>
      <c r="N455" s="2849"/>
      <c r="O455" s="2850"/>
      <c r="P455" s="2852"/>
      <c r="Q455" s="7512"/>
      <c r="R455" s="2854"/>
      <c r="S455" s="2855"/>
      <c r="T455" s="2854"/>
      <c r="U455" s="2854"/>
      <c r="V455" s="2854"/>
      <c r="W455" s="2854"/>
      <c r="X455" s="2854"/>
      <c r="Y455" s="2854"/>
      <c r="Z455" s="2169"/>
      <c r="AA455" s="2135">
        <v>1</v>
      </c>
      <c r="AB455" s="1520" t="s">
        <v>1035</v>
      </c>
      <c r="AC455" s="1510">
        <v>4094.5</v>
      </c>
      <c r="AD455" s="1520" t="str">
        <f>AB455</f>
        <v>      Амортизационные отчисления с выделением результатов переоценки основных средств и нематериальных активов</v>
      </c>
      <c r="AE455" s="1510"/>
      <c r="AF455" s="2847"/>
      <c r="AG455" s="2848"/>
      <c r="AH455" s="2848"/>
      <c r="AI455" s="2847"/>
      <c r="AJ455" s="2848"/>
      <c r="AK455" s="2848"/>
      <c r="AL455" s="2329"/>
      <c r="AM455" s="2164"/>
      <c r="AN455" s="2164"/>
      <c r="AO455" s="2164"/>
      <c r="AP455" s="2164"/>
      <c r="AQ455" s="2164"/>
      <c r="AR455" s="2164"/>
      <c r="AS455" s="2164"/>
      <c r="AT455" s="2164"/>
      <c r="AU455" s="2164"/>
      <c r="AV455" s="2164"/>
      <c r="AW455" s="2164"/>
      <c r="AX455" s="2164"/>
      <c r="AY455" s="2164"/>
      <c r="AZ455" s="2164"/>
      <c r="BA455" s="2164"/>
      <c r="BB455" s="2164"/>
      <c r="BC455" s="2164"/>
      <c r="BD455" s="2164"/>
      <c r="BE455" s="2164"/>
      <c r="BF455" s="2164"/>
      <c r="BG455" s="7511"/>
    </row>
    <row customHeight="1" ht="11.25">
      <c r="A456" s="1507" t="s">
        <v>990</v>
      </c>
      <c r="B456" s="1507"/>
      <c r="C456" s="1507"/>
      <c r="D456" s="1501"/>
      <c r="E456" s="1511"/>
      <c r="F456" s="2171"/>
      <c r="G456" s="2171"/>
      <c r="H456" s="2171"/>
      <c r="I456" s="2171"/>
      <c r="J456" s="2171"/>
      <c r="K456" s="2171"/>
      <c r="L456" s="2171"/>
      <c r="M456" s="2171"/>
      <c r="N456" s="2171"/>
      <c r="O456" s="2171"/>
      <c r="P456" s="2171"/>
      <c r="Q456" s="2171"/>
      <c r="R456" s="2171"/>
      <c r="S456" s="2171"/>
      <c r="T456" s="2171"/>
      <c r="U456" s="2171"/>
      <c r="V456" s="2171"/>
      <c r="W456" s="2171"/>
      <c r="X456" s="2171"/>
      <c r="Y456" s="2171"/>
      <c r="Z456" s="7510" t="s">
        <v>684</v>
      </c>
      <c r="AA456" s="2155" t="s">
        <v>107</v>
      </c>
      <c r="AB456" s="1520" t="s">
        <v>1036</v>
      </c>
      <c r="AC456" s="1510">
        <v>818.9</v>
      </c>
      <c r="AD456" s="1520" t="str">
        <f>AB456</f>
        <v>  Прочие собственные средства</v>
      </c>
      <c r="AE456" s="1510"/>
      <c r="AF456" s="2172"/>
      <c r="AG456" s="2100"/>
      <c r="AH456" s="2100"/>
      <c r="AI456" s="2172"/>
      <c r="AJ456" s="2100"/>
      <c r="AK456" s="2328"/>
      <c r="AL456" s="2329"/>
      <c r="AM456" s="2164"/>
      <c r="AN456" s="2164"/>
      <c r="AO456" s="2164"/>
      <c r="AP456" s="2164"/>
      <c r="AQ456" s="2164"/>
      <c r="AR456" s="2164"/>
      <c r="AS456" s="2164"/>
      <c r="AT456" s="2164"/>
      <c r="AU456" s="2164"/>
      <c r="AV456" s="2164"/>
      <c r="AW456" s="2164"/>
      <c r="AX456" s="2164"/>
      <c r="AY456" s="2164"/>
      <c r="AZ456" s="2164"/>
      <c r="BA456" s="2164"/>
      <c r="BB456" s="2164"/>
      <c r="BC456" s="2164"/>
      <c r="BD456" s="2164"/>
      <c r="BE456" s="2164"/>
      <c r="BF456" s="2164"/>
      <c r="BG456" s="7511"/>
    </row>
    <row customHeight="1" ht="11.25">
      <c r="A457" s="1507" t="s">
        <v>990</v>
      </c>
      <c r="B457" s="1507"/>
      <c r="C457" s="1507"/>
      <c r="D457" s="1501"/>
      <c r="E457" s="1511"/>
      <c r="F457" s="2170"/>
      <c r="G457" s="2171"/>
      <c r="H457" s="2856" t="s">
        <v>1127</v>
      </c>
      <c r="I457" s="2857"/>
      <c r="J457" s="2826"/>
      <c r="K457" s="2858"/>
      <c r="L457" s="2448"/>
      <c r="M457" s="2449"/>
      <c r="N457" s="2849"/>
      <c r="O457" s="2850"/>
      <c r="P457" s="2853"/>
      <c r="Q457" s="7512"/>
      <c r="R457" s="2854"/>
      <c r="S457" s="2855"/>
      <c r="T457" s="2854"/>
      <c r="U457" s="2854"/>
      <c r="V457" s="2854"/>
      <c r="W457" s="2854"/>
      <c r="X457" s="2854"/>
      <c r="Y457" s="2854"/>
      <c r="Z457" s="1516"/>
      <c r="AA457" s="1517"/>
      <c r="AB457" s="1582" t="s">
        <v>1037</v>
      </c>
      <c r="AC457" s="1521"/>
      <c r="AD457" s="1521"/>
      <c r="AE457" s="1523"/>
      <c r="AF457" s="2847"/>
      <c r="AG457" s="2848"/>
      <c r="AH457" s="2848"/>
      <c r="AI457" s="2847"/>
      <c r="AJ457" s="2848"/>
      <c r="AK457" s="2848"/>
      <c r="AL457" s="2329"/>
      <c r="AM457" s="2164"/>
      <c r="AN457" s="2164"/>
      <c r="AO457" s="2164"/>
      <c r="AP457" s="2164"/>
      <c r="AQ457" s="2164"/>
      <c r="AR457" s="2164"/>
      <c r="AS457" s="2164"/>
      <c r="AT457" s="2164"/>
      <c r="AU457" s="2164"/>
      <c r="AV457" s="2164"/>
      <c r="AW457" s="2164"/>
      <c r="AX457" s="2164"/>
      <c r="AY457" s="2164"/>
      <c r="AZ457" s="2164"/>
      <c r="BA457" s="2164"/>
      <c r="BB457" s="2164"/>
      <c r="BC457" s="2164"/>
      <c r="BD457" s="2164"/>
      <c r="BE457" s="2164"/>
      <c r="BF457" s="2164"/>
      <c r="BG457" s="7511"/>
    </row>
    <row customHeight="1" ht="11.25">
      <c r="A458" s="1507" t="s">
        <v>990</v>
      </c>
      <c r="B458" s="1507"/>
      <c r="C458" s="1507"/>
      <c r="D458" s="1501"/>
      <c r="E458" s="1511"/>
      <c r="F458" s="2170"/>
      <c r="G458" s="2171"/>
      <c r="H458" s="2856" t="s">
        <v>1127</v>
      </c>
      <c r="I458" s="2857"/>
      <c r="J458" s="2826"/>
      <c r="K458" s="2858"/>
      <c r="L458" s="2448"/>
      <c r="M458" s="2449"/>
      <c r="N458" s="1516"/>
      <c r="O458" s="1517"/>
      <c r="P458" s="1509" t="s">
        <v>1038</v>
      </c>
      <c r="Q458" s="1517"/>
      <c r="R458" s="1517"/>
      <c r="S458" s="1517"/>
      <c r="T458" s="1517"/>
      <c r="U458" s="1517"/>
      <c r="V458" s="1517"/>
      <c r="W458" s="1517"/>
      <c r="X458" s="1517"/>
      <c r="Y458" s="1517"/>
      <c r="Z458" s="1517"/>
      <c r="AA458" s="1517"/>
      <c r="AB458" s="1517"/>
      <c r="AC458" s="1517"/>
      <c r="AD458" s="1517"/>
      <c r="AE458" s="1524"/>
      <c r="AF458" s="2847"/>
      <c r="AG458" s="2848"/>
      <c r="AH458" s="2848"/>
      <c r="AI458" s="2847"/>
      <c r="AJ458" s="2848"/>
      <c r="AK458" s="2848"/>
      <c r="AL458" s="2329"/>
      <c r="AM458" s="2164"/>
      <c r="AN458" s="2164"/>
      <c r="AO458" s="2164"/>
      <c r="AP458" s="2164"/>
      <c r="AQ458" s="2164"/>
      <c r="AR458" s="2164"/>
      <c r="AS458" s="2164"/>
      <c r="AT458" s="2164"/>
      <c r="AU458" s="2164"/>
      <c r="AV458" s="2164"/>
      <c r="AW458" s="2164"/>
      <c r="AX458" s="2164"/>
      <c r="AY458" s="2164"/>
      <c r="AZ458" s="2164"/>
      <c r="BA458" s="2164"/>
      <c r="BB458" s="2164"/>
      <c r="BC458" s="2164"/>
      <c r="BD458" s="2164"/>
      <c r="BE458" s="2164"/>
      <c r="BF458" s="2164"/>
      <c r="BG458" s="7511"/>
    </row>
    <row customHeight="1" ht="12">
      <c r="A459" s="1507" t="s">
        <v>990</v>
      </c>
      <c r="B459" s="1507"/>
      <c r="C459" s="1507"/>
      <c r="D459" s="1501"/>
      <c r="E459" s="1511"/>
      <c r="F459" s="2878"/>
      <c r="G459" s="1531"/>
      <c r="H459" s="1531"/>
      <c r="I459" s="2876" t="s">
        <v>1179</v>
      </c>
      <c r="J459" s="2876"/>
      <c r="K459" s="2876"/>
      <c r="L459" s="1514"/>
      <c r="M459" s="1514"/>
      <c r="N459" s="1515"/>
      <c r="O459" s="1515"/>
      <c r="P459" s="1515"/>
      <c r="Q459" s="1515"/>
      <c r="R459" s="1515"/>
      <c r="S459" s="1515"/>
      <c r="T459" s="1515"/>
      <c r="U459" s="1515"/>
      <c r="V459" s="1515"/>
      <c r="W459" s="1515"/>
      <c r="X459" s="1515"/>
      <c r="Y459" s="1515"/>
      <c r="Z459" s="1515"/>
      <c r="AA459" s="1515"/>
      <c r="AB459" s="1515"/>
      <c r="AC459" s="1515"/>
      <c r="AD459" s="1515"/>
      <c r="AE459" s="1515"/>
      <c r="AF459" s="1515"/>
      <c r="AG459" s="1514"/>
      <c r="AH459" s="1514"/>
      <c r="AI459" s="1515"/>
      <c r="AJ459" s="1514"/>
      <c r="AK459" s="1515"/>
      <c r="AL459" s="2329"/>
      <c r="AM459" s="2164"/>
      <c r="AN459" s="2164"/>
      <c r="AO459" s="2164"/>
      <c r="AP459" s="2164"/>
      <c r="AQ459" s="2164"/>
      <c r="AR459" s="2164"/>
      <c r="AS459" s="2164"/>
      <c r="AT459" s="2164"/>
      <c r="AU459" s="2164"/>
      <c r="AV459" s="2164"/>
      <c r="AW459" s="2164"/>
      <c r="AX459" s="2164"/>
      <c r="AY459" s="2164"/>
      <c r="AZ459" s="2164"/>
      <c r="BA459" s="2164"/>
      <c r="BB459" s="2164"/>
      <c r="BC459" s="2164"/>
      <c r="BD459" s="2164"/>
      <c r="BE459" s="2164"/>
      <c r="BF459" s="2164"/>
      <c r="BG459" s="4573"/>
    </row>
    <row customHeight="1" ht="0.75">
      <c r="A460" s="1507" t="s">
        <v>990</v>
      </c>
      <c r="B460" s="1507"/>
      <c r="C460" s="1507"/>
      <c r="D460" s="1501"/>
      <c r="E460" s="1511"/>
      <c r="F460" s="2877">
        <v>2026</v>
      </c>
      <c r="G460" s="2856"/>
      <c r="H460" s="2881" t="s">
        <v>371</v>
      </c>
      <c r="I460" s="2882"/>
      <c r="J460" s="2883"/>
      <c r="K460" s="2883"/>
      <c r="L460" s="2875"/>
      <c r="M460" s="2609"/>
      <c r="N460" s="2377"/>
      <c r="O460" s="2376"/>
      <c r="P460" s="2377"/>
      <c r="Q460" s="2377"/>
      <c r="R460" s="2377"/>
      <c r="S460" s="2377"/>
      <c r="T460" s="2377"/>
      <c r="U460" s="2377"/>
      <c r="V460" s="2377"/>
      <c r="W460" s="2377"/>
      <c r="X460" s="2377"/>
      <c r="Y460" s="2377"/>
      <c r="Z460" s="2377"/>
      <c r="AA460" s="2377"/>
      <c r="AB460" s="2377"/>
      <c r="AC460" s="2377"/>
      <c r="AD460" s="2377"/>
      <c r="AE460" s="2377"/>
      <c r="AF460" s="2879"/>
      <c r="AG460" s="2875"/>
      <c r="AH460" s="2875"/>
      <c r="AI460" s="2879"/>
      <c r="AJ460" s="2875"/>
      <c r="AK460" s="2875"/>
      <c r="AL460" s="2329"/>
      <c r="AM460" s="2164"/>
      <c r="AN460" s="2164"/>
      <c r="AO460" s="2164"/>
      <c r="AP460" s="2164"/>
      <c r="AQ460" s="2164"/>
      <c r="AR460" s="2164"/>
      <c r="AS460" s="2164"/>
      <c r="AT460" s="2164"/>
      <c r="AU460" s="2164"/>
      <c r="AV460" s="2164"/>
      <c r="AW460" s="2164"/>
      <c r="AX460" s="2164"/>
      <c r="AY460" s="2164"/>
      <c r="AZ460" s="2164"/>
      <c r="BA460" s="2164"/>
      <c r="BB460" s="2164"/>
      <c r="BC460" s="2164"/>
      <c r="BD460" s="2164"/>
      <c r="BE460" s="2164"/>
      <c r="BF460" s="2164"/>
      <c r="BG460" s="4573"/>
    </row>
    <row customHeight="1" ht="0.75">
      <c r="A461" s="1507" t="s">
        <v>990</v>
      </c>
      <c r="B461" s="1507"/>
      <c r="C461" s="1507"/>
      <c r="D461" s="1501"/>
      <c r="E461" s="1511"/>
      <c r="F461" s="2877"/>
      <c r="G461" s="2856"/>
      <c r="H461" s="2881"/>
      <c r="I461" s="2882"/>
      <c r="J461" s="2883"/>
      <c r="K461" s="2883"/>
      <c r="L461" s="2875"/>
      <c r="M461" s="2609"/>
      <c r="N461" s="2884"/>
      <c r="O461" s="2885"/>
      <c r="P461" s="2929"/>
      <c r="Q461" s="2880"/>
      <c r="R461" s="2880"/>
      <c r="S461" s="2880"/>
      <c r="T461" s="2880"/>
      <c r="U461" s="2880"/>
      <c r="V461" s="2880"/>
      <c r="W461" s="2880"/>
      <c r="X461" s="2880"/>
      <c r="Y461" s="2880"/>
      <c r="Z461" s="2378"/>
      <c r="AA461" s="2379"/>
      <c r="AB461" s="2379"/>
      <c r="AC461" s="2380"/>
      <c r="AD461" s="2380"/>
      <c r="AE461" s="2381"/>
      <c r="AF461" s="2879"/>
      <c r="AG461" s="2875"/>
      <c r="AH461" s="2875"/>
      <c r="AI461" s="2879"/>
      <c r="AJ461" s="2875"/>
      <c r="AK461" s="2875"/>
      <c r="AL461" s="2329"/>
      <c r="AM461" s="2164"/>
      <c r="AN461" s="2164"/>
      <c r="AO461" s="2164"/>
      <c r="AP461" s="2164"/>
      <c r="AQ461" s="2164"/>
      <c r="AR461" s="2164"/>
      <c r="AS461" s="2164"/>
      <c r="AT461" s="2164"/>
      <c r="AU461" s="2164"/>
      <c r="AV461" s="2164"/>
      <c r="AW461" s="2164"/>
      <c r="AX461" s="2164"/>
      <c r="AY461" s="2164"/>
      <c r="AZ461" s="2164"/>
      <c r="BA461" s="2164"/>
      <c r="BB461" s="2164"/>
      <c r="BC461" s="2164"/>
      <c r="BD461" s="2164"/>
      <c r="BE461" s="2164"/>
      <c r="BF461" s="2164"/>
      <c r="BG461" s="4573"/>
    </row>
    <row customHeight="1" ht="0.75">
      <c r="A462" s="1507" t="s">
        <v>990</v>
      </c>
      <c r="B462" s="1507"/>
      <c r="C462" s="1507"/>
      <c r="D462" s="1501"/>
      <c r="E462" s="1511"/>
      <c r="F462" s="2877"/>
      <c r="G462" s="2856"/>
      <c r="H462" s="2881"/>
      <c r="I462" s="2882"/>
      <c r="J462" s="2883"/>
      <c r="K462" s="2883"/>
      <c r="L462" s="2875"/>
      <c r="M462" s="2609"/>
      <c r="N462" s="2884"/>
      <c r="O462" s="2885"/>
      <c r="P462" s="2930"/>
      <c r="Q462" s="2880"/>
      <c r="R462" s="2880"/>
      <c r="S462" s="2880"/>
      <c r="T462" s="2880"/>
      <c r="U462" s="2880"/>
      <c r="V462" s="2880"/>
      <c r="W462" s="2880"/>
      <c r="X462" s="2880"/>
      <c r="Y462" s="2880"/>
      <c r="Z462" s="2382"/>
      <c r="AA462" s="2383"/>
      <c r="AB462" s="2384"/>
      <c r="AC462" s="2385"/>
      <c r="AD462" s="2384"/>
      <c r="AE462" s="2385"/>
      <c r="AF462" s="2879"/>
      <c r="AG462" s="2875"/>
      <c r="AH462" s="2875"/>
      <c r="AI462" s="2879"/>
      <c r="AJ462" s="2875"/>
      <c r="AK462" s="2875"/>
      <c r="AL462" s="2329"/>
      <c r="AM462" s="2164"/>
      <c r="AN462" s="2164"/>
      <c r="AO462" s="2164"/>
      <c r="AP462" s="2164"/>
      <c r="AQ462" s="2164"/>
      <c r="AR462" s="2164"/>
      <c r="AS462" s="2164"/>
      <c r="AT462" s="2164"/>
      <c r="AU462" s="2164"/>
      <c r="AV462" s="2164"/>
      <c r="AW462" s="2164"/>
      <c r="AX462" s="2164"/>
      <c r="AY462" s="2164"/>
      <c r="AZ462" s="2164"/>
      <c r="BA462" s="2164"/>
      <c r="BB462" s="2164"/>
      <c r="BC462" s="2164"/>
      <c r="BD462" s="2164"/>
      <c r="BE462" s="2164"/>
      <c r="BF462" s="2164"/>
      <c r="BG462" s="4573"/>
    </row>
    <row customHeight="1" ht="0.75">
      <c r="A463" s="1507" t="s">
        <v>990</v>
      </c>
      <c r="B463" s="1507"/>
      <c r="C463" s="1507"/>
      <c r="D463" s="1501"/>
      <c r="E463" s="1511"/>
      <c r="F463" s="2877"/>
      <c r="G463" s="2856"/>
      <c r="H463" s="2881"/>
      <c r="I463" s="2882"/>
      <c r="J463" s="2883"/>
      <c r="K463" s="2883"/>
      <c r="L463" s="2875"/>
      <c r="M463" s="2609"/>
      <c r="N463" s="2884"/>
      <c r="O463" s="2885"/>
      <c r="P463" s="2931"/>
      <c r="Q463" s="2880"/>
      <c r="R463" s="2880"/>
      <c r="S463" s="2880"/>
      <c r="T463" s="2880"/>
      <c r="U463" s="2880"/>
      <c r="V463" s="2880"/>
      <c r="W463" s="2880"/>
      <c r="X463" s="2880"/>
      <c r="Y463" s="2880"/>
      <c r="Z463" s="2378"/>
      <c r="AA463" s="2379"/>
      <c r="AB463" s="2386"/>
      <c r="AC463" s="2380"/>
      <c r="AD463" s="2380"/>
      <c r="AE463" s="2387"/>
      <c r="AF463" s="2879"/>
      <c r="AG463" s="2875"/>
      <c r="AH463" s="2875"/>
      <c r="AI463" s="2879"/>
      <c r="AJ463" s="2875"/>
      <c r="AK463" s="2875"/>
      <c r="AL463" s="2329"/>
      <c r="AM463" s="2164"/>
      <c r="AN463" s="2164"/>
      <c r="AO463" s="2164"/>
      <c r="AP463" s="2164"/>
      <c r="AQ463" s="2164"/>
      <c r="AR463" s="2164"/>
      <c r="AS463" s="2164"/>
      <c r="AT463" s="2164"/>
      <c r="AU463" s="2164"/>
      <c r="AV463" s="2164"/>
      <c r="AW463" s="2164"/>
      <c r="AX463" s="2164"/>
      <c r="AY463" s="2164"/>
      <c r="AZ463" s="2164"/>
      <c r="BA463" s="2164"/>
      <c r="BB463" s="2164"/>
      <c r="BC463" s="2164"/>
      <c r="BD463" s="2164"/>
      <c r="BE463" s="2164"/>
      <c r="BF463" s="2164"/>
      <c r="BG463" s="4573"/>
    </row>
    <row customHeight="1" ht="0.75">
      <c r="A464" s="1507" t="s">
        <v>990</v>
      </c>
      <c r="B464" s="1507"/>
      <c r="C464" s="1507"/>
      <c r="D464" s="1501"/>
      <c r="E464" s="1511"/>
      <c r="F464" s="2877"/>
      <c r="G464" s="2856"/>
      <c r="H464" s="2881"/>
      <c r="I464" s="2882"/>
      <c r="J464" s="2883"/>
      <c r="K464" s="2883"/>
      <c r="L464" s="2875"/>
      <c r="M464" s="2609"/>
      <c r="N464" s="2379"/>
      <c r="O464" s="2379"/>
      <c r="P464" s="2386"/>
      <c r="Q464" s="2379"/>
      <c r="R464" s="2379"/>
      <c r="S464" s="2379"/>
      <c r="T464" s="2379"/>
      <c r="U464" s="2379"/>
      <c r="V464" s="2379"/>
      <c r="W464" s="2379"/>
      <c r="X464" s="2379"/>
      <c r="Y464" s="2379"/>
      <c r="Z464" s="2379"/>
      <c r="AA464" s="2379"/>
      <c r="AB464" s="2379"/>
      <c r="AC464" s="2379"/>
      <c r="AD464" s="2379"/>
      <c r="AE464" s="2388"/>
      <c r="AF464" s="2879"/>
      <c r="AG464" s="2875"/>
      <c r="AH464" s="2875"/>
      <c r="AI464" s="2879"/>
      <c r="AJ464" s="2875"/>
      <c r="AK464" s="2875"/>
      <c r="AL464" s="2329"/>
      <c r="AM464" s="2164"/>
      <c r="AN464" s="2164"/>
      <c r="AO464" s="2164"/>
      <c r="AP464" s="2164"/>
      <c r="AQ464" s="2164"/>
      <c r="AR464" s="2164"/>
      <c r="AS464" s="2164"/>
      <c r="AT464" s="2164"/>
      <c r="AU464" s="2164"/>
      <c r="AV464" s="2164"/>
      <c r="AW464" s="2164"/>
      <c r="AX464" s="2164"/>
      <c r="AY464" s="2164"/>
      <c r="AZ464" s="2164"/>
      <c r="BA464" s="2164"/>
      <c r="BB464" s="2164"/>
      <c r="BC464" s="2164"/>
      <c r="BD464" s="2164"/>
      <c r="BE464" s="2164"/>
      <c r="BF464" s="2164"/>
      <c r="BG464" s="4573"/>
    </row>
    <row customHeight="1" ht="11.25">
      <c r="A465" s="1507" t="s">
        <v>990</v>
      </c>
      <c r="B465" s="1507" t="s">
        <v>1022</v>
      </c>
      <c r="C465" s="1507"/>
      <c r="D465" s="1501"/>
      <c r="E465" s="1511"/>
      <c r="F465" s="2170"/>
      <c r="G465" s="4557" t="s">
        <v>684</v>
      </c>
      <c r="H465" s="2856" t="s">
        <v>106</v>
      </c>
      <c r="I465" s="2857" t="s">
        <v>1023</v>
      </c>
      <c r="J465" s="2826" t="s">
        <v>1024</v>
      </c>
      <c r="K465" s="2858" t="s">
        <v>1025</v>
      </c>
      <c r="L465" s="2448" t="s">
        <v>19</v>
      </c>
      <c r="M465" s="2449"/>
      <c r="N465" s="2327"/>
      <c r="O465" s="1518" t="s">
        <v>371</v>
      </c>
      <c r="P465" s="1519"/>
      <c r="Q465" s="1519"/>
      <c r="R465" s="1519"/>
      <c r="S465" s="1519"/>
      <c r="T465" s="1519"/>
      <c r="U465" s="1519"/>
      <c r="V465" s="1519"/>
      <c r="W465" s="1519"/>
      <c r="X465" s="1519"/>
      <c r="Y465" s="1519"/>
      <c r="Z465" s="1519"/>
      <c r="AA465" s="1519"/>
      <c r="AB465" s="1519"/>
      <c r="AC465" s="1519"/>
      <c r="AD465" s="1519"/>
      <c r="AE465" s="1519"/>
      <c r="AF465" s="2847">
        <v>4</v>
      </c>
      <c r="AG465" s="2848" t="s">
        <v>1026</v>
      </c>
      <c r="AH465" s="2848" t="s">
        <v>1027</v>
      </c>
      <c r="AI465" s="2847"/>
      <c r="AJ465" s="2848"/>
      <c r="AK465" s="2848"/>
      <c r="AL465" s="2329"/>
      <c r="AM465" s="2164"/>
      <c r="AN465" s="2164"/>
      <c r="AO465" s="2164"/>
      <c r="AP465" s="2164"/>
      <c r="AQ465" s="2164"/>
      <c r="AR465" s="2164"/>
      <c r="AS465" s="2164"/>
      <c r="AT465" s="2164"/>
      <c r="AU465" s="2164"/>
      <c r="AV465" s="2164"/>
      <c r="AW465" s="2164"/>
      <c r="AX465" s="2164"/>
      <c r="AY465" s="2164"/>
      <c r="AZ465" s="2164"/>
      <c r="BA465" s="2164"/>
      <c r="BB465" s="2164"/>
      <c r="BC465" s="2164"/>
      <c r="BD465" s="2164"/>
      <c r="BE465" s="2164"/>
      <c r="BF465" s="2164"/>
      <c r="BG465" s="4573"/>
    </row>
    <row customHeight="1" ht="11.25">
      <c r="A466" s="1507" t="s">
        <v>990</v>
      </c>
      <c r="B466" s="1507"/>
      <c r="C466" s="1507"/>
      <c r="D466" s="1501"/>
      <c r="E466" s="1511"/>
      <c r="F466" s="2170"/>
      <c r="G466" s="2171"/>
      <c r="H466" s="2856" t="s">
        <v>371</v>
      </c>
      <c r="I466" s="2857"/>
      <c r="J466" s="2826"/>
      <c r="K466" s="2858"/>
      <c r="L466" s="2448"/>
      <c r="M466" s="2449"/>
      <c r="N466" s="2849"/>
      <c r="O466" s="2850">
        <v>1</v>
      </c>
      <c r="P466" s="2851" t="s">
        <v>65</v>
      </c>
      <c r="Q466" s="4672" t="s">
        <v>1028</v>
      </c>
      <c r="R466" s="4673" t="s">
        <v>1029</v>
      </c>
      <c r="S466" s="4673" t="s">
        <v>1030</v>
      </c>
      <c r="T466" s="4673" t="s">
        <v>1030</v>
      </c>
      <c r="U466" s="4673" t="s">
        <v>1031</v>
      </c>
      <c r="V466" s="4673" t="s">
        <v>1032</v>
      </c>
      <c r="W466" s="4673" t="s">
        <v>1033</v>
      </c>
      <c r="X466" s="4673" t="s">
        <v>1034</v>
      </c>
      <c r="Y466" s="4673" t="s">
        <v>106</v>
      </c>
      <c r="Z466" s="1516"/>
      <c r="AA466" s="1517"/>
      <c r="AB466" s="1517"/>
      <c r="AC466" s="1521"/>
      <c r="AD466" s="1521"/>
      <c r="AE466" s="1522"/>
      <c r="AF466" s="2847"/>
      <c r="AG466" s="2848"/>
      <c r="AH466" s="2848"/>
      <c r="AI466" s="2847"/>
      <c r="AJ466" s="2848"/>
      <c r="AK466" s="2848"/>
      <c r="AL466" s="2329"/>
      <c r="AM466" s="2164"/>
      <c r="AN466" s="2164"/>
      <c r="AO466" s="2164"/>
      <c r="AP466" s="2164"/>
      <c r="AQ466" s="2164"/>
      <c r="AR466" s="2164"/>
      <c r="AS466" s="2164"/>
      <c r="AT466" s="2164"/>
      <c r="AU466" s="2164"/>
      <c r="AV466" s="2164"/>
      <c r="AW466" s="2164"/>
      <c r="AX466" s="2164"/>
      <c r="AY466" s="2164"/>
      <c r="AZ466" s="2164"/>
      <c r="BA466" s="2164"/>
      <c r="BB466" s="2164"/>
      <c r="BC466" s="2164"/>
      <c r="BD466" s="2164"/>
      <c r="BE466" s="2164"/>
      <c r="BF466" s="2164"/>
      <c r="BG466" s="4573"/>
    </row>
    <row customHeight="1" ht="11.25">
      <c r="A467" s="1507" t="s">
        <v>990</v>
      </c>
      <c r="B467" s="1507"/>
      <c r="C467" s="1507"/>
      <c r="D467" s="1501"/>
      <c r="E467" s="1511"/>
      <c r="F467" s="2170"/>
      <c r="G467" s="2171"/>
      <c r="H467" s="2856" t="s">
        <v>371</v>
      </c>
      <c r="I467" s="2857"/>
      <c r="J467" s="2826"/>
      <c r="K467" s="2858"/>
      <c r="L467" s="2448"/>
      <c r="M467" s="2449"/>
      <c r="N467" s="2849"/>
      <c r="O467" s="2850"/>
      <c r="P467" s="2852"/>
      <c r="Q467" s="4672"/>
      <c r="R467" s="2854"/>
      <c r="S467" s="2855"/>
      <c r="T467" s="2854"/>
      <c r="U467" s="2854"/>
      <c r="V467" s="2854"/>
      <c r="W467" s="2854"/>
      <c r="X467" s="2854"/>
      <c r="Y467" s="2854"/>
      <c r="Z467" s="2169"/>
      <c r="AA467" s="2135">
        <v>1</v>
      </c>
      <c r="AB467" s="1520" t="s">
        <v>1035</v>
      </c>
      <c r="AC467" s="1510">
        <v>23229.25723</v>
      </c>
      <c r="AD467" s="1520" t="str">
        <f>AB467</f>
        <v>      Амортизационные отчисления с выделением результатов переоценки основных средств и нематериальных активов</v>
      </c>
      <c r="AE467" s="1510"/>
      <c r="AF467" s="2847"/>
      <c r="AG467" s="2848"/>
      <c r="AH467" s="2848"/>
      <c r="AI467" s="2847"/>
      <c r="AJ467" s="2848"/>
      <c r="AK467" s="2848"/>
      <c r="AL467" s="2329"/>
      <c r="AM467" s="2164"/>
      <c r="AN467" s="2164"/>
      <c r="AO467" s="2164"/>
      <c r="AP467" s="2164"/>
      <c r="AQ467" s="2164"/>
      <c r="AR467" s="2164"/>
      <c r="AS467" s="2164"/>
      <c r="AT467" s="2164"/>
      <c r="AU467" s="2164"/>
      <c r="AV467" s="2164"/>
      <c r="AW467" s="2164"/>
      <c r="AX467" s="2164"/>
      <c r="AY467" s="2164"/>
      <c r="AZ467" s="2164"/>
      <c r="BA467" s="2164"/>
      <c r="BB467" s="2164"/>
      <c r="BC467" s="2164"/>
      <c r="BD467" s="2164"/>
      <c r="BE467" s="2164"/>
      <c r="BF467" s="2164"/>
      <c r="BG467" s="4573"/>
    </row>
    <row customHeight="1" ht="11.25">
      <c r="A468" s="1507" t="s">
        <v>990</v>
      </c>
      <c r="B468" s="1507"/>
      <c r="C468" s="1507"/>
      <c r="D468" s="1501"/>
      <c r="E468" s="1511"/>
      <c r="F468" s="2171"/>
      <c r="G468" s="2171"/>
      <c r="H468" s="2171"/>
      <c r="I468" s="2171"/>
      <c r="J468" s="2171"/>
      <c r="K468" s="2171"/>
      <c r="L468" s="2171"/>
      <c r="M468" s="2171"/>
      <c r="N468" s="2171"/>
      <c r="O468" s="2171"/>
      <c r="P468" s="2171"/>
      <c r="Q468" s="2171"/>
      <c r="R468" s="2171"/>
      <c r="S468" s="2171"/>
      <c r="T468" s="2171"/>
      <c r="U468" s="2171"/>
      <c r="V468" s="2171"/>
      <c r="W468" s="2171"/>
      <c r="X468" s="2171"/>
      <c r="Y468" s="2171"/>
      <c r="Z468" s="4557" t="s">
        <v>684</v>
      </c>
      <c r="AA468" s="2155" t="s">
        <v>107</v>
      </c>
      <c r="AB468" s="1520" t="s">
        <v>1036</v>
      </c>
      <c r="AC468" s="1510">
        <v>4342.429</v>
      </c>
      <c r="AD468" s="1520" t="str">
        <f>AB468</f>
        <v>  Прочие собственные средства</v>
      </c>
      <c r="AE468" s="1510"/>
      <c r="AF468" s="2172"/>
      <c r="AG468" s="2100"/>
      <c r="AH468" s="2100"/>
      <c r="AI468" s="2172"/>
      <c r="AJ468" s="2100"/>
      <c r="AK468" s="2328"/>
      <c r="AL468" s="2329"/>
      <c r="AM468" s="2164"/>
      <c r="AN468" s="2164"/>
      <c r="AO468" s="2164"/>
      <c r="AP468" s="2164"/>
      <c r="AQ468" s="2164"/>
      <c r="AR468" s="2164"/>
      <c r="AS468" s="2164"/>
      <c r="AT468" s="2164"/>
      <c r="AU468" s="2164"/>
      <c r="AV468" s="2164"/>
      <c r="AW468" s="2164"/>
      <c r="AX468" s="2164"/>
      <c r="AY468" s="2164"/>
      <c r="AZ468" s="2164"/>
      <c r="BA468" s="2164"/>
      <c r="BB468" s="2164"/>
      <c r="BC468" s="2164"/>
      <c r="BD468" s="2164"/>
      <c r="BE468" s="2164"/>
      <c r="BF468" s="2164"/>
      <c r="BG468" s="4573"/>
    </row>
    <row customHeight="1" ht="11.25">
      <c r="A469" s="1507" t="s">
        <v>990</v>
      </c>
      <c r="B469" s="1507"/>
      <c r="C469" s="1507"/>
      <c r="D469" s="1501"/>
      <c r="E469" s="1511"/>
      <c r="F469" s="2170"/>
      <c r="G469" s="2171"/>
      <c r="H469" s="2856" t="s">
        <v>371</v>
      </c>
      <c r="I469" s="2857"/>
      <c r="J469" s="2826"/>
      <c r="K469" s="2858"/>
      <c r="L469" s="2448"/>
      <c r="M469" s="2449"/>
      <c r="N469" s="2849"/>
      <c r="O469" s="2850"/>
      <c r="P469" s="2853"/>
      <c r="Q469" s="4672"/>
      <c r="R469" s="2854"/>
      <c r="S469" s="2855"/>
      <c r="T469" s="2854"/>
      <c r="U469" s="2854"/>
      <c r="V469" s="2854"/>
      <c r="W469" s="2854"/>
      <c r="X469" s="2854"/>
      <c r="Y469" s="2854"/>
      <c r="Z469" s="1516"/>
      <c r="AA469" s="1517"/>
      <c r="AB469" s="1582" t="s">
        <v>1037</v>
      </c>
      <c r="AC469" s="1521"/>
      <c r="AD469" s="1521"/>
      <c r="AE469" s="1523"/>
      <c r="AF469" s="2847"/>
      <c r="AG469" s="2848"/>
      <c r="AH469" s="2848"/>
      <c r="AI469" s="2847"/>
      <c r="AJ469" s="2848"/>
      <c r="AK469" s="2848"/>
      <c r="AL469" s="2329"/>
      <c r="AM469" s="2164"/>
      <c r="AN469" s="2164"/>
      <c r="AO469" s="2164"/>
      <c r="AP469" s="2164"/>
      <c r="AQ469" s="2164"/>
      <c r="AR469" s="2164"/>
      <c r="AS469" s="2164"/>
      <c r="AT469" s="2164"/>
      <c r="AU469" s="2164"/>
      <c r="AV469" s="2164"/>
      <c r="AW469" s="2164"/>
      <c r="AX469" s="2164"/>
      <c r="AY469" s="2164"/>
      <c r="AZ469" s="2164"/>
      <c r="BA469" s="2164"/>
      <c r="BB469" s="2164"/>
      <c r="BC469" s="2164"/>
      <c r="BD469" s="2164"/>
      <c r="BE469" s="2164"/>
      <c r="BF469" s="2164"/>
      <c r="BG469" s="4573"/>
    </row>
    <row customHeight="1" ht="11.25">
      <c r="A470" s="1507" t="s">
        <v>990</v>
      </c>
      <c r="B470" s="1507"/>
      <c r="C470" s="1507"/>
      <c r="D470" s="1501"/>
      <c r="E470" s="1511"/>
      <c r="F470" s="2170"/>
      <c r="G470" s="2171"/>
      <c r="H470" s="2856" t="s">
        <v>371</v>
      </c>
      <c r="I470" s="2857"/>
      <c r="J470" s="2826"/>
      <c r="K470" s="2858"/>
      <c r="L470" s="2448"/>
      <c r="M470" s="2449"/>
      <c r="N470" s="1516"/>
      <c r="O470" s="1517"/>
      <c r="P470" s="1509" t="s">
        <v>1038</v>
      </c>
      <c r="Q470" s="1517"/>
      <c r="R470" s="1517"/>
      <c r="S470" s="1517"/>
      <c r="T470" s="1517"/>
      <c r="U470" s="1517"/>
      <c r="V470" s="1517"/>
      <c r="W470" s="1517"/>
      <c r="X470" s="1517"/>
      <c r="Y470" s="1517"/>
      <c r="Z470" s="1517"/>
      <c r="AA470" s="1517"/>
      <c r="AB470" s="1517"/>
      <c r="AC470" s="1517"/>
      <c r="AD470" s="1517"/>
      <c r="AE470" s="1524"/>
      <c r="AF470" s="2847"/>
      <c r="AG470" s="2848"/>
      <c r="AH470" s="2848"/>
      <c r="AI470" s="2847"/>
      <c r="AJ470" s="2848"/>
      <c r="AK470" s="2848"/>
      <c r="AL470" s="2329"/>
      <c r="AM470" s="2164"/>
      <c r="AN470" s="2164"/>
      <c r="AO470" s="2164"/>
      <c r="AP470" s="2164"/>
      <c r="AQ470" s="2164"/>
      <c r="AR470" s="2164"/>
      <c r="AS470" s="2164"/>
      <c r="AT470" s="2164"/>
      <c r="AU470" s="2164"/>
      <c r="AV470" s="2164"/>
      <c r="AW470" s="2164"/>
      <c r="AX470" s="2164"/>
      <c r="AY470" s="2164"/>
      <c r="AZ470" s="2164"/>
      <c r="BA470" s="2164"/>
      <c r="BB470" s="2164"/>
      <c r="BC470" s="2164"/>
      <c r="BD470" s="2164"/>
      <c r="BE470" s="2164"/>
      <c r="BF470" s="2164"/>
      <c r="BG470" s="4573"/>
    </row>
    <row customHeight="1" ht="11.25">
      <c r="A471" s="1507" t="s">
        <v>990</v>
      </c>
      <c r="B471" s="1507" t="s">
        <v>22</v>
      </c>
      <c r="C471" s="1507"/>
      <c r="D471" s="1501"/>
      <c r="E471" s="1511"/>
      <c r="F471" s="2170"/>
      <c r="G471" s="4557" t="s">
        <v>684</v>
      </c>
      <c r="H471" s="2856" t="s">
        <v>107</v>
      </c>
      <c r="I471" s="2857" t="s">
        <v>1039</v>
      </c>
      <c r="J471" s="4694" t="s">
        <v>22</v>
      </c>
      <c r="K471" s="2858" t="s">
        <v>1040</v>
      </c>
      <c r="L471" s="2448" t="s">
        <v>19</v>
      </c>
      <c r="M471" s="2449"/>
      <c r="N471" s="2327"/>
      <c r="O471" s="1518" t="s">
        <v>371</v>
      </c>
      <c r="P471" s="1519"/>
      <c r="Q471" s="1519"/>
      <c r="R471" s="1519"/>
      <c r="S471" s="1519"/>
      <c r="T471" s="1519"/>
      <c r="U471" s="1519"/>
      <c r="V471" s="1519"/>
      <c r="W471" s="1519"/>
      <c r="X471" s="1519"/>
      <c r="Y471" s="1519"/>
      <c r="Z471" s="1519"/>
      <c r="AA471" s="1519"/>
      <c r="AB471" s="1519"/>
      <c r="AC471" s="1519"/>
      <c r="AD471" s="1519"/>
      <c r="AE471" s="1519"/>
      <c r="AF471" s="2847">
        <v>4</v>
      </c>
      <c r="AG471" s="2848" t="s">
        <v>1026</v>
      </c>
      <c r="AH471" s="2848" t="s">
        <v>1027</v>
      </c>
      <c r="AI471" s="2847"/>
      <c r="AJ471" s="2848"/>
      <c r="AK471" s="2848"/>
      <c r="AL471" s="2329"/>
      <c r="AM471" s="2164"/>
      <c r="AN471" s="2164"/>
      <c r="AO471" s="2164"/>
      <c r="AP471" s="2164"/>
      <c r="AQ471" s="2164"/>
      <c r="AR471" s="2164"/>
      <c r="AS471" s="2164"/>
      <c r="AT471" s="2164"/>
      <c r="AU471" s="2164"/>
      <c r="AV471" s="2164"/>
      <c r="AW471" s="2164"/>
      <c r="AX471" s="2164"/>
      <c r="AY471" s="2164"/>
      <c r="AZ471" s="2164"/>
      <c r="BA471" s="2164"/>
      <c r="BB471" s="2164"/>
      <c r="BC471" s="2164"/>
      <c r="BD471" s="2164"/>
      <c r="BE471" s="2164"/>
      <c r="BF471" s="2164"/>
      <c r="BG471" s="4573"/>
    </row>
    <row customHeight="1" ht="11.25">
      <c r="A472" s="1507" t="s">
        <v>990</v>
      </c>
      <c r="B472" s="1507"/>
      <c r="C472" s="1507"/>
      <c r="D472" s="1501"/>
      <c r="E472" s="1511"/>
      <c r="F472" s="2170"/>
      <c r="G472" s="2171"/>
      <c r="H472" s="2856" t="s">
        <v>106</v>
      </c>
      <c r="I472" s="2857"/>
      <c r="J472" s="4694"/>
      <c r="K472" s="2858"/>
      <c r="L472" s="2448"/>
      <c r="M472" s="2449"/>
      <c r="N472" s="2849"/>
      <c r="O472" s="2850">
        <v>1</v>
      </c>
      <c r="P472" s="2851" t="s">
        <v>65</v>
      </c>
      <c r="Q472" s="4672" t="s">
        <v>1041</v>
      </c>
      <c r="R472" s="4673" t="s">
        <v>1042</v>
      </c>
      <c r="S472" s="4673" t="s">
        <v>1043</v>
      </c>
      <c r="T472" s="4673" t="s">
        <v>1044</v>
      </c>
      <c r="U472" s="4673" t="s">
        <v>1045</v>
      </c>
      <c r="V472" s="4673" t="s">
        <v>1046</v>
      </c>
      <c r="W472" s="4673" t="s">
        <v>1047</v>
      </c>
      <c r="X472" s="4673" t="s">
        <v>1048</v>
      </c>
      <c r="Y472" s="4673" t="s">
        <v>1049</v>
      </c>
      <c r="Z472" s="1516"/>
      <c r="AA472" s="1517"/>
      <c r="AB472" s="1517"/>
      <c r="AC472" s="1521"/>
      <c r="AD472" s="1521"/>
      <c r="AE472" s="1522"/>
      <c r="AF472" s="2847"/>
      <c r="AG472" s="2848"/>
      <c r="AH472" s="2848"/>
      <c r="AI472" s="2847"/>
      <c r="AJ472" s="2848"/>
      <c r="AK472" s="2848"/>
      <c r="AL472" s="2329"/>
      <c r="AM472" s="2164"/>
      <c r="AN472" s="2164"/>
      <c r="AO472" s="2164"/>
      <c r="AP472" s="2164"/>
      <c r="AQ472" s="2164"/>
      <c r="AR472" s="2164"/>
      <c r="AS472" s="2164"/>
      <c r="AT472" s="2164"/>
      <c r="AU472" s="2164"/>
      <c r="AV472" s="2164"/>
      <c r="AW472" s="2164"/>
      <c r="AX472" s="2164"/>
      <c r="AY472" s="2164"/>
      <c r="AZ472" s="2164"/>
      <c r="BA472" s="2164"/>
      <c r="BB472" s="2164"/>
      <c r="BC472" s="2164"/>
      <c r="BD472" s="2164"/>
      <c r="BE472" s="2164"/>
      <c r="BF472" s="2164"/>
      <c r="BG472" s="4573"/>
    </row>
    <row customHeight="1" ht="11.25">
      <c r="A473" s="1507" t="s">
        <v>990</v>
      </c>
      <c r="B473" s="1507"/>
      <c r="C473" s="1507"/>
      <c r="D473" s="1501"/>
      <c r="E473" s="1511"/>
      <c r="F473" s="2170"/>
      <c r="G473" s="2171"/>
      <c r="H473" s="2856" t="s">
        <v>106</v>
      </c>
      <c r="I473" s="2857"/>
      <c r="J473" s="4694"/>
      <c r="K473" s="2858"/>
      <c r="L473" s="2448"/>
      <c r="M473" s="2449"/>
      <c r="N473" s="2849"/>
      <c r="O473" s="2850"/>
      <c r="P473" s="2852"/>
      <c r="Q473" s="4672"/>
      <c r="R473" s="2854"/>
      <c r="S473" s="2855"/>
      <c r="T473" s="2854"/>
      <c r="U473" s="2854"/>
      <c r="V473" s="2854"/>
      <c r="W473" s="2854"/>
      <c r="X473" s="2854"/>
      <c r="Y473" s="2854"/>
      <c r="Z473" s="2169"/>
      <c r="AA473" s="2135">
        <v>1</v>
      </c>
      <c r="AB473" s="1520" t="s">
        <v>1035</v>
      </c>
      <c r="AC473" s="1510">
        <v>6201.81522</v>
      </c>
      <c r="AD473" s="1520" t="str">
        <f>AB473</f>
        <v>      Амортизационные отчисления с выделением результатов переоценки основных средств и нематериальных активов</v>
      </c>
      <c r="AE473" s="1510"/>
      <c r="AF473" s="2847"/>
      <c r="AG473" s="2848"/>
      <c r="AH473" s="2848"/>
      <c r="AI473" s="2847"/>
      <c r="AJ473" s="2848"/>
      <c r="AK473" s="2848"/>
      <c r="AL473" s="2329"/>
      <c r="AM473" s="2164"/>
      <c r="AN473" s="2164"/>
      <c r="AO473" s="2164"/>
      <c r="AP473" s="2164"/>
      <c r="AQ473" s="2164"/>
      <c r="AR473" s="2164"/>
      <c r="AS473" s="2164"/>
      <c r="AT473" s="2164"/>
      <c r="AU473" s="2164"/>
      <c r="AV473" s="2164"/>
      <c r="AW473" s="2164"/>
      <c r="AX473" s="2164"/>
      <c r="AY473" s="2164"/>
      <c r="AZ473" s="2164"/>
      <c r="BA473" s="2164"/>
      <c r="BB473" s="2164"/>
      <c r="BC473" s="2164"/>
      <c r="BD473" s="2164"/>
      <c r="BE473" s="2164"/>
      <c r="BF473" s="2164"/>
      <c r="BG473" s="4573"/>
    </row>
    <row customHeight="1" ht="11.25">
      <c r="A474" s="1507" t="s">
        <v>990</v>
      </c>
      <c r="B474" s="1507"/>
      <c r="C474" s="1507"/>
      <c r="D474" s="1501"/>
      <c r="E474" s="1511"/>
      <c r="F474" s="2171"/>
      <c r="G474" s="2171"/>
      <c r="H474" s="2171"/>
      <c r="I474" s="2171"/>
      <c r="J474" s="4695"/>
      <c r="K474" s="2171"/>
      <c r="L474" s="2171"/>
      <c r="M474" s="2171"/>
      <c r="N474" s="2171"/>
      <c r="O474" s="2171"/>
      <c r="P474" s="2171"/>
      <c r="Q474" s="2171"/>
      <c r="R474" s="2171"/>
      <c r="S474" s="2171"/>
      <c r="T474" s="2171"/>
      <c r="U474" s="2171"/>
      <c r="V474" s="2171"/>
      <c r="W474" s="2171"/>
      <c r="X474" s="2171"/>
      <c r="Y474" s="2171"/>
      <c r="Z474" s="4557" t="s">
        <v>684</v>
      </c>
      <c r="AA474" s="2155" t="s">
        <v>107</v>
      </c>
      <c r="AB474" s="1520" t="s">
        <v>1036</v>
      </c>
      <c r="AC474" s="1510">
        <v>1207.8535</v>
      </c>
      <c r="AD474" s="1520" t="str">
        <f>AB474</f>
        <v>  Прочие собственные средства</v>
      </c>
      <c r="AE474" s="1510"/>
      <c r="AF474" s="2172"/>
      <c r="AG474" s="2100"/>
      <c r="AH474" s="2100"/>
      <c r="AI474" s="2172"/>
      <c r="AJ474" s="2100"/>
      <c r="AK474" s="2328"/>
      <c r="AL474" s="2329"/>
      <c r="AM474" s="2164"/>
      <c r="AN474" s="2164"/>
      <c r="AO474" s="2164"/>
      <c r="AP474" s="2164"/>
      <c r="AQ474" s="2164"/>
      <c r="AR474" s="2164"/>
      <c r="AS474" s="2164"/>
      <c r="AT474" s="2164"/>
      <c r="AU474" s="2164"/>
      <c r="AV474" s="2164"/>
      <c r="AW474" s="2164"/>
      <c r="AX474" s="2164"/>
      <c r="AY474" s="2164"/>
      <c r="AZ474" s="2164"/>
      <c r="BA474" s="2164"/>
      <c r="BB474" s="2164"/>
      <c r="BC474" s="2164"/>
      <c r="BD474" s="2164"/>
      <c r="BE474" s="2164"/>
      <c r="BF474" s="2164"/>
      <c r="BG474" s="4573"/>
    </row>
    <row customHeight="1" ht="11.25">
      <c r="A475" s="1507" t="s">
        <v>990</v>
      </c>
      <c r="B475" s="1507"/>
      <c r="C475" s="1507"/>
      <c r="D475" s="1501"/>
      <c r="E475" s="1511"/>
      <c r="F475" s="2170"/>
      <c r="G475" s="2171"/>
      <c r="H475" s="2856" t="s">
        <v>106</v>
      </c>
      <c r="I475" s="2857"/>
      <c r="J475" s="4694"/>
      <c r="K475" s="2858"/>
      <c r="L475" s="2448"/>
      <c r="M475" s="2449"/>
      <c r="N475" s="2849"/>
      <c r="O475" s="2850"/>
      <c r="P475" s="2853"/>
      <c r="Q475" s="4672"/>
      <c r="R475" s="2854"/>
      <c r="S475" s="2855"/>
      <c r="T475" s="2854"/>
      <c r="U475" s="2854"/>
      <c r="V475" s="2854"/>
      <c r="W475" s="2854"/>
      <c r="X475" s="2854"/>
      <c r="Y475" s="2854"/>
      <c r="Z475" s="1516"/>
      <c r="AA475" s="1517"/>
      <c r="AB475" s="1582" t="s">
        <v>1037</v>
      </c>
      <c r="AC475" s="1521"/>
      <c r="AD475" s="1521"/>
      <c r="AE475" s="1523"/>
      <c r="AF475" s="2847"/>
      <c r="AG475" s="2848"/>
      <c r="AH475" s="2848"/>
      <c r="AI475" s="2847"/>
      <c r="AJ475" s="2848"/>
      <c r="AK475" s="2848"/>
      <c r="AL475" s="2329"/>
      <c r="AM475" s="2164"/>
      <c r="AN475" s="2164"/>
      <c r="AO475" s="2164"/>
      <c r="AP475" s="2164"/>
      <c r="AQ475" s="2164"/>
      <c r="AR475" s="2164"/>
      <c r="AS475" s="2164"/>
      <c r="AT475" s="2164"/>
      <c r="AU475" s="2164"/>
      <c r="AV475" s="2164"/>
      <c r="AW475" s="2164"/>
      <c r="AX475" s="2164"/>
      <c r="AY475" s="2164"/>
      <c r="AZ475" s="2164"/>
      <c r="BA475" s="2164"/>
      <c r="BB475" s="2164"/>
      <c r="BC475" s="2164"/>
      <c r="BD475" s="2164"/>
      <c r="BE475" s="2164"/>
      <c r="BF475" s="2164"/>
      <c r="BG475" s="4573"/>
    </row>
    <row customHeight="1" ht="11.25">
      <c r="A476" s="1507" t="s">
        <v>990</v>
      </c>
      <c r="B476" s="1507"/>
      <c r="C476" s="1507"/>
      <c r="D476" s="1501"/>
      <c r="E476" s="1511"/>
      <c r="F476" s="2170"/>
      <c r="G476" s="2171"/>
      <c r="H476" s="2856" t="s">
        <v>106</v>
      </c>
      <c r="I476" s="2857"/>
      <c r="J476" s="4694"/>
      <c r="K476" s="2858"/>
      <c r="L476" s="2448"/>
      <c r="M476" s="2449"/>
      <c r="N476" s="1516"/>
      <c r="O476" s="1517"/>
      <c r="P476" s="1509" t="s">
        <v>1038</v>
      </c>
      <c r="Q476" s="1517"/>
      <c r="R476" s="1517"/>
      <c r="S476" s="1517"/>
      <c r="T476" s="1517"/>
      <c r="U476" s="1517"/>
      <c r="V476" s="1517"/>
      <c r="W476" s="1517"/>
      <c r="X476" s="1517"/>
      <c r="Y476" s="1517"/>
      <c r="Z476" s="1517"/>
      <c r="AA476" s="1517"/>
      <c r="AB476" s="1517"/>
      <c r="AC476" s="1517"/>
      <c r="AD476" s="1517"/>
      <c r="AE476" s="1524"/>
      <c r="AF476" s="2847"/>
      <c r="AG476" s="2848"/>
      <c r="AH476" s="2848"/>
      <c r="AI476" s="2847"/>
      <c r="AJ476" s="2848"/>
      <c r="AK476" s="2848"/>
      <c r="AL476" s="2329"/>
      <c r="AM476" s="2164"/>
      <c r="AN476" s="2164"/>
      <c r="AO476" s="2164"/>
      <c r="AP476" s="2164"/>
      <c r="AQ476" s="2164"/>
      <c r="AR476" s="2164"/>
      <c r="AS476" s="2164"/>
      <c r="AT476" s="2164"/>
      <c r="AU476" s="2164"/>
      <c r="AV476" s="2164"/>
      <c r="AW476" s="2164"/>
      <c r="AX476" s="2164"/>
      <c r="AY476" s="2164"/>
      <c r="AZ476" s="2164"/>
      <c r="BA476" s="2164"/>
      <c r="BB476" s="2164"/>
      <c r="BC476" s="2164"/>
      <c r="BD476" s="2164"/>
      <c r="BE476" s="2164"/>
      <c r="BF476" s="2164"/>
      <c r="BG476" s="4573"/>
    </row>
    <row customHeight="1" ht="11.25">
      <c r="A477" s="1507" t="s">
        <v>990</v>
      </c>
      <c r="B477" s="1507" t="s">
        <v>1022</v>
      </c>
      <c r="C477" s="1507"/>
      <c r="D477" s="1501"/>
      <c r="E477" s="1511"/>
      <c r="F477" s="2170"/>
      <c r="G477" s="4557" t="s">
        <v>684</v>
      </c>
      <c r="H477" s="2856" t="s">
        <v>90</v>
      </c>
      <c r="I477" s="2857" t="s">
        <v>1023</v>
      </c>
      <c r="J477" s="2826" t="s">
        <v>1024</v>
      </c>
      <c r="K477" s="2858" t="s">
        <v>1050</v>
      </c>
      <c r="L477" s="2448" t="s">
        <v>19</v>
      </c>
      <c r="M477" s="2449"/>
      <c r="N477" s="2327"/>
      <c r="O477" s="1518" t="s">
        <v>371</v>
      </c>
      <c r="P477" s="1519"/>
      <c r="Q477" s="1519"/>
      <c r="R477" s="1519"/>
      <c r="S477" s="1519"/>
      <c r="T477" s="1519"/>
      <c r="U477" s="1519"/>
      <c r="V477" s="1519"/>
      <c r="W477" s="1519"/>
      <c r="X477" s="1519"/>
      <c r="Y477" s="1519"/>
      <c r="Z477" s="1519"/>
      <c r="AA477" s="1519"/>
      <c r="AB477" s="1519"/>
      <c r="AC477" s="1519"/>
      <c r="AD477" s="1519"/>
      <c r="AE477" s="1519"/>
      <c r="AF477" s="2847">
        <v>3</v>
      </c>
      <c r="AG477" s="2848" t="s">
        <v>1026</v>
      </c>
      <c r="AH477" s="2848" t="s">
        <v>1051</v>
      </c>
      <c r="AI477" s="2847"/>
      <c r="AJ477" s="2848"/>
      <c r="AK477" s="2848"/>
      <c r="AL477" s="2329"/>
      <c r="AM477" s="2164"/>
      <c r="AN477" s="2164"/>
      <c r="AO477" s="2164"/>
      <c r="AP477" s="2164"/>
      <c r="AQ477" s="2164"/>
      <c r="AR477" s="2164"/>
      <c r="AS477" s="2164"/>
      <c r="AT477" s="2164"/>
      <c r="AU477" s="2164"/>
      <c r="AV477" s="2164"/>
      <c r="AW477" s="2164"/>
      <c r="AX477" s="2164"/>
      <c r="AY477" s="2164"/>
      <c r="AZ477" s="2164"/>
      <c r="BA477" s="2164"/>
      <c r="BB477" s="2164"/>
      <c r="BC477" s="2164"/>
      <c r="BD477" s="2164"/>
      <c r="BE477" s="2164"/>
      <c r="BF477" s="2164"/>
      <c r="BG477" s="4573"/>
    </row>
    <row customHeight="1" ht="11.25">
      <c r="A478" s="1507" t="s">
        <v>990</v>
      </c>
      <c r="B478" s="1507"/>
      <c r="C478" s="1507"/>
      <c r="D478" s="1501"/>
      <c r="E478" s="1511"/>
      <c r="F478" s="2170"/>
      <c r="G478" s="2171"/>
      <c r="H478" s="2856" t="s">
        <v>107</v>
      </c>
      <c r="I478" s="2857"/>
      <c r="J478" s="2826"/>
      <c r="K478" s="2858"/>
      <c r="L478" s="2448"/>
      <c r="M478" s="2449"/>
      <c r="N478" s="2849"/>
      <c r="O478" s="2850">
        <v>1</v>
      </c>
      <c r="P478" s="2851" t="s">
        <v>65</v>
      </c>
      <c r="Q478" s="4672" t="s">
        <v>1028</v>
      </c>
      <c r="R478" s="4673" t="s">
        <v>1029</v>
      </c>
      <c r="S478" s="4673" t="s">
        <v>1030</v>
      </c>
      <c r="T478" s="4673" t="s">
        <v>1030</v>
      </c>
      <c r="U478" s="4673" t="s">
        <v>1031</v>
      </c>
      <c r="V478" s="4673" t="s">
        <v>1032</v>
      </c>
      <c r="W478" s="4673" t="s">
        <v>1033</v>
      </c>
      <c r="X478" s="4673" t="s">
        <v>1034</v>
      </c>
      <c r="Y478" s="4673" t="s">
        <v>106</v>
      </c>
      <c r="Z478" s="1516"/>
      <c r="AA478" s="1517"/>
      <c r="AB478" s="1517"/>
      <c r="AC478" s="1521"/>
      <c r="AD478" s="1521"/>
      <c r="AE478" s="1522"/>
      <c r="AF478" s="2847"/>
      <c r="AG478" s="2848"/>
      <c r="AH478" s="2848"/>
      <c r="AI478" s="2847"/>
      <c r="AJ478" s="2848"/>
      <c r="AK478" s="2848"/>
      <c r="AL478" s="2329"/>
      <c r="AM478" s="2164"/>
      <c r="AN478" s="2164"/>
      <c r="AO478" s="2164"/>
      <c r="AP478" s="2164"/>
      <c r="AQ478" s="2164"/>
      <c r="AR478" s="2164"/>
      <c r="AS478" s="2164"/>
      <c r="AT478" s="2164"/>
      <c r="AU478" s="2164"/>
      <c r="AV478" s="2164"/>
      <c r="AW478" s="2164"/>
      <c r="AX478" s="2164"/>
      <c r="AY478" s="2164"/>
      <c r="AZ478" s="2164"/>
      <c r="BA478" s="2164"/>
      <c r="BB478" s="2164"/>
      <c r="BC478" s="2164"/>
      <c r="BD478" s="2164"/>
      <c r="BE478" s="2164"/>
      <c r="BF478" s="2164"/>
      <c r="BG478" s="4573"/>
    </row>
    <row customHeight="1" ht="11.25">
      <c r="A479" s="1507" t="s">
        <v>990</v>
      </c>
      <c r="B479" s="1507"/>
      <c r="C479" s="1507"/>
      <c r="D479" s="1501"/>
      <c r="E479" s="1511"/>
      <c r="F479" s="2170"/>
      <c r="G479" s="2171"/>
      <c r="H479" s="2856" t="s">
        <v>107</v>
      </c>
      <c r="I479" s="2857"/>
      <c r="J479" s="2826"/>
      <c r="K479" s="2858"/>
      <c r="L479" s="2448"/>
      <c r="M479" s="2449"/>
      <c r="N479" s="2849"/>
      <c r="O479" s="2850"/>
      <c r="P479" s="2852"/>
      <c r="Q479" s="4672"/>
      <c r="R479" s="2854"/>
      <c r="S479" s="2855"/>
      <c r="T479" s="2854"/>
      <c r="U479" s="2854"/>
      <c r="V479" s="2854"/>
      <c r="W479" s="2854"/>
      <c r="X479" s="2854"/>
      <c r="Y479" s="2854"/>
      <c r="Z479" s="2169"/>
      <c r="AA479" s="2135">
        <v>1</v>
      </c>
      <c r="AB479" s="1520" t="s">
        <v>1035</v>
      </c>
      <c r="AC479" s="1510">
        <v>8898.74445</v>
      </c>
      <c r="AD479" s="1520" t="str">
        <f>AB479</f>
        <v>      Амортизационные отчисления с выделением результатов переоценки основных средств и нематериальных активов</v>
      </c>
      <c r="AE479" s="1510"/>
      <c r="AF479" s="2847"/>
      <c r="AG479" s="2848"/>
      <c r="AH479" s="2848"/>
      <c r="AI479" s="2847"/>
      <c r="AJ479" s="2848"/>
      <c r="AK479" s="2848"/>
      <c r="AL479" s="2329"/>
      <c r="AM479" s="2164"/>
      <c r="AN479" s="2164"/>
      <c r="AO479" s="2164"/>
      <c r="AP479" s="2164"/>
      <c r="AQ479" s="2164"/>
      <c r="AR479" s="2164"/>
      <c r="AS479" s="2164"/>
      <c r="AT479" s="2164"/>
      <c r="AU479" s="2164"/>
      <c r="AV479" s="2164"/>
      <c r="AW479" s="2164"/>
      <c r="AX479" s="2164"/>
      <c r="AY479" s="2164"/>
      <c r="AZ479" s="2164"/>
      <c r="BA479" s="2164"/>
      <c r="BB479" s="2164"/>
      <c r="BC479" s="2164"/>
      <c r="BD479" s="2164"/>
      <c r="BE479" s="2164"/>
      <c r="BF479" s="2164"/>
      <c r="BG479" s="4573"/>
    </row>
    <row customHeight="1" ht="11.25">
      <c r="A480" s="1507" t="s">
        <v>990</v>
      </c>
      <c r="B480" s="1507"/>
      <c r="C480" s="1507"/>
      <c r="D480" s="1501"/>
      <c r="E480" s="1511"/>
      <c r="F480" s="2171"/>
      <c r="G480" s="2171"/>
      <c r="H480" s="2171"/>
      <c r="I480" s="2171"/>
      <c r="J480" s="2171"/>
      <c r="K480" s="2171"/>
      <c r="L480" s="2171"/>
      <c r="M480" s="2171"/>
      <c r="N480" s="2171"/>
      <c r="O480" s="2171"/>
      <c r="P480" s="2171"/>
      <c r="Q480" s="2171"/>
      <c r="R480" s="2171"/>
      <c r="S480" s="2171"/>
      <c r="T480" s="2171"/>
      <c r="U480" s="2171"/>
      <c r="V480" s="2171"/>
      <c r="W480" s="2171"/>
      <c r="X480" s="2171"/>
      <c r="Y480" s="2171"/>
      <c r="Z480" s="4557" t="s">
        <v>684</v>
      </c>
      <c r="AA480" s="2155" t="s">
        <v>107</v>
      </c>
      <c r="AB480" s="1520" t="s">
        <v>1036</v>
      </c>
      <c r="AC480" s="1510">
        <v>1779.74889</v>
      </c>
      <c r="AD480" s="1520" t="str">
        <f>AB480</f>
        <v>  Прочие собственные средства</v>
      </c>
      <c r="AE480" s="1510"/>
      <c r="AF480" s="2172"/>
      <c r="AG480" s="2100"/>
      <c r="AH480" s="2100"/>
      <c r="AI480" s="2172"/>
      <c r="AJ480" s="2100"/>
      <c r="AK480" s="2328"/>
      <c r="AL480" s="2329"/>
      <c r="AM480" s="2164"/>
      <c r="AN480" s="2164"/>
      <c r="AO480" s="2164"/>
      <c r="AP480" s="2164"/>
      <c r="AQ480" s="2164"/>
      <c r="AR480" s="2164"/>
      <c r="AS480" s="2164"/>
      <c r="AT480" s="2164"/>
      <c r="AU480" s="2164"/>
      <c r="AV480" s="2164"/>
      <c r="AW480" s="2164"/>
      <c r="AX480" s="2164"/>
      <c r="AY480" s="2164"/>
      <c r="AZ480" s="2164"/>
      <c r="BA480" s="2164"/>
      <c r="BB480" s="2164"/>
      <c r="BC480" s="2164"/>
      <c r="BD480" s="2164"/>
      <c r="BE480" s="2164"/>
      <c r="BF480" s="2164"/>
      <c r="BG480" s="4573"/>
    </row>
    <row customHeight="1" ht="11.25">
      <c r="A481" s="1507" t="s">
        <v>990</v>
      </c>
      <c r="B481" s="1507"/>
      <c r="C481" s="1507"/>
      <c r="D481" s="1501"/>
      <c r="E481" s="1511"/>
      <c r="F481" s="2170"/>
      <c r="G481" s="2171"/>
      <c r="H481" s="2856" t="s">
        <v>107</v>
      </c>
      <c r="I481" s="2857"/>
      <c r="J481" s="2826"/>
      <c r="K481" s="2858"/>
      <c r="L481" s="2448"/>
      <c r="M481" s="2449"/>
      <c r="N481" s="2849"/>
      <c r="O481" s="2850"/>
      <c r="P481" s="2853"/>
      <c r="Q481" s="4672"/>
      <c r="R481" s="2854"/>
      <c r="S481" s="2855"/>
      <c r="T481" s="2854"/>
      <c r="U481" s="2854"/>
      <c r="V481" s="2854"/>
      <c r="W481" s="2854"/>
      <c r="X481" s="2854"/>
      <c r="Y481" s="2854"/>
      <c r="Z481" s="1516"/>
      <c r="AA481" s="1517"/>
      <c r="AB481" s="1582" t="s">
        <v>1037</v>
      </c>
      <c r="AC481" s="1521"/>
      <c r="AD481" s="1521"/>
      <c r="AE481" s="1523"/>
      <c r="AF481" s="2847"/>
      <c r="AG481" s="2848"/>
      <c r="AH481" s="2848"/>
      <c r="AI481" s="2847"/>
      <c r="AJ481" s="2848"/>
      <c r="AK481" s="2848"/>
      <c r="AL481" s="2329"/>
      <c r="AM481" s="2164"/>
      <c r="AN481" s="2164"/>
      <c r="AO481" s="2164"/>
      <c r="AP481" s="2164"/>
      <c r="AQ481" s="2164"/>
      <c r="AR481" s="2164"/>
      <c r="AS481" s="2164"/>
      <c r="AT481" s="2164"/>
      <c r="AU481" s="2164"/>
      <c r="AV481" s="2164"/>
      <c r="AW481" s="2164"/>
      <c r="AX481" s="2164"/>
      <c r="AY481" s="2164"/>
      <c r="AZ481" s="2164"/>
      <c r="BA481" s="2164"/>
      <c r="BB481" s="2164"/>
      <c r="BC481" s="2164"/>
      <c r="BD481" s="2164"/>
      <c r="BE481" s="2164"/>
      <c r="BF481" s="2164"/>
      <c r="BG481" s="4573"/>
    </row>
    <row customHeight="1" ht="11.25">
      <c r="A482" s="1507" t="s">
        <v>990</v>
      </c>
      <c r="B482" s="1507"/>
      <c r="C482" s="1507"/>
      <c r="D482" s="1501"/>
      <c r="E482" s="1511"/>
      <c r="F482" s="2170"/>
      <c r="G482" s="2171"/>
      <c r="H482" s="2856" t="s">
        <v>107</v>
      </c>
      <c r="I482" s="2857"/>
      <c r="J482" s="2826"/>
      <c r="K482" s="2858"/>
      <c r="L482" s="2448"/>
      <c r="M482" s="2449"/>
      <c r="N482" s="1516"/>
      <c r="O482" s="1517"/>
      <c r="P482" s="1509" t="s">
        <v>1038</v>
      </c>
      <c r="Q482" s="1517"/>
      <c r="R482" s="1517"/>
      <c r="S482" s="1517"/>
      <c r="T482" s="1517"/>
      <c r="U482" s="1517"/>
      <c r="V482" s="1517"/>
      <c r="W482" s="1517"/>
      <c r="X482" s="1517"/>
      <c r="Y482" s="1517"/>
      <c r="Z482" s="1517"/>
      <c r="AA482" s="1517"/>
      <c r="AB482" s="1517"/>
      <c r="AC482" s="1517"/>
      <c r="AD482" s="1517"/>
      <c r="AE482" s="1524"/>
      <c r="AF482" s="2847"/>
      <c r="AG482" s="2848"/>
      <c r="AH482" s="2848"/>
      <c r="AI482" s="2847"/>
      <c r="AJ482" s="2848"/>
      <c r="AK482" s="2848"/>
      <c r="AL482" s="2329"/>
      <c r="AM482" s="2164"/>
      <c r="AN482" s="2164"/>
      <c r="AO482" s="2164"/>
      <c r="AP482" s="2164"/>
      <c r="AQ482" s="2164"/>
      <c r="AR482" s="2164"/>
      <c r="AS482" s="2164"/>
      <c r="AT482" s="2164"/>
      <c r="AU482" s="2164"/>
      <c r="AV482" s="2164"/>
      <c r="AW482" s="2164"/>
      <c r="AX482" s="2164"/>
      <c r="AY482" s="2164"/>
      <c r="AZ482" s="2164"/>
      <c r="BA482" s="2164"/>
      <c r="BB482" s="2164"/>
      <c r="BC482" s="2164"/>
      <c r="BD482" s="2164"/>
      <c r="BE482" s="2164"/>
      <c r="BF482" s="2164"/>
      <c r="BG482" s="4573"/>
    </row>
    <row customHeight="1" ht="11.25">
      <c r="A483" s="1507" t="s">
        <v>990</v>
      </c>
      <c r="B483" s="1507" t="s">
        <v>1022</v>
      </c>
      <c r="C483" s="1507"/>
      <c r="D483" s="1501"/>
      <c r="E483" s="1511"/>
      <c r="F483" s="2170"/>
      <c r="G483" s="4557" t="s">
        <v>684</v>
      </c>
      <c r="H483" s="2856" t="s">
        <v>91</v>
      </c>
      <c r="I483" s="2857" t="s">
        <v>1023</v>
      </c>
      <c r="J483" s="2826" t="s">
        <v>1024</v>
      </c>
      <c r="K483" s="2858" t="s">
        <v>1186</v>
      </c>
      <c r="L483" s="2448" t="s">
        <v>19</v>
      </c>
      <c r="M483" s="2449"/>
      <c r="N483" s="2327"/>
      <c r="O483" s="1518" t="s">
        <v>371</v>
      </c>
      <c r="P483" s="1519"/>
      <c r="Q483" s="1519"/>
      <c r="R483" s="1519"/>
      <c r="S483" s="1519"/>
      <c r="T483" s="1519"/>
      <c r="U483" s="1519"/>
      <c r="V483" s="1519"/>
      <c r="W483" s="1519"/>
      <c r="X483" s="1519"/>
      <c r="Y483" s="1519"/>
      <c r="Z483" s="1519"/>
      <c r="AA483" s="1519"/>
      <c r="AB483" s="1519"/>
      <c r="AC483" s="1519"/>
      <c r="AD483" s="1519"/>
      <c r="AE483" s="1519"/>
      <c r="AF483" s="2847">
        <v>6</v>
      </c>
      <c r="AG483" s="2848" t="s">
        <v>1026</v>
      </c>
      <c r="AH483" s="2848" t="s">
        <v>1104</v>
      </c>
      <c r="AI483" s="2847"/>
      <c r="AJ483" s="2848"/>
      <c r="AK483" s="2848"/>
      <c r="AL483" s="2329"/>
      <c r="AM483" s="2164"/>
      <c r="AN483" s="2164"/>
      <c r="AO483" s="2164"/>
      <c r="AP483" s="2164"/>
      <c r="AQ483" s="2164"/>
      <c r="AR483" s="2164"/>
      <c r="AS483" s="2164"/>
      <c r="AT483" s="2164"/>
      <c r="AU483" s="2164"/>
      <c r="AV483" s="2164"/>
      <c r="AW483" s="2164"/>
      <c r="AX483" s="2164"/>
      <c r="AY483" s="2164"/>
      <c r="AZ483" s="2164"/>
      <c r="BA483" s="2164"/>
      <c r="BB483" s="2164"/>
      <c r="BC483" s="2164"/>
      <c r="BD483" s="2164"/>
      <c r="BE483" s="2164"/>
      <c r="BF483" s="2164"/>
      <c r="BG483" s="4573"/>
    </row>
    <row customHeight="1" ht="11.25">
      <c r="A484" s="1507" t="s">
        <v>990</v>
      </c>
      <c r="B484" s="1507"/>
      <c r="C484" s="1507"/>
      <c r="D484" s="1501"/>
      <c r="E484" s="1511"/>
      <c r="F484" s="2170"/>
      <c r="G484" s="2171"/>
      <c r="H484" s="2856" t="s">
        <v>90</v>
      </c>
      <c r="I484" s="2857"/>
      <c r="J484" s="2826"/>
      <c r="K484" s="2858"/>
      <c r="L484" s="2448"/>
      <c r="M484" s="2449"/>
      <c r="N484" s="2849"/>
      <c r="O484" s="2850">
        <v>1</v>
      </c>
      <c r="P484" s="2851" t="s">
        <v>65</v>
      </c>
      <c r="Q484" s="4672" t="s">
        <v>1028</v>
      </c>
      <c r="R484" s="4673" t="s">
        <v>1029</v>
      </c>
      <c r="S484" s="4673" t="s">
        <v>1030</v>
      </c>
      <c r="T484" s="4673" t="s">
        <v>1030</v>
      </c>
      <c r="U484" s="4673" t="s">
        <v>1031</v>
      </c>
      <c r="V484" s="4673" t="s">
        <v>1032</v>
      </c>
      <c r="W484" s="4673" t="s">
        <v>1033</v>
      </c>
      <c r="X484" s="4673" t="s">
        <v>1034</v>
      </c>
      <c r="Y484" s="4673" t="s">
        <v>106</v>
      </c>
      <c r="Z484" s="1516"/>
      <c r="AA484" s="1517"/>
      <c r="AB484" s="1517"/>
      <c r="AC484" s="1521"/>
      <c r="AD484" s="1521"/>
      <c r="AE484" s="1522"/>
      <c r="AF484" s="2847"/>
      <c r="AG484" s="2848"/>
      <c r="AH484" s="2848"/>
      <c r="AI484" s="2847"/>
      <c r="AJ484" s="2848"/>
      <c r="AK484" s="2848"/>
      <c r="AL484" s="2329"/>
      <c r="AM484" s="2164"/>
      <c r="AN484" s="2164"/>
      <c r="AO484" s="2164"/>
      <c r="AP484" s="2164"/>
      <c r="AQ484" s="2164"/>
      <c r="AR484" s="2164"/>
      <c r="AS484" s="2164"/>
      <c r="AT484" s="2164"/>
      <c r="AU484" s="2164"/>
      <c r="AV484" s="2164"/>
      <c r="AW484" s="2164"/>
      <c r="AX484" s="2164"/>
      <c r="AY484" s="2164"/>
      <c r="AZ484" s="2164"/>
      <c r="BA484" s="2164"/>
      <c r="BB484" s="2164"/>
      <c r="BC484" s="2164"/>
      <c r="BD484" s="2164"/>
      <c r="BE484" s="2164"/>
      <c r="BF484" s="2164"/>
      <c r="BG484" s="4573"/>
    </row>
    <row customHeight="1" ht="11.25">
      <c r="A485" s="1507" t="s">
        <v>990</v>
      </c>
      <c r="B485" s="1507"/>
      <c r="C485" s="1507"/>
      <c r="D485" s="1501"/>
      <c r="E485" s="1511"/>
      <c r="F485" s="2170"/>
      <c r="G485" s="2171"/>
      <c r="H485" s="2856" t="s">
        <v>90</v>
      </c>
      <c r="I485" s="2857"/>
      <c r="J485" s="2826"/>
      <c r="K485" s="2858"/>
      <c r="L485" s="2448"/>
      <c r="M485" s="2449"/>
      <c r="N485" s="2849"/>
      <c r="O485" s="2850"/>
      <c r="P485" s="2852"/>
      <c r="Q485" s="4672"/>
      <c r="R485" s="2854"/>
      <c r="S485" s="2855"/>
      <c r="T485" s="2854"/>
      <c r="U485" s="2854"/>
      <c r="V485" s="2854"/>
      <c r="W485" s="2854"/>
      <c r="X485" s="2854"/>
      <c r="Y485" s="2854"/>
      <c r="Z485" s="2169"/>
      <c r="AA485" s="2135">
        <v>1</v>
      </c>
      <c r="AB485" s="1520" t="s">
        <v>1035</v>
      </c>
      <c r="AC485" s="1510">
        <v>64136.38551</v>
      </c>
      <c r="AD485" s="1520" t="str">
        <f>AB485</f>
        <v>      Амортизационные отчисления с выделением результатов переоценки основных средств и нематериальных активов</v>
      </c>
      <c r="AE485" s="1510"/>
      <c r="AF485" s="2847"/>
      <c r="AG485" s="2848"/>
      <c r="AH485" s="2848"/>
      <c r="AI485" s="2847"/>
      <c r="AJ485" s="2848"/>
      <c r="AK485" s="2848"/>
      <c r="AL485" s="2329"/>
      <c r="AM485" s="2164"/>
      <c r="AN485" s="2164"/>
      <c r="AO485" s="2164"/>
      <c r="AP485" s="2164"/>
      <c r="AQ485" s="2164"/>
      <c r="AR485" s="2164"/>
      <c r="AS485" s="2164"/>
      <c r="AT485" s="2164"/>
      <c r="AU485" s="2164"/>
      <c r="AV485" s="2164"/>
      <c r="AW485" s="2164"/>
      <c r="AX485" s="2164"/>
      <c r="AY485" s="2164"/>
      <c r="AZ485" s="2164"/>
      <c r="BA485" s="2164"/>
      <c r="BB485" s="2164"/>
      <c r="BC485" s="2164"/>
      <c r="BD485" s="2164"/>
      <c r="BE485" s="2164"/>
      <c r="BF485" s="2164"/>
      <c r="BG485" s="4573"/>
    </row>
    <row customHeight="1" ht="11.25">
      <c r="A486" s="1507" t="s">
        <v>990</v>
      </c>
      <c r="B486" s="1507"/>
      <c r="C486" s="1507"/>
      <c r="D486" s="1501"/>
      <c r="E486" s="1511"/>
      <c r="F486" s="2171"/>
      <c r="G486" s="2171"/>
      <c r="H486" s="2171"/>
      <c r="I486" s="2171"/>
      <c r="J486" s="2171"/>
      <c r="K486" s="2171"/>
      <c r="L486" s="2171"/>
      <c r="M486" s="2171"/>
      <c r="N486" s="2171"/>
      <c r="O486" s="2171"/>
      <c r="P486" s="2171"/>
      <c r="Q486" s="2171"/>
      <c r="R486" s="2171"/>
      <c r="S486" s="2171"/>
      <c r="T486" s="2171"/>
      <c r="U486" s="2171"/>
      <c r="V486" s="2171"/>
      <c r="W486" s="2171"/>
      <c r="X486" s="2171"/>
      <c r="Y486" s="2171"/>
      <c r="Z486" s="4557" t="s">
        <v>684</v>
      </c>
      <c r="AA486" s="2155" t="s">
        <v>107</v>
      </c>
      <c r="AB486" s="1520" t="s">
        <v>1036</v>
      </c>
      <c r="AC486" s="1510">
        <v>12079.5575</v>
      </c>
      <c r="AD486" s="1520" t="str">
        <f>AB486</f>
        <v>  Прочие собственные средства</v>
      </c>
      <c r="AE486" s="1510"/>
      <c r="AF486" s="2172"/>
      <c r="AG486" s="2100"/>
      <c r="AH486" s="2100"/>
      <c r="AI486" s="2172"/>
      <c r="AJ486" s="2100"/>
      <c r="AK486" s="2328"/>
      <c r="AL486" s="2329"/>
      <c r="AM486" s="2164"/>
      <c r="AN486" s="2164"/>
      <c r="AO486" s="2164"/>
      <c r="AP486" s="2164"/>
      <c r="AQ486" s="2164"/>
      <c r="AR486" s="2164"/>
      <c r="AS486" s="2164"/>
      <c r="AT486" s="2164"/>
      <c r="AU486" s="2164"/>
      <c r="AV486" s="2164"/>
      <c r="AW486" s="2164"/>
      <c r="AX486" s="2164"/>
      <c r="AY486" s="2164"/>
      <c r="AZ486" s="2164"/>
      <c r="BA486" s="2164"/>
      <c r="BB486" s="2164"/>
      <c r="BC486" s="2164"/>
      <c r="BD486" s="2164"/>
      <c r="BE486" s="2164"/>
      <c r="BF486" s="2164"/>
      <c r="BG486" s="4573"/>
    </row>
    <row customHeight="1" ht="11.25">
      <c r="A487" s="1507" t="s">
        <v>990</v>
      </c>
      <c r="B487" s="1507"/>
      <c r="C487" s="1507"/>
      <c r="D487" s="1501"/>
      <c r="E487" s="1511"/>
      <c r="F487" s="2170"/>
      <c r="G487" s="2171"/>
      <c r="H487" s="2856" t="s">
        <v>90</v>
      </c>
      <c r="I487" s="2857"/>
      <c r="J487" s="2826"/>
      <c r="K487" s="2858"/>
      <c r="L487" s="2448"/>
      <c r="M487" s="2449"/>
      <c r="N487" s="2849"/>
      <c r="O487" s="2850"/>
      <c r="P487" s="2853"/>
      <c r="Q487" s="4672"/>
      <c r="R487" s="2854"/>
      <c r="S487" s="2855"/>
      <c r="T487" s="2854"/>
      <c r="U487" s="2854"/>
      <c r="V487" s="2854"/>
      <c r="W487" s="2854"/>
      <c r="X487" s="2854"/>
      <c r="Y487" s="2854"/>
      <c r="Z487" s="1516"/>
      <c r="AA487" s="1517"/>
      <c r="AB487" s="1582" t="s">
        <v>1037</v>
      </c>
      <c r="AC487" s="1521"/>
      <c r="AD487" s="1521"/>
      <c r="AE487" s="1523"/>
      <c r="AF487" s="2847"/>
      <c r="AG487" s="2848"/>
      <c r="AH487" s="2848"/>
      <c r="AI487" s="2847"/>
      <c r="AJ487" s="2848"/>
      <c r="AK487" s="2848"/>
      <c r="AL487" s="2329"/>
      <c r="AM487" s="2164"/>
      <c r="AN487" s="2164"/>
      <c r="AO487" s="2164"/>
      <c r="AP487" s="2164"/>
      <c r="AQ487" s="2164"/>
      <c r="AR487" s="2164"/>
      <c r="AS487" s="2164"/>
      <c r="AT487" s="2164"/>
      <c r="AU487" s="2164"/>
      <c r="AV487" s="2164"/>
      <c r="AW487" s="2164"/>
      <c r="AX487" s="2164"/>
      <c r="AY487" s="2164"/>
      <c r="AZ487" s="2164"/>
      <c r="BA487" s="2164"/>
      <c r="BB487" s="2164"/>
      <c r="BC487" s="2164"/>
      <c r="BD487" s="2164"/>
      <c r="BE487" s="2164"/>
      <c r="BF487" s="2164"/>
      <c r="BG487" s="4573"/>
    </row>
    <row customHeight="1" ht="11.25">
      <c r="A488" s="1507" t="s">
        <v>990</v>
      </c>
      <c r="B488" s="1507"/>
      <c r="C488" s="1507"/>
      <c r="D488" s="1501"/>
      <c r="E488" s="1511"/>
      <c r="F488" s="2170"/>
      <c r="G488" s="2171"/>
      <c r="H488" s="2856" t="s">
        <v>90</v>
      </c>
      <c r="I488" s="2857"/>
      <c r="J488" s="2826"/>
      <c r="K488" s="2858"/>
      <c r="L488" s="2448"/>
      <c r="M488" s="2449"/>
      <c r="N488" s="1516"/>
      <c r="O488" s="1517"/>
      <c r="P488" s="1509" t="s">
        <v>1038</v>
      </c>
      <c r="Q488" s="1517"/>
      <c r="R488" s="1517"/>
      <c r="S488" s="1517"/>
      <c r="T488" s="1517"/>
      <c r="U488" s="1517"/>
      <c r="V488" s="1517"/>
      <c r="W488" s="1517"/>
      <c r="X488" s="1517"/>
      <c r="Y488" s="1517"/>
      <c r="Z488" s="1517"/>
      <c r="AA488" s="1517"/>
      <c r="AB488" s="1517"/>
      <c r="AC488" s="1517"/>
      <c r="AD488" s="1517"/>
      <c r="AE488" s="1524"/>
      <c r="AF488" s="2847"/>
      <c r="AG488" s="2848"/>
      <c r="AH488" s="2848"/>
      <c r="AI488" s="2847"/>
      <c r="AJ488" s="2848"/>
      <c r="AK488" s="2848"/>
      <c r="AL488" s="2329"/>
      <c r="AM488" s="2164"/>
      <c r="AN488" s="2164"/>
      <c r="AO488" s="2164"/>
      <c r="AP488" s="2164"/>
      <c r="AQ488" s="2164"/>
      <c r="AR488" s="2164"/>
      <c r="AS488" s="2164"/>
      <c r="AT488" s="2164"/>
      <c r="AU488" s="2164"/>
      <c r="AV488" s="2164"/>
      <c r="AW488" s="2164"/>
      <c r="AX488" s="2164"/>
      <c r="AY488" s="2164"/>
      <c r="AZ488" s="2164"/>
      <c r="BA488" s="2164"/>
      <c r="BB488" s="2164"/>
      <c r="BC488" s="2164"/>
      <c r="BD488" s="2164"/>
      <c r="BE488" s="2164"/>
      <c r="BF488" s="2164"/>
      <c r="BG488" s="4573"/>
    </row>
    <row customHeight="1" ht="11.25">
      <c r="A489" s="1507" t="s">
        <v>990</v>
      </c>
      <c r="B489" s="1507" t="s">
        <v>1022</v>
      </c>
      <c r="C489" s="1507"/>
      <c r="D489" s="1501"/>
      <c r="E489" s="1511"/>
      <c r="F489" s="2170"/>
      <c r="G489" s="4557" t="s">
        <v>684</v>
      </c>
      <c r="H489" s="2856" t="s">
        <v>108</v>
      </c>
      <c r="I489" s="2857" t="s">
        <v>1023</v>
      </c>
      <c r="J489" s="2826" t="s">
        <v>1024</v>
      </c>
      <c r="K489" s="2858" t="s">
        <v>1066</v>
      </c>
      <c r="L489" s="2448" t="s">
        <v>19</v>
      </c>
      <c r="M489" s="2449"/>
      <c r="N489" s="2327"/>
      <c r="O489" s="1518" t="s">
        <v>371</v>
      </c>
      <c r="P489" s="1519"/>
      <c r="Q489" s="1519"/>
      <c r="R489" s="1519"/>
      <c r="S489" s="1519"/>
      <c r="T489" s="1519"/>
      <c r="U489" s="1519"/>
      <c r="V489" s="1519"/>
      <c r="W489" s="1519"/>
      <c r="X489" s="1519"/>
      <c r="Y489" s="1519"/>
      <c r="Z489" s="1519"/>
      <c r="AA489" s="1519"/>
      <c r="AB489" s="1519"/>
      <c r="AC489" s="1519"/>
      <c r="AD489" s="1519"/>
      <c r="AE489" s="1519"/>
      <c r="AF489" s="2847">
        <v>3</v>
      </c>
      <c r="AG489" s="2848" t="s">
        <v>1067</v>
      </c>
      <c r="AH489" s="2848" t="s">
        <v>1053</v>
      </c>
      <c r="AI489" s="2847"/>
      <c r="AJ489" s="2848"/>
      <c r="AK489" s="2848"/>
      <c r="AL489" s="2329"/>
      <c r="AM489" s="2164"/>
      <c r="AN489" s="2164"/>
      <c r="AO489" s="2164"/>
      <c r="AP489" s="2164"/>
      <c r="AQ489" s="2164"/>
      <c r="AR489" s="2164"/>
      <c r="AS489" s="2164"/>
      <c r="AT489" s="2164"/>
      <c r="AU489" s="2164"/>
      <c r="AV489" s="2164"/>
      <c r="AW489" s="2164"/>
      <c r="AX489" s="2164"/>
      <c r="AY489" s="2164"/>
      <c r="AZ489" s="2164"/>
      <c r="BA489" s="2164"/>
      <c r="BB489" s="2164"/>
      <c r="BC489" s="2164"/>
      <c r="BD489" s="2164"/>
      <c r="BE489" s="2164"/>
      <c r="BF489" s="2164"/>
      <c r="BG489" s="4573"/>
    </row>
    <row customHeight="1" ht="11.25">
      <c r="A490" s="1507" t="s">
        <v>990</v>
      </c>
      <c r="B490" s="1507"/>
      <c r="C490" s="1507"/>
      <c r="D490" s="1501"/>
      <c r="E490" s="1511"/>
      <c r="F490" s="2170"/>
      <c r="G490" s="2171"/>
      <c r="H490" s="2856" t="s">
        <v>91</v>
      </c>
      <c r="I490" s="2857"/>
      <c r="J490" s="2826"/>
      <c r="K490" s="2858"/>
      <c r="L490" s="2448"/>
      <c r="M490" s="2449"/>
      <c r="N490" s="2849"/>
      <c r="O490" s="2850">
        <v>1</v>
      </c>
      <c r="P490" s="2851" t="s">
        <v>65</v>
      </c>
      <c r="Q490" s="4672" t="s">
        <v>1068</v>
      </c>
      <c r="R490" s="4673" t="s">
        <v>1029</v>
      </c>
      <c r="S490" s="4673" t="s">
        <v>1030</v>
      </c>
      <c r="T490" s="4673" t="s">
        <v>1030</v>
      </c>
      <c r="U490" s="4673" t="s">
        <v>1031</v>
      </c>
      <c r="V490" s="4673" t="s">
        <v>1032</v>
      </c>
      <c r="W490" s="4673" t="s">
        <v>1033</v>
      </c>
      <c r="X490" s="4673" t="s">
        <v>1069</v>
      </c>
      <c r="Y490" s="4673" t="s">
        <v>146</v>
      </c>
      <c r="Z490" s="1516"/>
      <c r="AA490" s="1517"/>
      <c r="AB490" s="1517"/>
      <c r="AC490" s="1521"/>
      <c r="AD490" s="1521"/>
      <c r="AE490" s="1522"/>
      <c r="AF490" s="2847"/>
      <c r="AG490" s="2848"/>
      <c r="AH490" s="2848"/>
      <c r="AI490" s="2847"/>
      <c r="AJ490" s="2848"/>
      <c r="AK490" s="2848"/>
      <c r="AL490" s="2329"/>
      <c r="AM490" s="2164"/>
      <c r="AN490" s="2164"/>
      <c r="AO490" s="2164"/>
      <c r="AP490" s="2164"/>
      <c r="AQ490" s="2164"/>
      <c r="AR490" s="2164"/>
      <c r="AS490" s="2164"/>
      <c r="AT490" s="2164"/>
      <c r="AU490" s="2164"/>
      <c r="AV490" s="2164"/>
      <c r="AW490" s="2164"/>
      <c r="AX490" s="2164"/>
      <c r="AY490" s="2164"/>
      <c r="AZ490" s="2164"/>
      <c r="BA490" s="2164"/>
      <c r="BB490" s="2164"/>
      <c r="BC490" s="2164"/>
      <c r="BD490" s="2164"/>
      <c r="BE490" s="2164"/>
      <c r="BF490" s="2164"/>
      <c r="BG490" s="4573"/>
    </row>
    <row customHeight="1" ht="11.25">
      <c r="A491" s="1507" t="s">
        <v>990</v>
      </c>
      <c r="B491" s="1507"/>
      <c r="C491" s="1507"/>
      <c r="D491" s="1501"/>
      <c r="E491" s="1511"/>
      <c r="F491" s="2170"/>
      <c r="G491" s="2171"/>
      <c r="H491" s="2856" t="s">
        <v>91</v>
      </c>
      <c r="I491" s="2857"/>
      <c r="J491" s="2826"/>
      <c r="K491" s="2858"/>
      <c r="L491" s="2448"/>
      <c r="M491" s="2449"/>
      <c r="N491" s="2849"/>
      <c r="O491" s="2850"/>
      <c r="P491" s="2852"/>
      <c r="Q491" s="4672"/>
      <c r="R491" s="2854"/>
      <c r="S491" s="2855"/>
      <c r="T491" s="2854"/>
      <c r="U491" s="2854"/>
      <c r="V491" s="2854"/>
      <c r="W491" s="2854"/>
      <c r="X491" s="2854"/>
      <c r="Y491" s="2854"/>
      <c r="Z491" s="2169"/>
      <c r="AA491" s="2135">
        <v>1</v>
      </c>
      <c r="AB491" s="1520" t="s">
        <v>1035</v>
      </c>
      <c r="AC491" s="1510">
        <v>27945.1264100891</v>
      </c>
      <c r="AD491" s="1520" t="str">
        <f>AB491</f>
        <v>      Амортизационные отчисления с выделением результатов переоценки основных средств и нематериальных активов</v>
      </c>
      <c r="AE491" s="1510"/>
      <c r="AF491" s="2847"/>
      <c r="AG491" s="2848"/>
      <c r="AH491" s="2848"/>
      <c r="AI491" s="2847"/>
      <c r="AJ491" s="2848"/>
      <c r="AK491" s="2848"/>
      <c r="AL491" s="2329"/>
      <c r="AM491" s="2164"/>
      <c r="AN491" s="2164"/>
      <c r="AO491" s="2164"/>
      <c r="AP491" s="2164"/>
      <c r="AQ491" s="2164"/>
      <c r="AR491" s="2164"/>
      <c r="AS491" s="2164"/>
      <c r="AT491" s="2164"/>
      <c r="AU491" s="2164"/>
      <c r="AV491" s="2164"/>
      <c r="AW491" s="2164"/>
      <c r="AX491" s="2164"/>
      <c r="AY491" s="2164"/>
      <c r="AZ491" s="2164"/>
      <c r="BA491" s="2164"/>
      <c r="BB491" s="2164"/>
      <c r="BC491" s="2164"/>
      <c r="BD491" s="2164"/>
      <c r="BE491" s="2164"/>
      <c r="BF491" s="2164"/>
      <c r="BG491" s="4573"/>
    </row>
    <row customHeight="1" ht="11.25">
      <c r="A492" s="1507" t="s">
        <v>990</v>
      </c>
      <c r="B492" s="1507"/>
      <c r="C492" s="1507"/>
      <c r="D492" s="1501"/>
      <c r="E492" s="1511"/>
      <c r="F492" s="2171"/>
      <c r="G492" s="2171"/>
      <c r="H492" s="2171"/>
      <c r="I492" s="2171"/>
      <c r="J492" s="4685"/>
      <c r="K492" s="2171"/>
      <c r="L492" s="2171"/>
      <c r="M492" s="2171"/>
      <c r="N492" s="2171"/>
      <c r="O492" s="2171"/>
      <c r="P492" s="2171"/>
      <c r="Q492" s="4685"/>
      <c r="R492" s="2171"/>
      <c r="S492" s="2171"/>
      <c r="T492" s="2171"/>
      <c r="U492" s="2171"/>
      <c r="V492" s="2171"/>
      <c r="W492" s="2171"/>
      <c r="X492" s="2171"/>
      <c r="Y492" s="2171"/>
      <c r="Z492" s="4557" t="s">
        <v>684</v>
      </c>
      <c r="AA492" s="2155" t="s">
        <v>107</v>
      </c>
      <c r="AB492" s="1520" t="s">
        <v>1036</v>
      </c>
      <c r="AC492" s="1510">
        <v>5589.02528201781</v>
      </c>
      <c r="AD492" s="1520" t="str">
        <f>AB492</f>
        <v>  Прочие собственные средства</v>
      </c>
      <c r="AE492" s="1510"/>
      <c r="AF492" s="2172"/>
      <c r="AG492" s="2100"/>
      <c r="AH492" s="2100"/>
      <c r="AI492" s="2172"/>
      <c r="AJ492" s="2100"/>
      <c r="AK492" s="2328"/>
      <c r="AL492" s="2329"/>
      <c r="AM492" s="2164"/>
      <c r="AN492" s="2164"/>
      <c r="AO492" s="2164"/>
      <c r="AP492" s="2164"/>
      <c r="AQ492" s="2164"/>
      <c r="AR492" s="2164"/>
      <c r="AS492" s="2164"/>
      <c r="AT492" s="2164"/>
      <c r="AU492" s="2164"/>
      <c r="AV492" s="2164"/>
      <c r="AW492" s="2164"/>
      <c r="AX492" s="2164"/>
      <c r="AY492" s="2164"/>
      <c r="AZ492" s="2164"/>
      <c r="BA492" s="2164"/>
      <c r="BB492" s="2164"/>
      <c r="BC492" s="2164"/>
      <c r="BD492" s="2164"/>
      <c r="BE492" s="2164"/>
      <c r="BF492" s="2164"/>
      <c r="BG492" s="4573"/>
    </row>
    <row customHeight="1" ht="11.25">
      <c r="A493" s="1507" t="s">
        <v>990</v>
      </c>
      <c r="B493" s="1507"/>
      <c r="C493" s="1507"/>
      <c r="D493" s="1501"/>
      <c r="E493" s="1511"/>
      <c r="F493" s="2170"/>
      <c r="G493" s="2171"/>
      <c r="H493" s="2856" t="s">
        <v>91</v>
      </c>
      <c r="I493" s="2857"/>
      <c r="J493" s="2826"/>
      <c r="K493" s="2858"/>
      <c r="L493" s="2448"/>
      <c r="M493" s="2449"/>
      <c r="N493" s="2849"/>
      <c r="O493" s="2850"/>
      <c r="P493" s="2853"/>
      <c r="Q493" s="4672"/>
      <c r="R493" s="2854"/>
      <c r="S493" s="2855"/>
      <c r="T493" s="2854"/>
      <c r="U493" s="2854"/>
      <c r="V493" s="2854"/>
      <c r="W493" s="2854"/>
      <c r="X493" s="2854"/>
      <c r="Y493" s="2854"/>
      <c r="Z493" s="1516"/>
      <c r="AA493" s="1517"/>
      <c r="AB493" s="1582" t="s">
        <v>1037</v>
      </c>
      <c r="AC493" s="1521"/>
      <c r="AD493" s="1521"/>
      <c r="AE493" s="1523"/>
      <c r="AF493" s="2847"/>
      <c r="AG493" s="2848"/>
      <c r="AH493" s="2848"/>
      <c r="AI493" s="2847"/>
      <c r="AJ493" s="2848"/>
      <c r="AK493" s="2848"/>
      <c r="AL493" s="2329"/>
      <c r="AM493" s="2164"/>
      <c r="AN493" s="2164"/>
      <c r="AO493" s="2164"/>
      <c r="AP493" s="2164"/>
      <c r="AQ493" s="2164"/>
      <c r="AR493" s="2164"/>
      <c r="AS493" s="2164"/>
      <c r="AT493" s="2164"/>
      <c r="AU493" s="2164"/>
      <c r="AV493" s="2164"/>
      <c r="AW493" s="2164"/>
      <c r="AX493" s="2164"/>
      <c r="AY493" s="2164"/>
      <c r="AZ493" s="2164"/>
      <c r="BA493" s="2164"/>
      <c r="BB493" s="2164"/>
      <c r="BC493" s="2164"/>
      <c r="BD493" s="2164"/>
      <c r="BE493" s="2164"/>
      <c r="BF493" s="2164"/>
      <c r="BG493" s="4573"/>
    </row>
    <row customHeight="1" ht="11.25">
      <c r="A494" s="1507" t="s">
        <v>990</v>
      </c>
      <c r="B494" s="1507"/>
      <c r="C494" s="1507"/>
      <c r="D494" s="1501"/>
      <c r="E494" s="1511"/>
      <c r="F494" s="2170"/>
      <c r="G494" s="2171"/>
      <c r="H494" s="2856" t="s">
        <v>91</v>
      </c>
      <c r="I494" s="2857"/>
      <c r="J494" s="2826"/>
      <c r="K494" s="2858"/>
      <c r="L494" s="2448"/>
      <c r="M494" s="2449"/>
      <c r="N494" s="1516"/>
      <c r="O494" s="1517"/>
      <c r="P494" s="1509" t="s">
        <v>1038</v>
      </c>
      <c r="Q494" s="1517"/>
      <c r="R494" s="1517"/>
      <c r="S494" s="1517"/>
      <c r="T494" s="1517"/>
      <c r="U494" s="1517"/>
      <c r="V494" s="1517"/>
      <c r="W494" s="1517"/>
      <c r="X494" s="1517"/>
      <c r="Y494" s="1517"/>
      <c r="Z494" s="1517"/>
      <c r="AA494" s="1517"/>
      <c r="AB494" s="1517"/>
      <c r="AC494" s="1517"/>
      <c r="AD494" s="1517"/>
      <c r="AE494" s="1524"/>
      <c r="AF494" s="2847"/>
      <c r="AG494" s="2848"/>
      <c r="AH494" s="2848"/>
      <c r="AI494" s="2847"/>
      <c r="AJ494" s="2848"/>
      <c r="AK494" s="2848"/>
      <c r="AL494" s="2329"/>
      <c r="AM494" s="2164"/>
      <c r="AN494" s="2164"/>
      <c r="AO494" s="2164"/>
      <c r="AP494" s="2164"/>
      <c r="AQ494" s="2164"/>
      <c r="AR494" s="2164"/>
      <c r="AS494" s="2164"/>
      <c r="AT494" s="2164"/>
      <c r="AU494" s="2164"/>
      <c r="AV494" s="2164"/>
      <c r="AW494" s="2164"/>
      <c r="AX494" s="2164"/>
      <c r="AY494" s="2164"/>
      <c r="AZ494" s="2164"/>
      <c r="BA494" s="2164"/>
      <c r="BB494" s="2164"/>
      <c r="BC494" s="2164"/>
      <c r="BD494" s="2164"/>
      <c r="BE494" s="2164"/>
      <c r="BF494" s="2164"/>
      <c r="BG494" s="4573"/>
    </row>
    <row customHeight="1" ht="11.25">
      <c r="A495" s="1507" t="s">
        <v>990</v>
      </c>
      <c r="B495" s="1507" t="s">
        <v>1022</v>
      </c>
      <c r="C495" s="1507"/>
      <c r="D495" s="1501"/>
      <c r="E495" s="1511"/>
      <c r="F495" s="2170"/>
      <c r="G495" s="4557" t="s">
        <v>684</v>
      </c>
      <c r="H495" s="2856" t="s">
        <v>92</v>
      </c>
      <c r="I495" s="2857" t="s">
        <v>1023</v>
      </c>
      <c r="J495" s="2826" t="s">
        <v>1071</v>
      </c>
      <c r="K495" s="2858" t="s">
        <v>1103</v>
      </c>
      <c r="L495" s="2448" t="s">
        <v>19</v>
      </c>
      <c r="M495" s="2449"/>
      <c r="N495" s="2327"/>
      <c r="O495" s="1518" t="s">
        <v>371</v>
      </c>
      <c r="P495" s="1519"/>
      <c r="Q495" s="1519"/>
      <c r="R495" s="1519"/>
      <c r="S495" s="1519"/>
      <c r="T495" s="1519"/>
      <c r="U495" s="1519"/>
      <c r="V495" s="1519"/>
      <c r="W495" s="1519"/>
      <c r="X495" s="1519"/>
      <c r="Y495" s="1519"/>
      <c r="Z495" s="1519"/>
      <c r="AA495" s="1519"/>
      <c r="AB495" s="1519"/>
      <c r="AC495" s="1519"/>
      <c r="AD495" s="1519"/>
      <c r="AE495" s="1519"/>
      <c r="AF495" s="2847">
        <v>6</v>
      </c>
      <c r="AG495" s="2848" t="s">
        <v>1067</v>
      </c>
      <c r="AH495" s="2848" t="s">
        <v>1104</v>
      </c>
      <c r="AI495" s="2847"/>
      <c r="AJ495" s="2848"/>
      <c r="AK495" s="2848"/>
      <c r="AL495" s="2329"/>
      <c r="AM495" s="2164"/>
      <c r="AN495" s="2164"/>
      <c r="AO495" s="2164"/>
      <c r="AP495" s="2164"/>
      <c r="AQ495" s="2164"/>
      <c r="AR495" s="2164"/>
      <c r="AS495" s="2164"/>
      <c r="AT495" s="2164"/>
      <c r="AU495" s="2164"/>
      <c r="AV495" s="2164"/>
      <c r="AW495" s="2164"/>
      <c r="AX495" s="2164"/>
      <c r="AY495" s="2164"/>
      <c r="AZ495" s="2164"/>
      <c r="BA495" s="2164"/>
      <c r="BB495" s="2164"/>
      <c r="BC495" s="2164"/>
      <c r="BD495" s="2164"/>
      <c r="BE495" s="2164"/>
      <c r="BF495" s="2164"/>
      <c r="BG495" s="4573"/>
    </row>
    <row customHeight="1" ht="11.25">
      <c r="A496" s="1507" t="s">
        <v>990</v>
      </c>
      <c r="B496" s="1507"/>
      <c r="C496" s="1507"/>
      <c r="D496" s="1501"/>
      <c r="E496" s="1511"/>
      <c r="F496" s="2170"/>
      <c r="G496" s="2171"/>
      <c r="H496" s="2856" t="s">
        <v>108</v>
      </c>
      <c r="I496" s="2857"/>
      <c r="J496" s="2826"/>
      <c r="K496" s="2858"/>
      <c r="L496" s="2448"/>
      <c r="M496" s="2449"/>
      <c r="N496" s="2849"/>
      <c r="O496" s="2850">
        <v>1</v>
      </c>
      <c r="P496" s="2851" t="s">
        <v>65</v>
      </c>
      <c r="Q496" s="4672" t="s">
        <v>1105</v>
      </c>
      <c r="R496" s="4673" t="s">
        <v>1083</v>
      </c>
      <c r="S496" s="4673" t="s">
        <v>1030</v>
      </c>
      <c r="T496" s="4673" t="s">
        <v>1030</v>
      </c>
      <c r="U496" s="4673" t="s">
        <v>1031</v>
      </c>
      <c r="V496" s="4673" t="s">
        <v>1032</v>
      </c>
      <c r="W496" s="4673" t="s">
        <v>1033</v>
      </c>
      <c r="X496" s="4673" t="s">
        <v>1106</v>
      </c>
      <c r="Y496" s="4673" t="s">
        <v>1107</v>
      </c>
      <c r="Z496" s="1516"/>
      <c r="AA496" s="1517"/>
      <c r="AB496" s="1517"/>
      <c r="AC496" s="1521"/>
      <c r="AD496" s="1521"/>
      <c r="AE496" s="1522"/>
      <c r="AF496" s="2847"/>
      <c r="AG496" s="2848"/>
      <c r="AH496" s="2848"/>
      <c r="AI496" s="2847"/>
      <c r="AJ496" s="2848"/>
      <c r="AK496" s="2848"/>
      <c r="AL496" s="2329"/>
      <c r="AM496" s="2164"/>
      <c r="AN496" s="2164"/>
      <c r="AO496" s="2164"/>
      <c r="AP496" s="2164"/>
      <c r="AQ496" s="2164"/>
      <c r="AR496" s="2164"/>
      <c r="AS496" s="2164"/>
      <c r="AT496" s="2164"/>
      <c r="AU496" s="2164"/>
      <c r="AV496" s="2164"/>
      <c r="AW496" s="2164"/>
      <c r="AX496" s="2164"/>
      <c r="AY496" s="2164"/>
      <c r="AZ496" s="2164"/>
      <c r="BA496" s="2164"/>
      <c r="BB496" s="2164"/>
      <c r="BC496" s="2164"/>
      <c r="BD496" s="2164"/>
      <c r="BE496" s="2164"/>
      <c r="BF496" s="2164"/>
      <c r="BG496" s="4573"/>
    </row>
    <row customHeight="1" ht="11.25">
      <c r="A497" s="1507" t="s">
        <v>990</v>
      </c>
      <c r="B497" s="1507"/>
      <c r="C497" s="1507"/>
      <c r="D497" s="1501"/>
      <c r="E497" s="1511"/>
      <c r="F497" s="2170"/>
      <c r="G497" s="2171"/>
      <c r="H497" s="2856" t="s">
        <v>108</v>
      </c>
      <c r="I497" s="2857"/>
      <c r="J497" s="2826"/>
      <c r="K497" s="2858"/>
      <c r="L497" s="2448"/>
      <c r="M497" s="2449"/>
      <c r="N497" s="2849"/>
      <c r="O497" s="2850"/>
      <c r="P497" s="2852"/>
      <c r="Q497" s="4672"/>
      <c r="R497" s="2854"/>
      <c r="S497" s="2855"/>
      <c r="T497" s="2854"/>
      <c r="U497" s="2854"/>
      <c r="V497" s="2854"/>
      <c r="W497" s="2854"/>
      <c r="X497" s="2854"/>
      <c r="Y497" s="2854"/>
      <c r="Z497" s="2169"/>
      <c r="AA497" s="2135">
        <v>1</v>
      </c>
      <c r="AB497" s="1520" t="s">
        <v>1035</v>
      </c>
      <c r="AC497" s="1510">
        <v>388717.53</v>
      </c>
      <c r="AD497" s="1520" t="str">
        <f>AB497</f>
        <v>      Амортизационные отчисления с выделением результатов переоценки основных средств и нематериальных активов</v>
      </c>
      <c r="AE497" s="1510"/>
      <c r="AF497" s="2847"/>
      <c r="AG497" s="2848"/>
      <c r="AH497" s="2848"/>
      <c r="AI497" s="2847"/>
      <c r="AJ497" s="2848"/>
      <c r="AK497" s="2848"/>
      <c r="AL497" s="2329"/>
      <c r="AM497" s="2164"/>
      <c r="AN497" s="2164"/>
      <c r="AO497" s="2164"/>
      <c r="AP497" s="2164"/>
      <c r="AQ497" s="2164"/>
      <c r="AR497" s="2164"/>
      <c r="AS497" s="2164"/>
      <c r="AT497" s="2164"/>
      <c r="AU497" s="2164"/>
      <c r="AV497" s="2164"/>
      <c r="AW497" s="2164"/>
      <c r="AX497" s="2164"/>
      <c r="AY497" s="2164"/>
      <c r="AZ497" s="2164"/>
      <c r="BA497" s="2164"/>
      <c r="BB497" s="2164"/>
      <c r="BC497" s="2164"/>
      <c r="BD497" s="2164"/>
      <c r="BE497" s="2164"/>
      <c r="BF497" s="2164"/>
      <c r="BG497" s="4573"/>
    </row>
    <row customHeight="1" ht="11.25">
      <c r="A498" s="1507" t="s">
        <v>990</v>
      </c>
      <c r="B498" s="1507"/>
      <c r="C498" s="1507"/>
      <c r="D498" s="1501"/>
      <c r="E498" s="1511"/>
      <c r="F498" s="2171"/>
      <c r="G498" s="2171"/>
      <c r="H498" s="2171"/>
      <c r="I498" s="2171"/>
      <c r="J498" s="2171"/>
      <c r="K498" s="2171"/>
      <c r="L498" s="2171"/>
      <c r="M498" s="2171"/>
      <c r="N498" s="2171"/>
      <c r="O498" s="2171"/>
      <c r="P498" s="2171"/>
      <c r="Q498" s="2171"/>
      <c r="R498" s="2171"/>
      <c r="S498" s="2171"/>
      <c r="T498" s="2171"/>
      <c r="U498" s="2171"/>
      <c r="V498" s="2171"/>
      <c r="W498" s="2171"/>
      <c r="X498" s="2171"/>
      <c r="Y498" s="2171"/>
      <c r="Z498" s="4557" t="s">
        <v>684</v>
      </c>
      <c r="AA498" s="2155" t="s">
        <v>107</v>
      </c>
      <c r="AB498" s="1520" t="s">
        <v>1036</v>
      </c>
      <c r="AC498" s="1510">
        <v>75961.34786</v>
      </c>
      <c r="AD498" s="1520" t="str">
        <f>AB498</f>
        <v>  Прочие собственные средства</v>
      </c>
      <c r="AE498" s="1510"/>
      <c r="AF498" s="2172"/>
      <c r="AG498" s="2100"/>
      <c r="AH498" s="2100"/>
      <c r="AI498" s="2172"/>
      <c r="AJ498" s="2100"/>
      <c r="AK498" s="2328"/>
      <c r="AL498" s="2329"/>
      <c r="AM498" s="2164"/>
      <c r="AN498" s="2164"/>
      <c r="AO498" s="2164"/>
      <c r="AP498" s="2164"/>
      <c r="AQ498" s="2164"/>
      <c r="AR498" s="2164"/>
      <c r="AS498" s="2164"/>
      <c r="AT498" s="2164"/>
      <c r="AU498" s="2164"/>
      <c r="AV498" s="2164"/>
      <c r="AW498" s="2164"/>
      <c r="AX498" s="2164"/>
      <c r="AY498" s="2164"/>
      <c r="AZ498" s="2164"/>
      <c r="BA498" s="2164"/>
      <c r="BB498" s="2164"/>
      <c r="BC498" s="2164"/>
      <c r="BD498" s="2164"/>
      <c r="BE498" s="2164"/>
      <c r="BF498" s="2164"/>
      <c r="BG498" s="4573"/>
    </row>
    <row customHeight="1" ht="11.25">
      <c r="A499" s="1507" t="s">
        <v>990</v>
      </c>
      <c r="B499" s="1507"/>
      <c r="C499" s="1507"/>
      <c r="D499" s="1501"/>
      <c r="E499" s="1511"/>
      <c r="F499" s="2170"/>
      <c r="G499" s="2171"/>
      <c r="H499" s="2856" t="s">
        <v>108</v>
      </c>
      <c r="I499" s="2857"/>
      <c r="J499" s="2826"/>
      <c r="K499" s="2858"/>
      <c r="L499" s="2448"/>
      <c r="M499" s="2449"/>
      <c r="N499" s="2849"/>
      <c r="O499" s="2850"/>
      <c r="P499" s="2853"/>
      <c r="Q499" s="4672"/>
      <c r="R499" s="2854"/>
      <c r="S499" s="2855"/>
      <c r="T499" s="2854"/>
      <c r="U499" s="2854"/>
      <c r="V499" s="2854"/>
      <c r="W499" s="2854"/>
      <c r="X499" s="2854"/>
      <c r="Y499" s="2854"/>
      <c r="Z499" s="1516"/>
      <c r="AA499" s="1517"/>
      <c r="AB499" s="1582" t="s">
        <v>1037</v>
      </c>
      <c r="AC499" s="1521"/>
      <c r="AD499" s="1521"/>
      <c r="AE499" s="1523"/>
      <c r="AF499" s="2847"/>
      <c r="AG499" s="2848"/>
      <c r="AH499" s="2848"/>
      <c r="AI499" s="2847"/>
      <c r="AJ499" s="2848"/>
      <c r="AK499" s="2848"/>
      <c r="AL499" s="2329"/>
      <c r="AM499" s="2164"/>
      <c r="AN499" s="2164"/>
      <c r="AO499" s="2164"/>
      <c r="AP499" s="2164"/>
      <c r="AQ499" s="2164"/>
      <c r="AR499" s="2164"/>
      <c r="AS499" s="2164"/>
      <c r="AT499" s="2164"/>
      <c r="AU499" s="2164"/>
      <c r="AV499" s="2164"/>
      <c r="AW499" s="2164"/>
      <c r="AX499" s="2164"/>
      <c r="AY499" s="2164"/>
      <c r="AZ499" s="2164"/>
      <c r="BA499" s="2164"/>
      <c r="BB499" s="2164"/>
      <c r="BC499" s="2164"/>
      <c r="BD499" s="2164"/>
      <c r="BE499" s="2164"/>
      <c r="BF499" s="2164"/>
      <c r="BG499" s="4573"/>
    </row>
    <row customHeight="1" ht="11.25">
      <c r="A500" s="1507" t="s">
        <v>990</v>
      </c>
      <c r="B500" s="1507"/>
      <c r="C500" s="1507"/>
      <c r="D500" s="1501"/>
      <c r="E500" s="1511"/>
      <c r="F500" s="2170"/>
      <c r="G500" s="2171"/>
      <c r="H500" s="2856" t="s">
        <v>108</v>
      </c>
      <c r="I500" s="2857"/>
      <c r="J500" s="2826"/>
      <c r="K500" s="2858"/>
      <c r="L500" s="2448"/>
      <c r="M500" s="2449"/>
      <c r="N500" s="1516"/>
      <c r="O500" s="1517"/>
      <c r="P500" s="1509" t="s">
        <v>1038</v>
      </c>
      <c r="Q500" s="1517"/>
      <c r="R500" s="1517"/>
      <c r="S500" s="1517"/>
      <c r="T500" s="1517"/>
      <c r="U500" s="1517"/>
      <c r="V500" s="1517"/>
      <c r="W500" s="1517"/>
      <c r="X500" s="1517"/>
      <c r="Y500" s="1517"/>
      <c r="Z500" s="1517"/>
      <c r="AA500" s="1517"/>
      <c r="AB500" s="1517"/>
      <c r="AC500" s="1517"/>
      <c r="AD500" s="1517"/>
      <c r="AE500" s="1524"/>
      <c r="AF500" s="2847"/>
      <c r="AG500" s="2848"/>
      <c r="AH500" s="2848"/>
      <c r="AI500" s="2847"/>
      <c r="AJ500" s="2848"/>
      <c r="AK500" s="2848"/>
      <c r="AL500" s="2329"/>
      <c r="AM500" s="2164"/>
      <c r="AN500" s="2164"/>
      <c r="AO500" s="2164"/>
      <c r="AP500" s="2164"/>
      <c r="AQ500" s="2164"/>
      <c r="AR500" s="2164"/>
      <c r="AS500" s="2164"/>
      <c r="AT500" s="2164"/>
      <c r="AU500" s="2164"/>
      <c r="AV500" s="2164"/>
      <c r="AW500" s="2164"/>
      <c r="AX500" s="2164"/>
      <c r="AY500" s="2164"/>
      <c r="AZ500" s="2164"/>
      <c r="BA500" s="2164"/>
      <c r="BB500" s="2164"/>
      <c r="BC500" s="2164"/>
      <c r="BD500" s="2164"/>
      <c r="BE500" s="2164"/>
      <c r="BF500" s="2164"/>
      <c r="BG500" s="4573"/>
    </row>
    <row customHeight="1" ht="11.25">
      <c r="A501" s="1507" t="s">
        <v>990</v>
      </c>
      <c r="B501" s="1507" t="s">
        <v>22</v>
      </c>
      <c r="C501" s="1507"/>
      <c r="D501" s="1501"/>
      <c r="E501" s="1511"/>
      <c r="F501" s="2170"/>
      <c r="G501" s="4557" t="s">
        <v>684</v>
      </c>
      <c r="H501" s="2856" t="s">
        <v>93</v>
      </c>
      <c r="I501" s="2857" t="s">
        <v>1039</v>
      </c>
      <c r="J501" s="4694" t="s">
        <v>22</v>
      </c>
      <c r="K501" s="2858" t="s">
        <v>1109</v>
      </c>
      <c r="L501" s="2448" t="s">
        <v>19</v>
      </c>
      <c r="M501" s="2449"/>
      <c r="N501" s="2327"/>
      <c r="O501" s="1518" t="s">
        <v>371</v>
      </c>
      <c r="P501" s="1519"/>
      <c r="Q501" s="1519"/>
      <c r="R501" s="1519"/>
      <c r="S501" s="1519"/>
      <c r="T501" s="1519"/>
      <c r="U501" s="1519"/>
      <c r="V501" s="1519"/>
      <c r="W501" s="1519"/>
      <c r="X501" s="1519"/>
      <c r="Y501" s="1519"/>
      <c r="Z501" s="1519"/>
      <c r="AA501" s="1519"/>
      <c r="AB501" s="1519"/>
      <c r="AC501" s="1519"/>
      <c r="AD501" s="1519"/>
      <c r="AE501" s="1519"/>
      <c r="AF501" s="2847">
        <v>1</v>
      </c>
      <c r="AG501" s="2848" t="s">
        <v>1026</v>
      </c>
      <c r="AH501" s="2848" t="s">
        <v>1051</v>
      </c>
      <c r="AI501" s="2847"/>
      <c r="AJ501" s="2848"/>
      <c r="AK501" s="2848"/>
      <c r="AL501" s="2329"/>
      <c r="AM501" s="2164"/>
      <c r="AN501" s="2164"/>
      <c r="AO501" s="2164"/>
      <c r="AP501" s="2164"/>
      <c r="AQ501" s="2164"/>
      <c r="AR501" s="2164"/>
      <c r="AS501" s="2164"/>
      <c r="AT501" s="2164"/>
      <c r="AU501" s="2164"/>
      <c r="AV501" s="2164"/>
      <c r="AW501" s="2164"/>
      <c r="AX501" s="2164"/>
      <c r="AY501" s="2164"/>
      <c r="AZ501" s="2164"/>
      <c r="BA501" s="2164"/>
      <c r="BB501" s="2164"/>
      <c r="BC501" s="2164"/>
      <c r="BD501" s="2164"/>
      <c r="BE501" s="2164"/>
      <c r="BF501" s="2164"/>
      <c r="BG501" s="4573"/>
    </row>
    <row customHeight="1" ht="11.25">
      <c r="A502" s="1507" t="s">
        <v>990</v>
      </c>
      <c r="B502" s="1507"/>
      <c r="C502" s="1507"/>
      <c r="D502" s="1501"/>
      <c r="E502" s="1511"/>
      <c r="F502" s="2170"/>
      <c r="G502" s="2171"/>
      <c r="H502" s="2856" t="s">
        <v>92</v>
      </c>
      <c r="I502" s="2857"/>
      <c r="J502" s="4694"/>
      <c r="K502" s="2858"/>
      <c r="L502" s="2448"/>
      <c r="M502" s="2449"/>
      <c r="N502" s="2849"/>
      <c r="O502" s="2850">
        <v>1</v>
      </c>
      <c r="P502" s="2851" t="s">
        <v>19</v>
      </c>
      <c r="Q502" s="7507" t="s">
        <v>22</v>
      </c>
      <c r="R502" s="7508" t="s">
        <v>22</v>
      </c>
      <c r="S502" s="7508" t="s">
        <v>22</v>
      </c>
      <c r="T502" s="7508" t="s">
        <v>22</v>
      </c>
      <c r="U502" s="7508" t="s">
        <v>22</v>
      </c>
      <c r="V502" s="7508" t="s">
        <v>22</v>
      </c>
      <c r="W502" s="7508" t="s">
        <v>22</v>
      </c>
      <c r="X502" s="7508" t="s">
        <v>22</v>
      </c>
      <c r="Y502" s="7508" t="s">
        <v>22</v>
      </c>
      <c r="Z502" s="1516"/>
      <c r="AA502" s="1517"/>
      <c r="AB502" s="1517"/>
      <c r="AC502" s="1521"/>
      <c r="AD502" s="1521"/>
      <c r="AE502" s="1522"/>
      <c r="AF502" s="2847"/>
      <c r="AG502" s="2848"/>
      <c r="AH502" s="2848"/>
      <c r="AI502" s="2847"/>
      <c r="AJ502" s="2848"/>
      <c r="AK502" s="2848"/>
      <c r="AL502" s="2329"/>
      <c r="AM502" s="2164"/>
      <c r="AN502" s="2164"/>
      <c r="AO502" s="2164"/>
      <c r="AP502" s="2164"/>
      <c r="AQ502" s="2164"/>
      <c r="AR502" s="2164"/>
      <c r="AS502" s="2164"/>
      <c r="AT502" s="2164"/>
      <c r="AU502" s="2164"/>
      <c r="AV502" s="2164"/>
      <c r="AW502" s="2164"/>
      <c r="AX502" s="2164"/>
      <c r="AY502" s="2164"/>
      <c r="AZ502" s="2164"/>
      <c r="BA502" s="2164"/>
      <c r="BB502" s="2164"/>
      <c r="BC502" s="2164"/>
      <c r="BD502" s="2164"/>
      <c r="BE502" s="2164"/>
      <c r="BF502" s="2164"/>
      <c r="BG502" s="4573"/>
    </row>
    <row customHeight="1" ht="11.25">
      <c r="A503" s="1507" t="s">
        <v>990</v>
      </c>
      <c r="B503" s="1507"/>
      <c r="C503" s="1507"/>
      <c r="D503" s="1501"/>
      <c r="E503" s="1511"/>
      <c r="F503" s="2170"/>
      <c r="G503" s="2171"/>
      <c r="H503" s="2856" t="s">
        <v>92</v>
      </c>
      <c r="I503" s="2857"/>
      <c r="J503" s="4694"/>
      <c r="K503" s="2858"/>
      <c r="L503" s="2448"/>
      <c r="M503" s="2449"/>
      <c r="N503" s="2849"/>
      <c r="O503" s="2850"/>
      <c r="P503" s="2852"/>
      <c r="Q503" s="4672"/>
      <c r="R503" s="2854"/>
      <c r="S503" s="2855"/>
      <c r="T503" s="2854"/>
      <c r="U503" s="2854"/>
      <c r="V503" s="2854"/>
      <c r="W503" s="2854"/>
      <c r="X503" s="2854"/>
      <c r="Y503" s="2854"/>
      <c r="Z503" s="2169"/>
      <c r="AA503" s="2135">
        <v>1</v>
      </c>
      <c r="AB503" s="1520" t="s">
        <v>1035</v>
      </c>
      <c r="AC503" s="1510">
        <v>752.07462</v>
      </c>
      <c r="AD503" s="1520" t="str">
        <f>AB503</f>
        <v>      Амортизационные отчисления с выделением результатов переоценки основных средств и нематериальных активов</v>
      </c>
      <c r="AE503" s="1510"/>
      <c r="AF503" s="2847"/>
      <c r="AG503" s="2848"/>
      <c r="AH503" s="2848"/>
      <c r="AI503" s="2847"/>
      <c r="AJ503" s="2848"/>
      <c r="AK503" s="2848"/>
      <c r="AL503" s="2329"/>
      <c r="AM503" s="2164"/>
      <c r="AN503" s="2164"/>
      <c r="AO503" s="2164"/>
      <c r="AP503" s="2164"/>
      <c r="AQ503" s="2164"/>
      <c r="AR503" s="2164"/>
      <c r="AS503" s="2164"/>
      <c r="AT503" s="2164"/>
      <c r="AU503" s="2164"/>
      <c r="AV503" s="2164"/>
      <c r="AW503" s="2164"/>
      <c r="AX503" s="2164"/>
      <c r="AY503" s="2164"/>
      <c r="AZ503" s="2164"/>
      <c r="BA503" s="2164"/>
      <c r="BB503" s="2164"/>
      <c r="BC503" s="2164"/>
      <c r="BD503" s="2164"/>
      <c r="BE503" s="2164"/>
      <c r="BF503" s="2164"/>
      <c r="BG503" s="4573"/>
    </row>
    <row customHeight="1" ht="11.25">
      <c r="A504" s="1507" t="s">
        <v>990</v>
      </c>
      <c r="B504" s="1507"/>
      <c r="C504" s="1507"/>
      <c r="D504" s="1501"/>
      <c r="E504" s="1511"/>
      <c r="F504" s="2171"/>
      <c r="G504" s="2171"/>
      <c r="H504" s="2171"/>
      <c r="I504" s="2171"/>
      <c r="J504" s="2171"/>
      <c r="K504" s="2171"/>
      <c r="L504" s="2171"/>
      <c r="M504" s="2171"/>
      <c r="N504" s="2171"/>
      <c r="O504" s="2171"/>
      <c r="P504" s="2171"/>
      <c r="Q504" s="2171"/>
      <c r="R504" s="2171"/>
      <c r="S504" s="2171"/>
      <c r="T504" s="2171"/>
      <c r="U504" s="2171"/>
      <c r="V504" s="2171"/>
      <c r="W504" s="2171"/>
      <c r="X504" s="2171"/>
      <c r="Y504" s="2171"/>
      <c r="Z504" s="4557" t="s">
        <v>684</v>
      </c>
      <c r="AA504" s="2155" t="s">
        <v>107</v>
      </c>
      <c r="AB504" s="1520" t="s">
        <v>1036</v>
      </c>
      <c r="AC504" s="1510">
        <v>24386.41049</v>
      </c>
      <c r="AD504" s="1520" t="str">
        <f>AB504</f>
        <v>  Прочие собственные средства</v>
      </c>
      <c r="AE504" s="1510"/>
      <c r="AF504" s="2172"/>
      <c r="AG504" s="2100"/>
      <c r="AH504" s="2100"/>
      <c r="AI504" s="2172"/>
      <c r="AJ504" s="2100"/>
      <c r="AK504" s="2328"/>
      <c r="AL504" s="2329"/>
      <c r="AM504" s="2164"/>
      <c r="AN504" s="2164"/>
      <c r="AO504" s="2164"/>
      <c r="AP504" s="2164"/>
      <c r="AQ504" s="2164"/>
      <c r="AR504" s="2164"/>
      <c r="AS504" s="2164"/>
      <c r="AT504" s="2164"/>
      <c r="AU504" s="2164"/>
      <c r="AV504" s="2164"/>
      <c r="AW504" s="2164"/>
      <c r="AX504" s="2164"/>
      <c r="AY504" s="2164"/>
      <c r="AZ504" s="2164"/>
      <c r="BA504" s="2164"/>
      <c r="BB504" s="2164"/>
      <c r="BC504" s="2164"/>
      <c r="BD504" s="2164"/>
      <c r="BE504" s="2164"/>
      <c r="BF504" s="2164"/>
      <c r="BG504" s="4573"/>
    </row>
    <row customHeight="1" ht="11.25">
      <c r="A505" s="1507" t="s">
        <v>990</v>
      </c>
      <c r="B505" s="1507"/>
      <c r="C505" s="1507"/>
      <c r="D505" s="1501"/>
      <c r="E505" s="1511"/>
      <c r="F505" s="2170"/>
      <c r="G505" s="2171"/>
      <c r="H505" s="2856" t="s">
        <v>92</v>
      </c>
      <c r="I505" s="2857"/>
      <c r="J505" s="4694"/>
      <c r="K505" s="2858"/>
      <c r="L505" s="2448"/>
      <c r="M505" s="2449"/>
      <c r="N505" s="2849"/>
      <c r="O505" s="2850"/>
      <c r="P505" s="2853"/>
      <c r="Q505" s="4672"/>
      <c r="R505" s="2854"/>
      <c r="S505" s="2855"/>
      <c r="T505" s="2854"/>
      <c r="U505" s="2854"/>
      <c r="V505" s="2854"/>
      <c r="W505" s="2854"/>
      <c r="X505" s="2854"/>
      <c r="Y505" s="2854"/>
      <c r="Z505" s="1516"/>
      <c r="AA505" s="1517"/>
      <c r="AB505" s="1582" t="s">
        <v>1037</v>
      </c>
      <c r="AC505" s="1521"/>
      <c r="AD505" s="1521"/>
      <c r="AE505" s="1523"/>
      <c r="AF505" s="2847"/>
      <c r="AG505" s="2848"/>
      <c r="AH505" s="2848"/>
      <c r="AI505" s="2847"/>
      <c r="AJ505" s="2848"/>
      <c r="AK505" s="2848"/>
      <c r="AL505" s="2329"/>
      <c r="AM505" s="2164"/>
      <c r="AN505" s="2164"/>
      <c r="AO505" s="2164"/>
      <c r="AP505" s="2164"/>
      <c r="AQ505" s="2164"/>
      <c r="AR505" s="2164"/>
      <c r="AS505" s="2164"/>
      <c r="AT505" s="2164"/>
      <c r="AU505" s="2164"/>
      <c r="AV505" s="2164"/>
      <c r="AW505" s="2164"/>
      <c r="AX505" s="2164"/>
      <c r="AY505" s="2164"/>
      <c r="AZ505" s="2164"/>
      <c r="BA505" s="2164"/>
      <c r="BB505" s="2164"/>
      <c r="BC505" s="2164"/>
      <c r="BD505" s="2164"/>
      <c r="BE505" s="2164"/>
      <c r="BF505" s="2164"/>
      <c r="BG505" s="4573"/>
    </row>
    <row customHeight="1" ht="11.25">
      <c r="A506" s="1507" t="s">
        <v>990</v>
      </c>
      <c r="B506" s="1507"/>
      <c r="C506" s="1507"/>
      <c r="D506" s="1501"/>
      <c r="E506" s="1511"/>
      <c r="F506" s="2170"/>
      <c r="G506" s="2171"/>
      <c r="H506" s="2856" t="s">
        <v>92</v>
      </c>
      <c r="I506" s="2857"/>
      <c r="J506" s="4694"/>
      <c r="K506" s="2858"/>
      <c r="L506" s="2448"/>
      <c r="M506" s="2449"/>
      <c r="N506" s="1516"/>
      <c r="O506" s="1517"/>
      <c r="P506" s="1509" t="s">
        <v>1038</v>
      </c>
      <c r="Q506" s="1517"/>
      <c r="R506" s="1517"/>
      <c r="S506" s="1517"/>
      <c r="T506" s="1517"/>
      <c r="U506" s="1517"/>
      <c r="V506" s="1517"/>
      <c r="W506" s="1517"/>
      <c r="X506" s="1517"/>
      <c r="Y506" s="1517"/>
      <c r="Z506" s="1517"/>
      <c r="AA506" s="1517"/>
      <c r="AB506" s="1517"/>
      <c r="AC506" s="1517"/>
      <c r="AD506" s="1517"/>
      <c r="AE506" s="1524"/>
      <c r="AF506" s="2847"/>
      <c r="AG506" s="2848"/>
      <c r="AH506" s="2848"/>
      <c r="AI506" s="2847"/>
      <c r="AJ506" s="2848"/>
      <c r="AK506" s="2848"/>
      <c r="AL506" s="2329"/>
      <c r="AM506" s="2164"/>
      <c r="AN506" s="2164"/>
      <c r="AO506" s="2164"/>
      <c r="AP506" s="2164"/>
      <c r="AQ506" s="2164"/>
      <c r="AR506" s="2164"/>
      <c r="AS506" s="2164"/>
      <c r="AT506" s="2164"/>
      <c r="AU506" s="2164"/>
      <c r="AV506" s="2164"/>
      <c r="AW506" s="2164"/>
      <c r="AX506" s="2164"/>
      <c r="AY506" s="2164"/>
      <c r="AZ506" s="2164"/>
      <c r="BA506" s="2164"/>
      <c r="BB506" s="2164"/>
      <c r="BC506" s="2164"/>
      <c r="BD506" s="2164"/>
      <c r="BE506" s="2164"/>
      <c r="BF506" s="2164"/>
      <c r="BG506" s="4573"/>
    </row>
    <row customHeight="1" ht="11.25">
      <c r="A507" s="1507" t="s">
        <v>990</v>
      </c>
      <c r="B507" s="1507" t="s">
        <v>22</v>
      </c>
      <c r="C507" s="1507"/>
      <c r="D507" s="1501"/>
      <c r="E507" s="1511"/>
      <c r="F507" s="2170"/>
      <c r="G507" s="7510" t="s">
        <v>684</v>
      </c>
      <c r="H507" s="2856" t="s">
        <v>109</v>
      </c>
      <c r="I507" s="2857" t="s">
        <v>1119</v>
      </c>
      <c r="J507" s="7514" t="s">
        <v>22</v>
      </c>
      <c r="K507" s="2858" t="s">
        <v>1120</v>
      </c>
      <c r="L507" s="2448" t="s">
        <v>19</v>
      </c>
      <c r="M507" s="2449"/>
      <c r="N507" s="2327"/>
      <c r="O507" s="1518" t="s">
        <v>371</v>
      </c>
      <c r="P507" s="1519"/>
      <c r="Q507" s="1519"/>
      <c r="R507" s="1519"/>
      <c r="S507" s="1519"/>
      <c r="T507" s="1519"/>
      <c r="U507" s="1519"/>
      <c r="V507" s="1519"/>
      <c r="W507" s="1519"/>
      <c r="X507" s="1519"/>
      <c r="Y507" s="1519"/>
      <c r="Z507" s="1519"/>
      <c r="AA507" s="1519"/>
      <c r="AB507" s="1519"/>
      <c r="AC507" s="1519"/>
      <c r="AD507" s="1519"/>
      <c r="AE507" s="1519"/>
      <c r="AF507" s="2847">
        <v>6</v>
      </c>
      <c r="AG507" s="2848" t="s">
        <v>1026</v>
      </c>
      <c r="AH507" s="2848" t="s">
        <v>1104</v>
      </c>
      <c r="AI507" s="2847"/>
      <c r="AJ507" s="2848"/>
      <c r="AK507" s="2848"/>
      <c r="AL507" s="2329"/>
      <c r="AM507" s="2164"/>
      <c r="AN507" s="2164"/>
      <c r="AO507" s="2164"/>
      <c r="AP507" s="2164"/>
      <c r="AQ507" s="2164"/>
      <c r="AR507" s="2164"/>
      <c r="AS507" s="2164"/>
      <c r="AT507" s="2164"/>
      <c r="AU507" s="2164"/>
      <c r="AV507" s="2164"/>
      <c r="AW507" s="2164"/>
      <c r="AX507" s="2164"/>
      <c r="AY507" s="2164"/>
      <c r="AZ507" s="2164"/>
      <c r="BA507" s="2164"/>
      <c r="BB507" s="2164"/>
      <c r="BC507" s="2164"/>
      <c r="BD507" s="2164"/>
      <c r="BE507" s="2164"/>
      <c r="BF507" s="2164"/>
      <c r="BG507" s="7511"/>
    </row>
    <row customHeight="1" ht="11.25">
      <c r="A508" s="1507" t="s">
        <v>990</v>
      </c>
      <c r="B508" s="1507"/>
      <c r="C508" s="1507"/>
      <c r="D508" s="1501"/>
      <c r="E508" s="1511"/>
      <c r="F508" s="2170"/>
      <c r="G508" s="2171"/>
      <c r="H508" s="2856" t="s">
        <v>93</v>
      </c>
      <c r="I508" s="2857"/>
      <c r="J508" s="7514"/>
      <c r="K508" s="2858"/>
      <c r="L508" s="2448"/>
      <c r="M508" s="2449"/>
      <c r="N508" s="2849"/>
      <c r="O508" s="2850">
        <v>1</v>
      </c>
      <c r="P508" s="2851" t="s">
        <v>65</v>
      </c>
      <c r="Q508" s="7512" t="s">
        <v>1105</v>
      </c>
      <c r="R508" s="7513" t="s">
        <v>1083</v>
      </c>
      <c r="S508" s="7513" t="s">
        <v>1030</v>
      </c>
      <c r="T508" s="7513" t="s">
        <v>1030</v>
      </c>
      <c r="U508" s="7513" t="s">
        <v>1031</v>
      </c>
      <c r="V508" s="7513" t="s">
        <v>1032</v>
      </c>
      <c r="W508" s="7513" t="s">
        <v>1033</v>
      </c>
      <c r="X508" s="7513" t="s">
        <v>1106</v>
      </c>
      <c r="Y508" s="7513" t="s">
        <v>1107</v>
      </c>
      <c r="Z508" s="1516"/>
      <c r="AA508" s="1517"/>
      <c r="AB508" s="1517"/>
      <c r="AC508" s="1521"/>
      <c r="AD508" s="1521"/>
      <c r="AE508" s="1522"/>
      <c r="AF508" s="2847"/>
      <c r="AG508" s="2848"/>
      <c r="AH508" s="2848"/>
      <c r="AI508" s="2847"/>
      <c r="AJ508" s="2848"/>
      <c r="AK508" s="2848"/>
      <c r="AL508" s="2329"/>
      <c r="AM508" s="2164"/>
      <c r="AN508" s="2164"/>
      <c r="AO508" s="2164"/>
      <c r="AP508" s="2164"/>
      <c r="AQ508" s="2164"/>
      <c r="AR508" s="2164"/>
      <c r="AS508" s="2164"/>
      <c r="AT508" s="2164"/>
      <c r="AU508" s="2164"/>
      <c r="AV508" s="2164"/>
      <c r="AW508" s="2164"/>
      <c r="AX508" s="2164"/>
      <c r="AY508" s="2164"/>
      <c r="AZ508" s="2164"/>
      <c r="BA508" s="2164"/>
      <c r="BB508" s="2164"/>
      <c r="BC508" s="2164"/>
      <c r="BD508" s="2164"/>
      <c r="BE508" s="2164"/>
      <c r="BF508" s="2164"/>
      <c r="BG508" s="7511"/>
    </row>
    <row customHeight="1" ht="11.25">
      <c r="A509" s="1507" t="s">
        <v>990</v>
      </c>
      <c r="B509" s="1507"/>
      <c r="C509" s="1507"/>
      <c r="D509" s="1501"/>
      <c r="E509" s="1511"/>
      <c r="F509" s="2170"/>
      <c r="G509" s="2171"/>
      <c r="H509" s="2856" t="s">
        <v>93</v>
      </c>
      <c r="I509" s="2857"/>
      <c r="J509" s="7514"/>
      <c r="K509" s="2858"/>
      <c r="L509" s="2448"/>
      <c r="M509" s="2449"/>
      <c r="N509" s="2849"/>
      <c r="O509" s="2850"/>
      <c r="P509" s="2852"/>
      <c r="Q509" s="7512"/>
      <c r="R509" s="2854"/>
      <c r="S509" s="2855"/>
      <c r="T509" s="2854"/>
      <c r="U509" s="2854"/>
      <c r="V509" s="2854"/>
      <c r="W509" s="2854"/>
      <c r="X509" s="2854"/>
      <c r="Y509" s="2854"/>
      <c r="Z509" s="2169"/>
      <c r="AA509" s="2135">
        <v>1</v>
      </c>
      <c r="AB509" s="1520" t="s">
        <v>1035</v>
      </c>
      <c r="AC509" s="1510">
        <v>28000</v>
      </c>
      <c r="AD509" s="1520" t="str">
        <f>AB509</f>
        <v>      Амортизационные отчисления с выделением результатов переоценки основных средств и нематериальных активов</v>
      </c>
      <c r="AE509" s="1510"/>
      <c r="AF509" s="2847"/>
      <c r="AG509" s="2848"/>
      <c r="AH509" s="2848"/>
      <c r="AI509" s="2847"/>
      <c r="AJ509" s="2848"/>
      <c r="AK509" s="2848"/>
      <c r="AL509" s="2329"/>
      <c r="AM509" s="2164"/>
      <c r="AN509" s="2164"/>
      <c r="AO509" s="2164"/>
      <c r="AP509" s="2164"/>
      <c r="AQ509" s="2164"/>
      <c r="AR509" s="2164"/>
      <c r="AS509" s="2164"/>
      <c r="AT509" s="2164"/>
      <c r="AU509" s="2164"/>
      <c r="AV509" s="2164"/>
      <c r="AW509" s="2164"/>
      <c r="AX509" s="2164"/>
      <c r="AY509" s="2164"/>
      <c r="AZ509" s="2164"/>
      <c r="BA509" s="2164"/>
      <c r="BB509" s="2164"/>
      <c r="BC509" s="2164"/>
      <c r="BD509" s="2164"/>
      <c r="BE509" s="2164"/>
      <c r="BF509" s="2164"/>
      <c r="BG509" s="7511"/>
    </row>
    <row customHeight="1" ht="11.25">
      <c r="A510" s="1507" t="s">
        <v>990</v>
      </c>
      <c r="B510" s="1507"/>
      <c r="C510" s="1507"/>
      <c r="D510" s="1501"/>
      <c r="E510" s="1511"/>
      <c r="F510" s="2171"/>
      <c r="G510" s="2171"/>
      <c r="H510" s="2171"/>
      <c r="I510" s="2171"/>
      <c r="J510" s="2171"/>
      <c r="K510" s="2171"/>
      <c r="L510" s="2171"/>
      <c r="M510" s="2171"/>
      <c r="N510" s="2171"/>
      <c r="O510" s="2171"/>
      <c r="P510" s="2171"/>
      <c r="Q510" s="2171"/>
      <c r="R510" s="2171"/>
      <c r="S510" s="2171"/>
      <c r="T510" s="2171"/>
      <c r="U510" s="2171"/>
      <c r="V510" s="2171"/>
      <c r="W510" s="2171"/>
      <c r="X510" s="2171"/>
      <c r="Y510" s="2171"/>
      <c r="Z510" s="7510" t="s">
        <v>684</v>
      </c>
      <c r="AA510" s="2155" t="s">
        <v>107</v>
      </c>
      <c r="AB510" s="1520" t="s">
        <v>1036</v>
      </c>
      <c r="AC510" s="1510">
        <v>5600</v>
      </c>
      <c r="AD510" s="1520" t="str">
        <f>AB510</f>
        <v>  Прочие собственные средства</v>
      </c>
      <c r="AE510" s="1510"/>
      <c r="AF510" s="2172"/>
      <c r="AG510" s="2100"/>
      <c r="AH510" s="2100"/>
      <c r="AI510" s="2172"/>
      <c r="AJ510" s="2100"/>
      <c r="AK510" s="2328"/>
      <c r="AL510" s="2329"/>
      <c r="AM510" s="2164"/>
      <c r="AN510" s="2164"/>
      <c r="AO510" s="2164"/>
      <c r="AP510" s="2164"/>
      <c r="AQ510" s="2164"/>
      <c r="AR510" s="2164"/>
      <c r="AS510" s="2164"/>
      <c r="AT510" s="2164"/>
      <c r="AU510" s="2164"/>
      <c r="AV510" s="2164"/>
      <c r="AW510" s="2164"/>
      <c r="AX510" s="2164"/>
      <c r="AY510" s="2164"/>
      <c r="AZ510" s="2164"/>
      <c r="BA510" s="2164"/>
      <c r="BB510" s="2164"/>
      <c r="BC510" s="2164"/>
      <c r="BD510" s="2164"/>
      <c r="BE510" s="2164"/>
      <c r="BF510" s="2164"/>
      <c r="BG510" s="7511"/>
    </row>
    <row customHeight="1" ht="11.25">
      <c r="A511" s="1507" t="s">
        <v>990</v>
      </c>
      <c r="B511" s="1507"/>
      <c r="C511" s="1507"/>
      <c r="D511" s="1501"/>
      <c r="E511" s="1511"/>
      <c r="F511" s="2170"/>
      <c r="G511" s="2171"/>
      <c r="H511" s="2856" t="s">
        <v>93</v>
      </c>
      <c r="I511" s="2857"/>
      <c r="J511" s="7514"/>
      <c r="K511" s="2858"/>
      <c r="L511" s="2448"/>
      <c r="M511" s="2449"/>
      <c r="N511" s="2849"/>
      <c r="O511" s="2850"/>
      <c r="P511" s="2853"/>
      <c r="Q511" s="7512"/>
      <c r="R511" s="2854"/>
      <c r="S511" s="2855"/>
      <c r="T511" s="2854"/>
      <c r="U511" s="2854"/>
      <c r="V511" s="2854"/>
      <c r="W511" s="2854"/>
      <c r="X511" s="2854"/>
      <c r="Y511" s="2854"/>
      <c r="Z511" s="1516"/>
      <c r="AA511" s="1517"/>
      <c r="AB511" s="1582" t="s">
        <v>1037</v>
      </c>
      <c r="AC511" s="1521"/>
      <c r="AD511" s="1521"/>
      <c r="AE511" s="1523"/>
      <c r="AF511" s="2847"/>
      <c r="AG511" s="2848"/>
      <c r="AH511" s="2848"/>
      <c r="AI511" s="2847"/>
      <c r="AJ511" s="2848"/>
      <c r="AK511" s="2848"/>
      <c r="AL511" s="2329"/>
      <c r="AM511" s="2164"/>
      <c r="AN511" s="2164"/>
      <c r="AO511" s="2164"/>
      <c r="AP511" s="2164"/>
      <c r="AQ511" s="2164"/>
      <c r="AR511" s="2164"/>
      <c r="AS511" s="2164"/>
      <c r="AT511" s="2164"/>
      <c r="AU511" s="2164"/>
      <c r="AV511" s="2164"/>
      <c r="AW511" s="2164"/>
      <c r="AX511" s="2164"/>
      <c r="AY511" s="2164"/>
      <c r="AZ511" s="2164"/>
      <c r="BA511" s="2164"/>
      <c r="BB511" s="2164"/>
      <c r="BC511" s="2164"/>
      <c r="BD511" s="2164"/>
      <c r="BE511" s="2164"/>
      <c r="BF511" s="2164"/>
      <c r="BG511" s="7511"/>
    </row>
    <row customHeight="1" ht="11.25">
      <c r="A512" s="1507" t="s">
        <v>990</v>
      </c>
      <c r="B512" s="1507"/>
      <c r="C512" s="1507"/>
      <c r="D512" s="1501"/>
      <c r="E512" s="1511"/>
      <c r="F512" s="2170"/>
      <c r="G512" s="2171"/>
      <c r="H512" s="2856" t="s">
        <v>93</v>
      </c>
      <c r="I512" s="2857"/>
      <c r="J512" s="7514"/>
      <c r="K512" s="2858"/>
      <c r="L512" s="2448"/>
      <c r="M512" s="2449"/>
      <c r="N512" s="1516"/>
      <c r="O512" s="1517"/>
      <c r="P512" s="1509" t="s">
        <v>1038</v>
      </c>
      <c r="Q512" s="1517"/>
      <c r="R512" s="1517"/>
      <c r="S512" s="1517"/>
      <c r="T512" s="1517"/>
      <c r="U512" s="1517"/>
      <c r="V512" s="1517"/>
      <c r="W512" s="1517"/>
      <c r="X512" s="1517"/>
      <c r="Y512" s="1517"/>
      <c r="Z512" s="1517"/>
      <c r="AA512" s="1517"/>
      <c r="AB512" s="1517"/>
      <c r="AC512" s="1517"/>
      <c r="AD512" s="1517"/>
      <c r="AE512" s="1524"/>
      <c r="AF512" s="2847"/>
      <c r="AG512" s="2848"/>
      <c r="AH512" s="2848"/>
      <c r="AI512" s="2847"/>
      <c r="AJ512" s="2848"/>
      <c r="AK512" s="2848"/>
      <c r="AL512" s="2329"/>
      <c r="AM512" s="2164"/>
      <c r="AN512" s="2164"/>
      <c r="AO512" s="2164"/>
      <c r="AP512" s="2164"/>
      <c r="AQ512" s="2164"/>
      <c r="AR512" s="2164"/>
      <c r="AS512" s="2164"/>
      <c r="AT512" s="2164"/>
      <c r="AU512" s="2164"/>
      <c r="AV512" s="2164"/>
      <c r="AW512" s="2164"/>
      <c r="AX512" s="2164"/>
      <c r="AY512" s="2164"/>
      <c r="AZ512" s="2164"/>
      <c r="BA512" s="2164"/>
      <c r="BB512" s="2164"/>
      <c r="BC512" s="2164"/>
      <c r="BD512" s="2164"/>
      <c r="BE512" s="2164"/>
      <c r="BF512" s="2164"/>
      <c r="BG512" s="7511"/>
    </row>
    <row customHeight="1" ht="11.25">
      <c r="A513" s="1507" t="s">
        <v>990</v>
      </c>
      <c r="B513" s="1507" t="s">
        <v>1022</v>
      </c>
      <c r="C513" s="1507"/>
      <c r="D513" s="1501"/>
      <c r="E513" s="1511"/>
      <c r="F513" s="2170"/>
      <c r="G513" s="7510" t="s">
        <v>684</v>
      </c>
      <c r="H513" s="2856" t="s">
        <v>145</v>
      </c>
      <c r="I513" s="2857" t="s">
        <v>1023</v>
      </c>
      <c r="J513" s="2826" t="s">
        <v>1071</v>
      </c>
      <c r="K513" s="2858" t="s">
        <v>1124</v>
      </c>
      <c r="L513" s="2448" t="s">
        <v>19</v>
      </c>
      <c r="M513" s="2449"/>
      <c r="N513" s="2327"/>
      <c r="O513" s="1518" t="s">
        <v>371</v>
      </c>
      <c r="P513" s="1519"/>
      <c r="Q513" s="1519"/>
      <c r="R513" s="1519"/>
      <c r="S513" s="1519"/>
      <c r="T513" s="1519"/>
      <c r="U513" s="1519"/>
      <c r="V513" s="1519"/>
      <c r="W513" s="1519"/>
      <c r="X513" s="1519"/>
      <c r="Y513" s="1519"/>
      <c r="Z513" s="1519"/>
      <c r="AA513" s="1519"/>
      <c r="AB513" s="1519"/>
      <c r="AC513" s="1519"/>
      <c r="AD513" s="1519"/>
      <c r="AE513" s="1519"/>
      <c r="AF513" s="2847">
        <v>6</v>
      </c>
      <c r="AG513" s="2848" t="s">
        <v>1026</v>
      </c>
      <c r="AH513" s="2848" t="s">
        <v>1104</v>
      </c>
      <c r="AI513" s="2847"/>
      <c r="AJ513" s="2848"/>
      <c r="AK513" s="2848"/>
      <c r="AL513" s="2329"/>
      <c r="AM513" s="2164"/>
      <c r="AN513" s="2164"/>
      <c r="AO513" s="2164"/>
      <c r="AP513" s="2164"/>
      <c r="AQ513" s="2164"/>
      <c r="AR513" s="2164"/>
      <c r="AS513" s="2164"/>
      <c r="AT513" s="2164"/>
      <c r="AU513" s="2164"/>
      <c r="AV513" s="2164"/>
      <c r="AW513" s="2164"/>
      <c r="AX513" s="2164"/>
      <c r="AY513" s="2164"/>
      <c r="AZ513" s="2164"/>
      <c r="BA513" s="2164"/>
      <c r="BB513" s="2164"/>
      <c r="BC513" s="2164"/>
      <c r="BD513" s="2164"/>
      <c r="BE513" s="2164"/>
      <c r="BF513" s="2164"/>
      <c r="BG513" s="7511"/>
    </row>
    <row customHeight="1" ht="11.25">
      <c r="A514" s="1507" t="s">
        <v>990</v>
      </c>
      <c r="B514" s="1507"/>
      <c r="C514" s="1507"/>
      <c r="D514" s="1501"/>
      <c r="E514" s="1511"/>
      <c r="F514" s="2170"/>
      <c r="G514" s="2171"/>
      <c r="H514" s="2856" t="s">
        <v>109</v>
      </c>
      <c r="I514" s="2857"/>
      <c r="J514" s="2826"/>
      <c r="K514" s="2858"/>
      <c r="L514" s="2448"/>
      <c r="M514" s="2449"/>
      <c r="N514" s="2849"/>
      <c r="O514" s="2850">
        <v>1</v>
      </c>
      <c r="P514" s="2851" t="s">
        <v>65</v>
      </c>
      <c r="Q514" s="7512" t="s">
        <v>1105</v>
      </c>
      <c r="R514" s="7513" t="s">
        <v>1083</v>
      </c>
      <c r="S514" s="7513" t="s">
        <v>1030</v>
      </c>
      <c r="T514" s="7513" t="s">
        <v>1030</v>
      </c>
      <c r="U514" s="7513" t="s">
        <v>1031</v>
      </c>
      <c r="V514" s="7513" t="s">
        <v>1032</v>
      </c>
      <c r="W514" s="7513" t="s">
        <v>1033</v>
      </c>
      <c r="X514" s="7513" t="s">
        <v>1106</v>
      </c>
      <c r="Y514" s="7513" t="s">
        <v>1107</v>
      </c>
      <c r="Z514" s="1516"/>
      <c r="AA514" s="1517"/>
      <c r="AB514" s="1517"/>
      <c r="AC514" s="1521"/>
      <c r="AD514" s="1521"/>
      <c r="AE514" s="1522"/>
      <c r="AF514" s="2847"/>
      <c r="AG514" s="2848"/>
      <c r="AH514" s="2848"/>
      <c r="AI514" s="2847"/>
      <c r="AJ514" s="2848"/>
      <c r="AK514" s="2848"/>
      <c r="AL514" s="2329"/>
      <c r="AM514" s="2164"/>
      <c r="AN514" s="2164"/>
      <c r="AO514" s="2164"/>
      <c r="AP514" s="2164"/>
      <c r="AQ514" s="2164"/>
      <c r="AR514" s="2164"/>
      <c r="AS514" s="2164"/>
      <c r="AT514" s="2164"/>
      <c r="AU514" s="2164"/>
      <c r="AV514" s="2164"/>
      <c r="AW514" s="2164"/>
      <c r="AX514" s="2164"/>
      <c r="AY514" s="2164"/>
      <c r="AZ514" s="2164"/>
      <c r="BA514" s="2164"/>
      <c r="BB514" s="2164"/>
      <c r="BC514" s="2164"/>
      <c r="BD514" s="2164"/>
      <c r="BE514" s="2164"/>
      <c r="BF514" s="2164"/>
      <c r="BG514" s="7511"/>
    </row>
    <row customHeight="1" ht="11.25">
      <c r="A515" s="1507" t="s">
        <v>990</v>
      </c>
      <c r="B515" s="1507"/>
      <c r="C515" s="1507"/>
      <c r="D515" s="1501"/>
      <c r="E515" s="1511"/>
      <c r="F515" s="2170"/>
      <c r="G515" s="2171"/>
      <c r="H515" s="2856" t="s">
        <v>109</v>
      </c>
      <c r="I515" s="2857"/>
      <c r="J515" s="2826"/>
      <c r="K515" s="2858"/>
      <c r="L515" s="2448"/>
      <c r="M515" s="2449"/>
      <c r="N515" s="2849"/>
      <c r="O515" s="2850"/>
      <c r="P515" s="2852"/>
      <c r="Q515" s="7512"/>
      <c r="R515" s="2854"/>
      <c r="S515" s="2855"/>
      <c r="T515" s="2854"/>
      <c r="U515" s="2854"/>
      <c r="V515" s="2854"/>
      <c r="W515" s="2854"/>
      <c r="X515" s="2854"/>
      <c r="Y515" s="2854"/>
      <c r="Z515" s="2169"/>
      <c r="AA515" s="2135">
        <v>1</v>
      </c>
      <c r="AB515" s="1520" t="s">
        <v>1070</v>
      </c>
      <c r="AC515" s="1510">
        <v>118010.84</v>
      </c>
      <c r="AD515" s="1520" t="str">
        <f>AB515</f>
        <v>  За счет платы за технологическое присоединение</v>
      </c>
      <c r="AE515" s="1510"/>
      <c r="AF515" s="2847"/>
      <c r="AG515" s="2848"/>
      <c r="AH515" s="2848"/>
      <c r="AI515" s="2847"/>
      <c r="AJ515" s="2848"/>
      <c r="AK515" s="2848"/>
      <c r="AL515" s="2329"/>
      <c r="AM515" s="2164"/>
      <c r="AN515" s="2164"/>
      <c r="AO515" s="2164"/>
      <c r="AP515" s="2164"/>
      <c r="AQ515" s="2164"/>
      <c r="AR515" s="2164"/>
      <c r="AS515" s="2164"/>
      <c r="AT515" s="2164"/>
      <c r="AU515" s="2164"/>
      <c r="AV515" s="2164"/>
      <c r="AW515" s="2164"/>
      <c r="AX515" s="2164"/>
      <c r="AY515" s="2164"/>
      <c r="AZ515" s="2164"/>
      <c r="BA515" s="2164"/>
      <c r="BB515" s="2164"/>
      <c r="BC515" s="2164"/>
      <c r="BD515" s="2164"/>
      <c r="BE515" s="2164"/>
      <c r="BF515" s="2164"/>
      <c r="BG515" s="7511"/>
    </row>
    <row customHeight="1" ht="11.25">
      <c r="A516" s="1507" t="s">
        <v>990</v>
      </c>
      <c r="B516" s="1507"/>
      <c r="C516" s="1507"/>
      <c r="D516" s="1501"/>
      <c r="E516" s="1511"/>
      <c r="F516" s="2171"/>
      <c r="G516" s="2171"/>
      <c r="H516" s="2171"/>
      <c r="I516" s="2171"/>
      <c r="J516" s="2171"/>
      <c r="K516" s="2171"/>
      <c r="L516" s="2171"/>
      <c r="M516" s="2171"/>
      <c r="N516" s="2171"/>
      <c r="O516" s="2171"/>
      <c r="P516" s="2171"/>
      <c r="Q516" s="2171"/>
      <c r="R516" s="2171"/>
      <c r="S516" s="2171"/>
      <c r="T516" s="2171"/>
      <c r="U516" s="2171"/>
      <c r="V516" s="2171"/>
      <c r="W516" s="2171"/>
      <c r="X516" s="2171"/>
      <c r="Y516" s="2171"/>
      <c r="Z516" s="7510" t="s">
        <v>684</v>
      </c>
      <c r="AA516" s="2155" t="s">
        <v>107</v>
      </c>
      <c r="AB516" s="1520" t="s">
        <v>1036</v>
      </c>
      <c r="AC516" s="1510">
        <v>23602.168</v>
      </c>
      <c r="AD516" s="1520" t="str">
        <f>AB516</f>
        <v>  Прочие собственные средства</v>
      </c>
      <c r="AE516" s="1510"/>
      <c r="AF516" s="2172"/>
      <c r="AG516" s="2100"/>
      <c r="AH516" s="2100"/>
      <c r="AI516" s="2172"/>
      <c r="AJ516" s="2100"/>
      <c r="AK516" s="2328"/>
      <c r="AL516" s="2329"/>
      <c r="AM516" s="2164"/>
      <c r="AN516" s="2164"/>
      <c r="AO516" s="2164"/>
      <c r="AP516" s="2164"/>
      <c r="AQ516" s="2164"/>
      <c r="AR516" s="2164"/>
      <c r="AS516" s="2164"/>
      <c r="AT516" s="2164"/>
      <c r="AU516" s="2164"/>
      <c r="AV516" s="2164"/>
      <c r="AW516" s="2164"/>
      <c r="AX516" s="2164"/>
      <c r="AY516" s="2164"/>
      <c r="AZ516" s="2164"/>
      <c r="BA516" s="2164"/>
      <c r="BB516" s="2164"/>
      <c r="BC516" s="2164"/>
      <c r="BD516" s="2164"/>
      <c r="BE516" s="2164"/>
      <c r="BF516" s="2164"/>
      <c r="BG516" s="7511"/>
    </row>
    <row customHeight="1" ht="11.25">
      <c r="A517" s="1507" t="s">
        <v>990</v>
      </c>
      <c r="B517" s="1507"/>
      <c r="C517" s="1507"/>
      <c r="D517" s="1501"/>
      <c r="E517" s="1511"/>
      <c r="F517" s="2170"/>
      <c r="G517" s="2171"/>
      <c r="H517" s="2856" t="s">
        <v>109</v>
      </c>
      <c r="I517" s="2857"/>
      <c r="J517" s="2826"/>
      <c r="K517" s="2858"/>
      <c r="L517" s="2448"/>
      <c r="M517" s="2449"/>
      <c r="N517" s="2849"/>
      <c r="O517" s="2850"/>
      <c r="P517" s="2853"/>
      <c r="Q517" s="7512"/>
      <c r="R517" s="2854"/>
      <c r="S517" s="2855"/>
      <c r="T517" s="2854"/>
      <c r="U517" s="2854"/>
      <c r="V517" s="2854"/>
      <c r="W517" s="2854"/>
      <c r="X517" s="2854"/>
      <c r="Y517" s="2854"/>
      <c r="Z517" s="1516"/>
      <c r="AA517" s="1517"/>
      <c r="AB517" s="1582" t="s">
        <v>1037</v>
      </c>
      <c r="AC517" s="1521"/>
      <c r="AD517" s="1521"/>
      <c r="AE517" s="1523"/>
      <c r="AF517" s="2847"/>
      <c r="AG517" s="2848"/>
      <c r="AH517" s="2848"/>
      <c r="AI517" s="2847"/>
      <c r="AJ517" s="2848"/>
      <c r="AK517" s="2848"/>
      <c r="AL517" s="2329"/>
      <c r="AM517" s="2164"/>
      <c r="AN517" s="2164"/>
      <c r="AO517" s="2164"/>
      <c r="AP517" s="2164"/>
      <c r="AQ517" s="2164"/>
      <c r="AR517" s="2164"/>
      <c r="AS517" s="2164"/>
      <c r="AT517" s="2164"/>
      <c r="AU517" s="2164"/>
      <c r="AV517" s="2164"/>
      <c r="AW517" s="2164"/>
      <c r="AX517" s="2164"/>
      <c r="AY517" s="2164"/>
      <c r="AZ517" s="2164"/>
      <c r="BA517" s="2164"/>
      <c r="BB517" s="2164"/>
      <c r="BC517" s="2164"/>
      <c r="BD517" s="2164"/>
      <c r="BE517" s="2164"/>
      <c r="BF517" s="2164"/>
      <c r="BG517" s="7511"/>
    </row>
    <row customHeight="1" ht="11.25">
      <c r="A518" s="1507" t="s">
        <v>990</v>
      </c>
      <c r="B518" s="1507"/>
      <c r="C518" s="1507"/>
      <c r="D518" s="1501"/>
      <c r="E518" s="1511"/>
      <c r="F518" s="2170"/>
      <c r="G518" s="2171"/>
      <c r="H518" s="2856" t="s">
        <v>109</v>
      </c>
      <c r="I518" s="2857"/>
      <c r="J518" s="2826"/>
      <c r="K518" s="2858"/>
      <c r="L518" s="2448"/>
      <c r="M518" s="2449"/>
      <c r="N518" s="1516"/>
      <c r="O518" s="1517"/>
      <c r="P518" s="1509" t="s">
        <v>1038</v>
      </c>
      <c r="Q518" s="1517"/>
      <c r="R518" s="1517"/>
      <c r="S518" s="1517"/>
      <c r="T518" s="1517"/>
      <c r="U518" s="1517"/>
      <c r="V518" s="1517"/>
      <c r="W518" s="1517"/>
      <c r="X518" s="1517"/>
      <c r="Y518" s="1517"/>
      <c r="Z518" s="1517"/>
      <c r="AA518" s="1517"/>
      <c r="AB518" s="1517"/>
      <c r="AC518" s="1517"/>
      <c r="AD518" s="1517"/>
      <c r="AE518" s="1524"/>
      <c r="AF518" s="2847"/>
      <c r="AG518" s="2848"/>
      <c r="AH518" s="2848"/>
      <c r="AI518" s="2847"/>
      <c r="AJ518" s="2848"/>
      <c r="AK518" s="2848"/>
      <c r="AL518" s="2329"/>
      <c r="AM518" s="2164"/>
      <c r="AN518" s="2164"/>
      <c r="AO518" s="2164"/>
      <c r="AP518" s="2164"/>
      <c r="AQ518" s="2164"/>
      <c r="AR518" s="2164"/>
      <c r="AS518" s="2164"/>
      <c r="AT518" s="2164"/>
      <c r="AU518" s="2164"/>
      <c r="AV518" s="2164"/>
      <c r="AW518" s="2164"/>
      <c r="AX518" s="2164"/>
      <c r="AY518" s="2164"/>
      <c r="AZ518" s="2164"/>
      <c r="BA518" s="2164"/>
      <c r="BB518" s="2164"/>
      <c r="BC518" s="2164"/>
      <c r="BD518" s="2164"/>
      <c r="BE518" s="2164"/>
      <c r="BF518" s="2164"/>
      <c r="BG518" s="7511"/>
    </row>
    <row customHeight="1" ht="11.25">
      <c r="A519" s="1507" t="s">
        <v>990</v>
      </c>
      <c r="B519" s="1507" t="s">
        <v>1139</v>
      </c>
      <c r="C519" s="1507"/>
      <c r="D519" s="1501"/>
      <c r="E519" s="1511"/>
      <c r="F519" s="2170"/>
      <c r="G519" s="7510" t="s">
        <v>684</v>
      </c>
      <c r="H519" s="2856" t="s">
        <v>146</v>
      </c>
      <c r="I519" s="2857" t="s">
        <v>1141</v>
      </c>
      <c r="J519" s="2826" t="s">
        <v>1142</v>
      </c>
      <c r="K519" s="2858" t="s">
        <v>1150</v>
      </c>
      <c r="L519" s="2448" t="s">
        <v>19</v>
      </c>
      <c r="M519" s="2449"/>
      <c r="N519" s="2327"/>
      <c r="O519" s="1518" t="s">
        <v>371</v>
      </c>
      <c r="P519" s="1519"/>
      <c r="Q519" s="1519"/>
      <c r="R519" s="1519"/>
      <c r="S519" s="1519"/>
      <c r="T519" s="1519"/>
      <c r="U519" s="1519"/>
      <c r="V519" s="1519"/>
      <c r="W519" s="1519"/>
      <c r="X519" s="1519"/>
      <c r="Y519" s="1519"/>
      <c r="Z519" s="1519"/>
      <c r="AA519" s="1519"/>
      <c r="AB519" s="1519"/>
      <c r="AC519" s="1519"/>
      <c r="AD519" s="1519"/>
      <c r="AE519" s="1519"/>
      <c r="AF519" s="2847">
        <v>6</v>
      </c>
      <c r="AG519" s="2848" t="s">
        <v>1067</v>
      </c>
      <c r="AH519" s="2848" t="s">
        <v>1104</v>
      </c>
      <c r="AI519" s="2847"/>
      <c r="AJ519" s="2848"/>
      <c r="AK519" s="2848"/>
      <c r="AL519" s="2329"/>
      <c r="AM519" s="2164"/>
      <c r="AN519" s="2164"/>
      <c r="AO519" s="2164"/>
      <c r="AP519" s="2164"/>
      <c r="AQ519" s="2164"/>
      <c r="AR519" s="2164"/>
      <c r="AS519" s="2164"/>
      <c r="AT519" s="2164"/>
      <c r="AU519" s="2164"/>
      <c r="AV519" s="2164"/>
      <c r="AW519" s="2164"/>
      <c r="AX519" s="2164"/>
      <c r="AY519" s="2164"/>
      <c r="AZ519" s="2164"/>
      <c r="BA519" s="2164"/>
      <c r="BB519" s="2164"/>
      <c r="BC519" s="2164"/>
      <c r="BD519" s="2164"/>
      <c r="BE519" s="2164"/>
      <c r="BF519" s="2164"/>
      <c r="BG519" s="7511"/>
    </row>
    <row customHeight="1" ht="11.25">
      <c r="A520" s="1507" t="s">
        <v>990</v>
      </c>
      <c r="B520" s="1507"/>
      <c r="C520" s="1507"/>
      <c r="D520" s="1501"/>
      <c r="E520" s="1511"/>
      <c r="F520" s="2170"/>
      <c r="G520" s="2171"/>
      <c r="H520" s="2856" t="s">
        <v>145</v>
      </c>
      <c r="I520" s="2857"/>
      <c r="J520" s="2826"/>
      <c r="K520" s="2858"/>
      <c r="L520" s="2448"/>
      <c r="M520" s="2449"/>
      <c r="N520" s="2849"/>
      <c r="O520" s="2850">
        <v>1</v>
      </c>
      <c r="P520" s="2851" t="s">
        <v>65</v>
      </c>
      <c r="Q520" s="7512" t="s">
        <v>1105</v>
      </c>
      <c r="R520" s="7513" t="s">
        <v>1083</v>
      </c>
      <c r="S520" s="7513" t="s">
        <v>1030</v>
      </c>
      <c r="T520" s="7513" t="s">
        <v>1030</v>
      </c>
      <c r="U520" s="7513" t="s">
        <v>1031</v>
      </c>
      <c r="V520" s="7513" t="s">
        <v>1032</v>
      </c>
      <c r="W520" s="7513" t="s">
        <v>1033</v>
      </c>
      <c r="X520" s="7513" t="s">
        <v>1106</v>
      </c>
      <c r="Y520" s="7513" t="s">
        <v>1107</v>
      </c>
      <c r="Z520" s="1516"/>
      <c r="AA520" s="1517"/>
      <c r="AB520" s="1517"/>
      <c r="AC520" s="1521"/>
      <c r="AD520" s="1521"/>
      <c r="AE520" s="1522"/>
      <c r="AF520" s="2847"/>
      <c r="AG520" s="2848"/>
      <c r="AH520" s="2848"/>
      <c r="AI520" s="2847"/>
      <c r="AJ520" s="2848"/>
      <c r="AK520" s="2848"/>
      <c r="AL520" s="2329"/>
      <c r="AM520" s="2164"/>
      <c r="AN520" s="2164"/>
      <c r="AO520" s="2164"/>
      <c r="AP520" s="2164"/>
      <c r="AQ520" s="2164"/>
      <c r="AR520" s="2164"/>
      <c r="AS520" s="2164"/>
      <c r="AT520" s="2164"/>
      <c r="AU520" s="2164"/>
      <c r="AV520" s="2164"/>
      <c r="AW520" s="2164"/>
      <c r="AX520" s="2164"/>
      <c r="AY520" s="2164"/>
      <c r="AZ520" s="2164"/>
      <c r="BA520" s="2164"/>
      <c r="BB520" s="2164"/>
      <c r="BC520" s="2164"/>
      <c r="BD520" s="2164"/>
      <c r="BE520" s="2164"/>
      <c r="BF520" s="2164"/>
      <c r="BG520" s="7511"/>
    </row>
    <row customHeight="1" ht="11.25">
      <c r="A521" s="1507" t="s">
        <v>990</v>
      </c>
      <c r="B521" s="1507"/>
      <c r="C521" s="1507"/>
      <c r="D521" s="1501"/>
      <c r="E521" s="1511"/>
      <c r="F521" s="2170"/>
      <c r="G521" s="2171"/>
      <c r="H521" s="2856" t="s">
        <v>145</v>
      </c>
      <c r="I521" s="2857"/>
      <c r="J521" s="2826"/>
      <c r="K521" s="2858"/>
      <c r="L521" s="2448"/>
      <c r="M521" s="2449"/>
      <c r="N521" s="2849"/>
      <c r="O521" s="2850"/>
      <c r="P521" s="2852"/>
      <c r="Q521" s="7512"/>
      <c r="R521" s="2854"/>
      <c r="S521" s="2855"/>
      <c r="T521" s="2854"/>
      <c r="U521" s="2854"/>
      <c r="V521" s="2854"/>
      <c r="W521" s="2854"/>
      <c r="X521" s="2854"/>
      <c r="Y521" s="2854"/>
      <c r="Z521" s="2169"/>
      <c r="AA521" s="2135">
        <v>1</v>
      </c>
      <c r="AB521" s="1520" t="s">
        <v>1035</v>
      </c>
      <c r="AC521" s="1510">
        <v>26930.31194</v>
      </c>
      <c r="AD521" s="1520" t="str">
        <f>AB521</f>
        <v>      Амортизационные отчисления с выделением результатов переоценки основных средств и нематериальных активов</v>
      </c>
      <c r="AE521" s="1510"/>
      <c r="AF521" s="2847"/>
      <c r="AG521" s="2848"/>
      <c r="AH521" s="2848"/>
      <c r="AI521" s="2847"/>
      <c r="AJ521" s="2848"/>
      <c r="AK521" s="2848"/>
      <c r="AL521" s="2329"/>
      <c r="AM521" s="2164"/>
      <c r="AN521" s="2164"/>
      <c r="AO521" s="2164"/>
      <c r="AP521" s="2164"/>
      <c r="AQ521" s="2164"/>
      <c r="AR521" s="2164"/>
      <c r="AS521" s="2164"/>
      <c r="AT521" s="2164"/>
      <c r="AU521" s="2164"/>
      <c r="AV521" s="2164"/>
      <c r="AW521" s="2164"/>
      <c r="AX521" s="2164"/>
      <c r="AY521" s="2164"/>
      <c r="AZ521" s="2164"/>
      <c r="BA521" s="2164"/>
      <c r="BB521" s="2164"/>
      <c r="BC521" s="2164"/>
      <c r="BD521" s="2164"/>
      <c r="BE521" s="2164"/>
      <c r="BF521" s="2164"/>
      <c r="BG521" s="7511"/>
    </row>
    <row customHeight="1" ht="11.25">
      <c r="A522" s="1507" t="s">
        <v>990</v>
      </c>
      <c r="B522" s="1507"/>
      <c r="C522" s="1507"/>
      <c r="D522" s="1501"/>
      <c r="E522" s="1511"/>
      <c r="F522" s="2171"/>
      <c r="G522" s="2171"/>
      <c r="H522" s="2171"/>
      <c r="I522" s="2171"/>
      <c r="J522" s="7515"/>
      <c r="K522" s="2171"/>
      <c r="L522" s="2171"/>
      <c r="M522" s="2171"/>
      <c r="N522" s="2171"/>
      <c r="O522" s="2171"/>
      <c r="P522" s="2171"/>
      <c r="Q522" s="7515"/>
      <c r="R522" s="2171"/>
      <c r="S522" s="2171"/>
      <c r="T522" s="2171"/>
      <c r="U522" s="2171"/>
      <c r="V522" s="2171"/>
      <c r="W522" s="2171"/>
      <c r="X522" s="2171"/>
      <c r="Y522" s="2171"/>
      <c r="Z522" s="7510" t="s">
        <v>684</v>
      </c>
      <c r="AA522" s="2155" t="s">
        <v>107</v>
      </c>
      <c r="AB522" s="1520" t="s">
        <v>1070</v>
      </c>
      <c r="AC522" s="1510">
        <v>32924.985</v>
      </c>
      <c r="AD522" s="1520" t="str">
        <f>AB522</f>
        <v>  За счет платы за технологическое присоединение</v>
      </c>
      <c r="AE522" s="1510"/>
      <c r="AF522" s="2172"/>
      <c r="AG522" s="2100"/>
      <c r="AH522" s="2100"/>
      <c r="AI522" s="2172"/>
      <c r="AJ522" s="2100"/>
      <c r="AK522" s="2328"/>
      <c r="AL522" s="2329"/>
      <c r="AM522" s="2164"/>
      <c r="AN522" s="2164"/>
      <c r="AO522" s="2164"/>
      <c r="AP522" s="2164"/>
      <c r="AQ522" s="2164"/>
      <c r="AR522" s="2164"/>
      <c r="AS522" s="2164"/>
      <c r="AT522" s="2164"/>
      <c r="AU522" s="2164"/>
      <c r="AV522" s="2164"/>
      <c r="AW522" s="2164"/>
      <c r="AX522" s="2164"/>
      <c r="AY522" s="2164"/>
      <c r="AZ522" s="2164"/>
      <c r="BA522" s="2164"/>
      <c r="BB522" s="2164"/>
      <c r="BC522" s="2164"/>
      <c r="BD522" s="2164"/>
      <c r="BE522" s="2164"/>
      <c r="BF522" s="2164"/>
      <c r="BG522" s="7511"/>
    </row>
    <row customHeight="1" ht="11.25">
      <c r="A523" s="1507" t="s">
        <v>990</v>
      </c>
      <c r="B523" s="1507"/>
      <c r="C523" s="1507"/>
      <c r="D523" s="1501"/>
      <c r="E523" s="1511"/>
      <c r="F523" s="2171"/>
      <c r="G523" s="2171"/>
      <c r="H523" s="2171"/>
      <c r="I523" s="2171"/>
      <c r="J523" s="7515"/>
      <c r="K523" s="2171"/>
      <c r="L523" s="2171"/>
      <c r="M523" s="2171"/>
      <c r="N523" s="2171"/>
      <c r="O523" s="2171"/>
      <c r="P523" s="2171"/>
      <c r="Q523" s="7515"/>
      <c r="R523" s="2171"/>
      <c r="S523" s="2171"/>
      <c r="T523" s="2171"/>
      <c r="U523" s="2171"/>
      <c r="V523" s="2171"/>
      <c r="W523" s="2171"/>
      <c r="X523" s="2171"/>
      <c r="Y523" s="2171"/>
      <c r="Z523" s="7510" t="s">
        <v>684</v>
      </c>
      <c r="AA523" s="2155" t="s">
        <v>90</v>
      </c>
      <c r="AB523" s="1520" t="s">
        <v>1036</v>
      </c>
      <c r="AC523" s="1510">
        <v>11971.05939</v>
      </c>
      <c r="AD523" s="1520" t="str">
        <f>AB523</f>
        <v>  Прочие собственные средства</v>
      </c>
      <c r="AE523" s="1510"/>
      <c r="AF523" s="2172"/>
      <c r="AG523" s="2100"/>
      <c r="AH523" s="2100"/>
      <c r="AI523" s="2172"/>
      <c r="AJ523" s="2100"/>
      <c r="AK523" s="2328"/>
      <c r="AL523" s="2329"/>
      <c r="AM523" s="2164"/>
      <c r="AN523" s="2164"/>
      <c r="AO523" s="2164"/>
      <c r="AP523" s="2164"/>
      <c r="AQ523" s="2164"/>
      <c r="AR523" s="2164"/>
      <c r="AS523" s="2164"/>
      <c r="AT523" s="2164"/>
      <c r="AU523" s="2164"/>
      <c r="AV523" s="2164"/>
      <c r="AW523" s="2164"/>
      <c r="AX523" s="2164"/>
      <c r="AY523" s="2164"/>
      <c r="AZ523" s="2164"/>
      <c r="BA523" s="2164"/>
      <c r="BB523" s="2164"/>
      <c r="BC523" s="2164"/>
      <c r="BD523" s="2164"/>
      <c r="BE523" s="2164"/>
      <c r="BF523" s="2164"/>
      <c r="BG523" s="7511"/>
    </row>
    <row customHeight="1" ht="11.25">
      <c r="A524" s="1507" t="s">
        <v>990</v>
      </c>
      <c r="B524" s="1507"/>
      <c r="C524" s="1507"/>
      <c r="D524" s="1501"/>
      <c r="E524" s="1511"/>
      <c r="F524" s="2170"/>
      <c r="G524" s="2171"/>
      <c r="H524" s="2856" t="s">
        <v>145</v>
      </c>
      <c r="I524" s="2857"/>
      <c r="J524" s="2826"/>
      <c r="K524" s="2858"/>
      <c r="L524" s="2448"/>
      <c r="M524" s="2449"/>
      <c r="N524" s="2849"/>
      <c r="O524" s="2850"/>
      <c r="P524" s="2853"/>
      <c r="Q524" s="7512"/>
      <c r="R524" s="2854"/>
      <c r="S524" s="2855"/>
      <c r="T524" s="2854"/>
      <c r="U524" s="2854"/>
      <c r="V524" s="2854"/>
      <c r="W524" s="2854"/>
      <c r="X524" s="2854"/>
      <c r="Y524" s="2854"/>
      <c r="Z524" s="1516"/>
      <c r="AA524" s="1517"/>
      <c r="AB524" s="1582" t="s">
        <v>1037</v>
      </c>
      <c r="AC524" s="1521"/>
      <c r="AD524" s="1521"/>
      <c r="AE524" s="1523"/>
      <c r="AF524" s="2847"/>
      <c r="AG524" s="2848"/>
      <c r="AH524" s="2848"/>
      <c r="AI524" s="2847"/>
      <c r="AJ524" s="2848"/>
      <c r="AK524" s="2848"/>
      <c r="AL524" s="2329"/>
      <c r="AM524" s="2164"/>
      <c r="AN524" s="2164"/>
      <c r="AO524" s="2164"/>
      <c r="AP524" s="2164"/>
      <c r="AQ524" s="2164"/>
      <c r="AR524" s="2164"/>
      <c r="AS524" s="2164"/>
      <c r="AT524" s="2164"/>
      <c r="AU524" s="2164"/>
      <c r="AV524" s="2164"/>
      <c r="AW524" s="2164"/>
      <c r="AX524" s="2164"/>
      <c r="AY524" s="2164"/>
      <c r="AZ524" s="2164"/>
      <c r="BA524" s="2164"/>
      <c r="BB524" s="2164"/>
      <c r="BC524" s="2164"/>
      <c r="BD524" s="2164"/>
      <c r="BE524" s="2164"/>
      <c r="BF524" s="2164"/>
      <c r="BG524" s="7511"/>
    </row>
    <row customHeight="1" ht="11.25">
      <c r="A525" s="1507" t="s">
        <v>990</v>
      </c>
      <c r="B525" s="1507"/>
      <c r="C525" s="1507"/>
      <c r="D525" s="1501"/>
      <c r="E525" s="1511"/>
      <c r="F525" s="2170"/>
      <c r="G525" s="2171"/>
      <c r="H525" s="2856" t="s">
        <v>145</v>
      </c>
      <c r="I525" s="2857"/>
      <c r="J525" s="2826"/>
      <c r="K525" s="2858"/>
      <c r="L525" s="2448"/>
      <c r="M525" s="2449"/>
      <c r="N525" s="1516"/>
      <c r="O525" s="1517"/>
      <c r="P525" s="1509" t="s">
        <v>1038</v>
      </c>
      <c r="Q525" s="1517"/>
      <c r="R525" s="1517"/>
      <c r="S525" s="1517"/>
      <c r="T525" s="1517"/>
      <c r="U525" s="1517"/>
      <c r="V525" s="1517"/>
      <c r="W525" s="1517"/>
      <c r="X525" s="1517"/>
      <c r="Y525" s="1517"/>
      <c r="Z525" s="1517"/>
      <c r="AA525" s="1517"/>
      <c r="AB525" s="1517"/>
      <c r="AC525" s="1517"/>
      <c r="AD525" s="1517"/>
      <c r="AE525" s="1524"/>
      <c r="AF525" s="2847"/>
      <c r="AG525" s="2848"/>
      <c r="AH525" s="2848"/>
      <c r="AI525" s="2847"/>
      <c r="AJ525" s="2848"/>
      <c r="AK525" s="2848"/>
      <c r="AL525" s="2329"/>
      <c r="AM525" s="2164"/>
      <c r="AN525" s="2164"/>
      <c r="AO525" s="2164"/>
      <c r="AP525" s="2164"/>
      <c r="AQ525" s="2164"/>
      <c r="AR525" s="2164"/>
      <c r="AS525" s="2164"/>
      <c r="AT525" s="2164"/>
      <c r="AU525" s="2164"/>
      <c r="AV525" s="2164"/>
      <c r="AW525" s="2164"/>
      <c r="AX525" s="2164"/>
      <c r="AY525" s="2164"/>
      <c r="AZ525" s="2164"/>
      <c r="BA525" s="2164"/>
      <c r="BB525" s="2164"/>
      <c r="BC525" s="2164"/>
      <c r="BD525" s="2164"/>
      <c r="BE525" s="2164"/>
      <c r="BF525" s="2164"/>
      <c r="BG525" s="7511"/>
    </row>
    <row customHeight="1" ht="11.25">
      <c r="A526" s="1507" t="s">
        <v>990</v>
      </c>
      <c r="B526" s="1507" t="s">
        <v>1022</v>
      </c>
      <c r="C526" s="1507"/>
      <c r="D526" s="1501"/>
      <c r="E526" s="1511"/>
      <c r="F526" s="2170"/>
      <c r="G526" s="7510" t="s">
        <v>684</v>
      </c>
      <c r="H526" s="2856" t="s">
        <v>147</v>
      </c>
      <c r="I526" s="2857" t="s">
        <v>1023</v>
      </c>
      <c r="J526" s="2826" t="s">
        <v>1071</v>
      </c>
      <c r="K526" s="2858" t="s">
        <v>1152</v>
      </c>
      <c r="L526" s="2448" t="s">
        <v>19</v>
      </c>
      <c r="M526" s="2449"/>
      <c r="N526" s="2327"/>
      <c r="O526" s="1518" t="s">
        <v>371</v>
      </c>
      <c r="P526" s="1519"/>
      <c r="Q526" s="1519"/>
      <c r="R526" s="1519"/>
      <c r="S526" s="1519"/>
      <c r="T526" s="1519"/>
      <c r="U526" s="1519"/>
      <c r="V526" s="1519"/>
      <c r="W526" s="1519"/>
      <c r="X526" s="1519"/>
      <c r="Y526" s="1519"/>
      <c r="Z526" s="1519"/>
      <c r="AA526" s="1519"/>
      <c r="AB526" s="1519"/>
      <c r="AC526" s="1519"/>
      <c r="AD526" s="1519"/>
      <c r="AE526" s="1519"/>
      <c r="AF526" s="2847">
        <v>6</v>
      </c>
      <c r="AG526" s="2848" t="s">
        <v>1067</v>
      </c>
      <c r="AH526" s="2848" t="s">
        <v>1104</v>
      </c>
      <c r="AI526" s="2847"/>
      <c r="AJ526" s="2848"/>
      <c r="AK526" s="2848"/>
      <c r="AL526" s="2329"/>
      <c r="AM526" s="2164"/>
      <c r="AN526" s="2164"/>
      <c r="AO526" s="2164"/>
      <c r="AP526" s="2164"/>
      <c r="AQ526" s="2164"/>
      <c r="AR526" s="2164"/>
      <c r="AS526" s="2164"/>
      <c r="AT526" s="2164"/>
      <c r="AU526" s="2164"/>
      <c r="AV526" s="2164"/>
      <c r="AW526" s="2164"/>
      <c r="AX526" s="2164"/>
      <c r="AY526" s="2164"/>
      <c r="AZ526" s="2164"/>
      <c r="BA526" s="2164"/>
      <c r="BB526" s="2164"/>
      <c r="BC526" s="2164"/>
      <c r="BD526" s="2164"/>
      <c r="BE526" s="2164"/>
      <c r="BF526" s="2164"/>
      <c r="BG526" s="7511"/>
    </row>
    <row customHeight="1" ht="11.25">
      <c r="A527" s="1507" t="s">
        <v>990</v>
      </c>
      <c r="B527" s="1507"/>
      <c r="C527" s="1507"/>
      <c r="D527" s="1501"/>
      <c r="E527" s="1511"/>
      <c r="F527" s="2170"/>
      <c r="G527" s="2171"/>
      <c r="H527" s="2856" t="s">
        <v>146</v>
      </c>
      <c r="I527" s="2857"/>
      <c r="J527" s="2826"/>
      <c r="K527" s="2858"/>
      <c r="L527" s="2448"/>
      <c r="M527" s="2449"/>
      <c r="N527" s="2849"/>
      <c r="O527" s="2850">
        <v>1</v>
      </c>
      <c r="P527" s="2851" t="s">
        <v>65</v>
      </c>
      <c r="Q527" s="7512" t="s">
        <v>1153</v>
      </c>
      <c r="R527" s="7513" t="s">
        <v>1083</v>
      </c>
      <c r="S527" s="7513" t="s">
        <v>1154</v>
      </c>
      <c r="T527" s="7513" t="s">
        <v>1154</v>
      </c>
      <c r="U527" s="7513" t="s">
        <v>1155</v>
      </c>
      <c r="V527" s="7513" t="s">
        <v>1156</v>
      </c>
      <c r="W527" s="7513" t="s">
        <v>1157</v>
      </c>
      <c r="X527" s="7513" t="s">
        <v>1158</v>
      </c>
      <c r="Y527" s="7513" t="s">
        <v>92</v>
      </c>
      <c r="Z527" s="1516"/>
      <c r="AA527" s="1517"/>
      <c r="AB527" s="1517"/>
      <c r="AC527" s="1521"/>
      <c r="AD527" s="1521"/>
      <c r="AE527" s="1522"/>
      <c r="AF527" s="2847"/>
      <c r="AG527" s="2848"/>
      <c r="AH527" s="2848"/>
      <c r="AI527" s="2847"/>
      <c r="AJ527" s="2848"/>
      <c r="AK527" s="2848"/>
      <c r="AL527" s="2329"/>
      <c r="AM527" s="2164"/>
      <c r="AN527" s="2164"/>
      <c r="AO527" s="2164"/>
      <c r="AP527" s="2164"/>
      <c r="AQ527" s="2164"/>
      <c r="AR527" s="2164"/>
      <c r="AS527" s="2164"/>
      <c r="AT527" s="2164"/>
      <c r="AU527" s="2164"/>
      <c r="AV527" s="2164"/>
      <c r="AW527" s="2164"/>
      <c r="AX527" s="2164"/>
      <c r="AY527" s="2164"/>
      <c r="AZ527" s="2164"/>
      <c r="BA527" s="2164"/>
      <c r="BB527" s="2164"/>
      <c r="BC527" s="2164"/>
      <c r="BD527" s="2164"/>
      <c r="BE527" s="2164"/>
      <c r="BF527" s="2164"/>
      <c r="BG527" s="7511"/>
    </row>
    <row customHeight="1" ht="11.25">
      <c r="A528" s="1507" t="s">
        <v>990</v>
      </c>
      <c r="B528" s="1507"/>
      <c r="C528" s="1507"/>
      <c r="D528" s="1501"/>
      <c r="E528" s="1511"/>
      <c r="F528" s="2170"/>
      <c r="G528" s="2171"/>
      <c r="H528" s="2856" t="s">
        <v>146</v>
      </c>
      <c r="I528" s="2857"/>
      <c r="J528" s="2826"/>
      <c r="K528" s="2858"/>
      <c r="L528" s="2448"/>
      <c r="M528" s="2449"/>
      <c r="N528" s="2849"/>
      <c r="O528" s="2850"/>
      <c r="P528" s="2852"/>
      <c r="Q528" s="7512"/>
      <c r="R528" s="2854"/>
      <c r="S528" s="2855"/>
      <c r="T528" s="2854"/>
      <c r="U528" s="2854"/>
      <c r="V528" s="2854"/>
      <c r="W528" s="2854"/>
      <c r="X528" s="2854"/>
      <c r="Y528" s="2854"/>
      <c r="Z528" s="2169"/>
      <c r="AA528" s="2135">
        <v>1</v>
      </c>
      <c r="AB528" s="1520" t="s">
        <v>1035</v>
      </c>
      <c r="AC528" s="1510">
        <v>46723.93061</v>
      </c>
      <c r="AD528" s="1520" t="str">
        <f>AB528</f>
        <v>      Амортизационные отчисления с выделением результатов переоценки основных средств и нематериальных активов</v>
      </c>
      <c r="AE528" s="1510"/>
      <c r="AF528" s="2847"/>
      <c r="AG528" s="2848"/>
      <c r="AH528" s="2848"/>
      <c r="AI528" s="2847"/>
      <c r="AJ528" s="2848"/>
      <c r="AK528" s="2848"/>
      <c r="AL528" s="2329"/>
      <c r="AM528" s="2164"/>
      <c r="AN528" s="2164"/>
      <c r="AO528" s="2164"/>
      <c r="AP528" s="2164"/>
      <c r="AQ528" s="2164"/>
      <c r="AR528" s="2164"/>
      <c r="AS528" s="2164"/>
      <c r="AT528" s="2164"/>
      <c r="AU528" s="2164"/>
      <c r="AV528" s="2164"/>
      <c r="AW528" s="2164"/>
      <c r="AX528" s="2164"/>
      <c r="AY528" s="2164"/>
      <c r="AZ528" s="2164"/>
      <c r="BA528" s="2164"/>
      <c r="BB528" s="2164"/>
      <c r="BC528" s="2164"/>
      <c r="BD528" s="2164"/>
      <c r="BE528" s="2164"/>
      <c r="BF528" s="2164"/>
      <c r="BG528" s="7511"/>
    </row>
    <row customHeight="1" ht="11.25">
      <c r="A529" s="1507" t="s">
        <v>990</v>
      </c>
      <c r="B529" s="1507"/>
      <c r="C529" s="1507"/>
      <c r="D529" s="1501"/>
      <c r="E529" s="1511"/>
      <c r="F529" s="2171"/>
      <c r="G529" s="2171"/>
      <c r="H529" s="2171"/>
      <c r="I529" s="2171"/>
      <c r="J529" s="2171"/>
      <c r="K529" s="2171"/>
      <c r="L529" s="2171"/>
      <c r="M529" s="2171"/>
      <c r="N529" s="2171"/>
      <c r="O529" s="2171"/>
      <c r="P529" s="2171"/>
      <c r="Q529" s="2171"/>
      <c r="R529" s="2171"/>
      <c r="S529" s="2171"/>
      <c r="T529" s="2171"/>
      <c r="U529" s="2171"/>
      <c r="V529" s="2171"/>
      <c r="W529" s="2171"/>
      <c r="X529" s="2171"/>
      <c r="Y529" s="2171"/>
      <c r="Z529" s="7510" t="s">
        <v>684</v>
      </c>
      <c r="AA529" s="2155" t="s">
        <v>107</v>
      </c>
      <c r="AB529" s="1520" t="s">
        <v>1036</v>
      </c>
      <c r="AC529" s="1510">
        <v>8530.30751</v>
      </c>
      <c r="AD529" s="1520" t="str">
        <f>AB529</f>
        <v>  Прочие собственные средства</v>
      </c>
      <c r="AE529" s="1510"/>
      <c r="AF529" s="2172"/>
      <c r="AG529" s="2100"/>
      <c r="AH529" s="2100"/>
      <c r="AI529" s="2172"/>
      <c r="AJ529" s="2100"/>
      <c r="AK529" s="2328"/>
      <c r="AL529" s="2329"/>
      <c r="AM529" s="2164"/>
      <c r="AN529" s="2164"/>
      <c r="AO529" s="2164"/>
      <c r="AP529" s="2164"/>
      <c r="AQ529" s="2164"/>
      <c r="AR529" s="2164"/>
      <c r="AS529" s="2164"/>
      <c r="AT529" s="2164"/>
      <c r="AU529" s="2164"/>
      <c r="AV529" s="2164"/>
      <c r="AW529" s="2164"/>
      <c r="AX529" s="2164"/>
      <c r="AY529" s="2164"/>
      <c r="AZ529" s="2164"/>
      <c r="BA529" s="2164"/>
      <c r="BB529" s="2164"/>
      <c r="BC529" s="2164"/>
      <c r="BD529" s="2164"/>
      <c r="BE529" s="2164"/>
      <c r="BF529" s="2164"/>
      <c r="BG529" s="7511"/>
    </row>
    <row customHeight="1" ht="11.25">
      <c r="A530" s="1507" t="s">
        <v>990</v>
      </c>
      <c r="B530" s="1507"/>
      <c r="C530" s="1507"/>
      <c r="D530" s="1501"/>
      <c r="E530" s="1511"/>
      <c r="F530" s="2170"/>
      <c r="G530" s="2171"/>
      <c r="H530" s="2856" t="s">
        <v>146</v>
      </c>
      <c r="I530" s="2857"/>
      <c r="J530" s="2826"/>
      <c r="K530" s="2858"/>
      <c r="L530" s="2448"/>
      <c r="M530" s="2449"/>
      <c r="N530" s="2849"/>
      <c r="O530" s="2850"/>
      <c r="P530" s="2853"/>
      <c r="Q530" s="7512"/>
      <c r="R530" s="2854"/>
      <c r="S530" s="2855"/>
      <c r="T530" s="2854"/>
      <c r="U530" s="2854"/>
      <c r="V530" s="2854"/>
      <c r="W530" s="2854"/>
      <c r="X530" s="2854"/>
      <c r="Y530" s="2854"/>
      <c r="Z530" s="1516"/>
      <c r="AA530" s="1517"/>
      <c r="AB530" s="1582" t="s">
        <v>1037</v>
      </c>
      <c r="AC530" s="1521"/>
      <c r="AD530" s="1521"/>
      <c r="AE530" s="1523"/>
      <c r="AF530" s="2847"/>
      <c r="AG530" s="2848"/>
      <c r="AH530" s="2848"/>
      <c r="AI530" s="2847"/>
      <c r="AJ530" s="2848"/>
      <c r="AK530" s="2848"/>
      <c r="AL530" s="2329"/>
      <c r="AM530" s="2164"/>
      <c r="AN530" s="2164"/>
      <c r="AO530" s="2164"/>
      <c r="AP530" s="2164"/>
      <c r="AQ530" s="2164"/>
      <c r="AR530" s="2164"/>
      <c r="AS530" s="2164"/>
      <c r="AT530" s="2164"/>
      <c r="AU530" s="2164"/>
      <c r="AV530" s="2164"/>
      <c r="AW530" s="2164"/>
      <c r="AX530" s="2164"/>
      <c r="AY530" s="2164"/>
      <c r="AZ530" s="2164"/>
      <c r="BA530" s="2164"/>
      <c r="BB530" s="2164"/>
      <c r="BC530" s="2164"/>
      <c r="BD530" s="2164"/>
      <c r="BE530" s="2164"/>
      <c r="BF530" s="2164"/>
      <c r="BG530" s="7511"/>
    </row>
    <row customHeight="1" ht="11.25">
      <c r="A531" s="1507" t="s">
        <v>990</v>
      </c>
      <c r="B531" s="1507"/>
      <c r="C531" s="1507"/>
      <c r="D531" s="1501"/>
      <c r="E531" s="1511"/>
      <c r="F531" s="2170"/>
      <c r="G531" s="2171"/>
      <c r="H531" s="2856" t="s">
        <v>146</v>
      </c>
      <c r="I531" s="2857"/>
      <c r="J531" s="2826"/>
      <c r="K531" s="2858"/>
      <c r="L531" s="2448"/>
      <c r="M531" s="2449"/>
      <c r="N531" s="1516"/>
      <c r="O531" s="1517"/>
      <c r="P531" s="1509" t="s">
        <v>1038</v>
      </c>
      <c r="Q531" s="1517"/>
      <c r="R531" s="1517"/>
      <c r="S531" s="1517"/>
      <c r="T531" s="1517"/>
      <c r="U531" s="1517"/>
      <c r="V531" s="1517"/>
      <c r="W531" s="1517"/>
      <c r="X531" s="1517"/>
      <c r="Y531" s="1517"/>
      <c r="Z531" s="1517"/>
      <c r="AA531" s="1517"/>
      <c r="AB531" s="1517"/>
      <c r="AC531" s="1517"/>
      <c r="AD531" s="1517"/>
      <c r="AE531" s="1524"/>
      <c r="AF531" s="2847"/>
      <c r="AG531" s="2848"/>
      <c r="AH531" s="2848"/>
      <c r="AI531" s="2847"/>
      <c r="AJ531" s="2848"/>
      <c r="AK531" s="2848"/>
      <c r="AL531" s="2329"/>
      <c r="AM531" s="2164"/>
      <c r="AN531" s="2164"/>
      <c r="AO531" s="2164"/>
      <c r="AP531" s="2164"/>
      <c r="AQ531" s="2164"/>
      <c r="AR531" s="2164"/>
      <c r="AS531" s="2164"/>
      <c r="AT531" s="2164"/>
      <c r="AU531" s="2164"/>
      <c r="AV531" s="2164"/>
      <c r="AW531" s="2164"/>
      <c r="AX531" s="2164"/>
      <c r="AY531" s="2164"/>
      <c r="AZ531" s="2164"/>
      <c r="BA531" s="2164"/>
      <c r="BB531" s="2164"/>
      <c r="BC531" s="2164"/>
      <c r="BD531" s="2164"/>
      <c r="BE531" s="2164"/>
      <c r="BF531" s="2164"/>
      <c r="BG531" s="7511"/>
    </row>
    <row customHeight="1" ht="11.25">
      <c r="A532" s="1507" t="s">
        <v>990</v>
      </c>
      <c r="B532" s="1507" t="s">
        <v>1022</v>
      </c>
      <c r="C532" s="1507"/>
      <c r="D532" s="1501"/>
      <c r="E532" s="1511"/>
      <c r="F532" s="2170"/>
      <c r="G532" s="7510" t="s">
        <v>684</v>
      </c>
      <c r="H532" s="2856" t="s">
        <v>148</v>
      </c>
      <c r="I532" s="2857" t="s">
        <v>1023</v>
      </c>
      <c r="J532" s="2826" t="s">
        <v>1071</v>
      </c>
      <c r="K532" s="2858" t="s">
        <v>1160</v>
      </c>
      <c r="L532" s="2448" t="s">
        <v>19</v>
      </c>
      <c r="M532" s="2449"/>
      <c r="N532" s="2327"/>
      <c r="O532" s="1518" t="s">
        <v>371</v>
      </c>
      <c r="P532" s="1519"/>
      <c r="Q532" s="1519"/>
      <c r="R532" s="1519"/>
      <c r="S532" s="1519"/>
      <c r="T532" s="1519"/>
      <c r="U532" s="1519"/>
      <c r="V532" s="1519"/>
      <c r="W532" s="1519"/>
      <c r="X532" s="1519"/>
      <c r="Y532" s="1519"/>
      <c r="Z532" s="1519"/>
      <c r="AA532" s="1519"/>
      <c r="AB532" s="1519"/>
      <c r="AC532" s="1519"/>
      <c r="AD532" s="1519"/>
      <c r="AE532" s="1519"/>
      <c r="AF532" s="2847">
        <v>6</v>
      </c>
      <c r="AG532" s="2848" t="s">
        <v>1067</v>
      </c>
      <c r="AH532" s="2848" t="s">
        <v>1104</v>
      </c>
      <c r="AI532" s="2847"/>
      <c r="AJ532" s="2848"/>
      <c r="AK532" s="2848"/>
      <c r="AL532" s="2329"/>
      <c r="AM532" s="2164"/>
      <c r="AN532" s="2164"/>
      <c r="AO532" s="2164"/>
      <c r="AP532" s="2164"/>
      <c r="AQ532" s="2164"/>
      <c r="AR532" s="2164"/>
      <c r="AS532" s="2164"/>
      <c r="AT532" s="2164"/>
      <c r="AU532" s="2164"/>
      <c r="AV532" s="2164"/>
      <c r="AW532" s="2164"/>
      <c r="AX532" s="2164"/>
      <c r="AY532" s="2164"/>
      <c r="AZ532" s="2164"/>
      <c r="BA532" s="2164"/>
      <c r="BB532" s="2164"/>
      <c r="BC532" s="2164"/>
      <c r="BD532" s="2164"/>
      <c r="BE532" s="2164"/>
      <c r="BF532" s="2164"/>
      <c r="BG532" s="7511"/>
    </row>
    <row customHeight="1" ht="11.25">
      <c r="A533" s="1507" t="s">
        <v>990</v>
      </c>
      <c r="B533" s="1507"/>
      <c r="C533" s="1507"/>
      <c r="D533" s="1501"/>
      <c r="E533" s="1511"/>
      <c r="F533" s="2170"/>
      <c r="G533" s="2171"/>
      <c r="H533" s="2856" t="s">
        <v>147</v>
      </c>
      <c r="I533" s="2857"/>
      <c r="J533" s="2826"/>
      <c r="K533" s="2858"/>
      <c r="L533" s="2448"/>
      <c r="M533" s="2449"/>
      <c r="N533" s="2849"/>
      <c r="O533" s="2850">
        <v>1</v>
      </c>
      <c r="P533" s="2851" t="s">
        <v>65</v>
      </c>
      <c r="Q533" s="7512" t="s">
        <v>1161</v>
      </c>
      <c r="R533" s="7513" t="s">
        <v>1083</v>
      </c>
      <c r="S533" s="7513" t="s">
        <v>1162</v>
      </c>
      <c r="T533" s="7513" t="s">
        <v>1163</v>
      </c>
      <c r="U533" s="7513" t="s">
        <v>1164</v>
      </c>
      <c r="V533" s="7513" t="s">
        <v>1165</v>
      </c>
      <c r="W533" s="7513" t="s">
        <v>1166</v>
      </c>
      <c r="X533" s="7513" t="s">
        <v>1167</v>
      </c>
      <c r="Y533" s="7513" t="s">
        <v>1168</v>
      </c>
      <c r="Z533" s="1516"/>
      <c r="AA533" s="1517"/>
      <c r="AB533" s="1517"/>
      <c r="AC533" s="1521"/>
      <c r="AD533" s="1521"/>
      <c r="AE533" s="1522"/>
      <c r="AF533" s="2847"/>
      <c r="AG533" s="2848"/>
      <c r="AH533" s="2848"/>
      <c r="AI533" s="2847"/>
      <c r="AJ533" s="2848"/>
      <c r="AK533" s="2848"/>
      <c r="AL533" s="2329"/>
      <c r="AM533" s="2164"/>
      <c r="AN533" s="2164"/>
      <c r="AO533" s="2164"/>
      <c r="AP533" s="2164"/>
      <c r="AQ533" s="2164"/>
      <c r="AR533" s="2164"/>
      <c r="AS533" s="2164"/>
      <c r="AT533" s="2164"/>
      <c r="AU533" s="2164"/>
      <c r="AV533" s="2164"/>
      <c r="AW533" s="2164"/>
      <c r="AX533" s="2164"/>
      <c r="AY533" s="2164"/>
      <c r="AZ533" s="2164"/>
      <c r="BA533" s="2164"/>
      <c r="BB533" s="2164"/>
      <c r="BC533" s="2164"/>
      <c r="BD533" s="2164"/>
      <c r="BE533" s="2164"/>
      <c r="BF533" s="2164"/>
      <c r="BG533" s="7511"/>
    </row>
    <row customHeight="1" ht="11.25">
      <c r="A534" s="1507" t="s">
        <v>990</v>
      </c>
      <c r="B534" s="1507"/>
      <c r="C534" s="1507"/>
      <c r="D534" s="1501"/>
      <c r="E534" s="1511"/>
      <c r="F534" s="2170"/>
      <c r="G534" s="2171"/>
      <c r="H534" s="2856" t="s">
        <v>147</v>
      </c>
      <c r="I534" s="2857"/>
      <c r="J534" s="2826"/>
      <c r="K534" s="2858"/>
      <c r="L534" s="2448"/>
      <c r="M534" s="2449"/>
      <c r="N534" s="2849"/>
      <c r="O534" s="2850"/>
      <c r="P534" s="2852"/>
      <c r="Q534" s="7512"/>
      <c r="R534" s="2854"/>
      <c r="S534" s="2855"/>
      <c r="T534" s="2854"/>
      <c r="U534" s="2854"/>
      <c r="V534" s="2854"/>
      <c r="W534" s="2854"/>
      <c r="X534" s="2854"/>
      <c r="Y534" s="2854"/>
      <c r="Z534" s="2169"/>
      <c r="AA534" s="2135">
        <v>1</v>
      </c>
      <c r="AB534" s="1520" t="s">
        <v>1035</v>
      </c>
      <c r="AC534" s="1510">
        <v>58768.4284</v>
      </c>
      <c r="AD534" s="1520" t="str">
        <f>AB534</f>
        <v>      Амортизационные отчисления с выделением результатов переоценки основных средств и нематериальных активов</v>
      </c>
      <c r="AE534" s="1510"/>
      <c r="AF534" s="2847"/>
      <c r="AG534" s="2848"/>
      <c r="AH534" s="2848"/>
      <c r="AI534" s="2847"/>
      <c r="AJ534" s="2848"/>
      <c r="AK534" s="2848"/>
      <c r="AL534" s="2329"/>
      <c r="AM534" s="2164"/>
      <c r="AN534" s="2164"/>
      <c r="AO534" s="2164"/>
      <c r="AP534" s="2164"/>
      <c r="AQ534" s="2164"/>
      <c r="AR534" s="2164"/>
      <c r="AS534" s="2164"/>
      <c r="AT534" s="2164"/>
      <c r="AU534" s="2164"/>
      <c r="AV534" s="2164"/>
      <c r="AW534" s="2164"/>
      <c r="AX534" s="2164"/>
      <c r="AY534" s="2164"/>
      <c r="AZ534" s="2164"/>
      <c r="BA534" s="2164"/>
      <c r="BB534" s="2164"/>
      <c r="BC534" s="2164"/>
      <c r="BD534" s="2164"/>
      <c r="BE534" s="2164"/>
      <c r="BF534" s="2164"/>
      <c r="BG534" s="7511"/>
    </row>
    <row customHeight="1" ht="11.25">
      <c r="A535" s="1507" t="s">
        <v>990</v>
      </c>
      <c r="B535" s="1507"/>
      <c r="C535" s="1507"/>
      <c r="D535" s="1501"/>
      <c r="E535" s="1511"/>
      <c r="F535" s="2171"/>
      <c r="G535" s="2171"/>
      <c r="H535" s="2171"/>
      <c r="I535" s="2171"/>
      <c r="J535" s="2171"/>
      <c r="K535" s="2171"/>
      <c r="L535" s="2171"/>
      <c r="M535" s="2171"/>
      <c r="N535" s="2171"/>
      <c r="O535" s="2171"/>
      <c r="P535" s="2171"/>
      <c r="Q535" s="2171"/>
      <c r="R535" s="2171"/>
      <c r="S535" s="2171"/>
      <c r="T535" s="2171"/>
      <c r="U535" s="2171"/>
      <c r="V535" s="2171"/>
      <c r="W535" s="2171"/>
      <c r="X535" s="2171"/>
      <c r="Y535" s="2171"/>
      <c r="Z535" s="7510" t="s">
        <v>684</v>
      </c>
      <c r="AA535" s="2155" t="s">
        <v>107</v>
      </c>
      <c r="AB535" s="1520" t="s">
        <v>1036</v>
      </c>
      <c r="AC535" s="1510">
        <v>10752.63617</v>
      </c>
      <c r="AD535" s="1520" t="str">
        <f>AB535</f>
        <v>  Прочие собственные средства</v>
      </c>
      <c r="AE535" s="1510"/>
      <c r="AF535" s="2172"/>
      <c r="AG535" s="2100"/>
      <c r="AH535" s="2100"/>
      <c r="AI535" s="2172"/>
      <c r="AJ535" s="2100"/>
      <c r="AK535" s="2328"/>
      <c r="AL535" s="2329"/>
      <c r="AM535" s="2164"/>
      <c r="AN535" s="2164"/>
      <c r="AO535" s="2164"/>
      <c r="AP535" s="2164"/>
      <c r="AQ535" s="2164"/>
      <c r="AR535" s="2164"/>
      <c r="AS535" s="2164"/>
      <c r="AT535" s="2164"/>
      <c r="AU535" s="2164"/>
      <c r="AV535" s="2164"/>
      <c r="AW535" s="2164"/>
      <c r="AX535" s="2164"/>
      <c r="AY535" s="2164"/>
      <c r="AZ535" s="2164"/>
      <c r="BA535" s="2164"/>
      <c r="BB535" s="2164"/>
      <c r="BC535" s="2164"/>
      <c r="BD535" s="2164"/>
      <c r="BE535" s="2164"/>
      <c r="BF535" s="2164"/>
      <c r="BG535" s="7511"/>
    </row>
    <row customHeight="1" ht="11.25">
      <c r="A536" s="1507" t="s">
        <v>990</v>
      </c>
      <c r="B536" s="1507"/>
      <c r="C536" s="1507"/>
      <c r="D536" s="1501"/>
      <c r="E536" s="1511"/>
      <c r="F536" s="2170"/>
      <c r="G536" s="2171"/>
      <c r="H536" s="2856" t="s">
        <v>147</v>
      </c>
      <c r="I536" s="2857"/>
      <c r="J536" s="2826"/>
      <c r="K536" s="2858"/>
      <c r="L536" s="2448"/>
      <c r="M536" s="2449"/>
      <c r="N536" s="2849"/>
      <c r="O536" s="2850"/>
      <c r="P536" s="2853"/>
      <c r="Q536" s="7512"/>
      <c r="R536" s="2854"/>
      <c r="S536" s="2855"/>
      <c r="T536" s="2854"/>
      <c r="U536" s="2854"/>
      <c r="V536" s="2854"/>
      <c r="W536" s="2854"/>
      <c r="X536" s="2854"/>
      <c r="Y536" s="2854"/>
      <c r="Z536" s="1516"/>
      <c r="AA536" s="1517"/>
      <c r="AB536" s="1582" t="s">
        <v>1037</v>
      </c>
      <c r="AC536" s="1521"/>
      <c r="AD536" s="1521"/>
      <c r="AE536" s="1523"/>
      <c r="AF536" s="2847"/>
      <c r="AG536" s="2848"/>
      <c r="AH536" s="2848"/>
      <c r="AI536" s="2847"/>
      <c r="AJ536" s="2848"/>
      <c r="AK536" s="2848"/>
      <c r="AL536" s="2329"/>
      <c r="AM536" s="2164"/>
      <c r="AN536" s="2164"/>
      <c r="AO536" s="2164"/>
      <c r="AP536" s="2164"/>
      <c r="AQ536" s="2164"/>
      <c r="AR536" s="2164"/>
      <c r="AS536" s="2164"/>
      <c r="AT536" s="2164"/>
      <c r="AU536" s="2164"/>
      <c r="AV536" s="2164"/>
      <c r="AW536" s="2164"/>
      <c r="AX536" s="2164"/>
      <c r="AY536" s="2164"/>
      <c r="AZ536" s="2164"/>
      <c r="BA536" s="2164"/>
      <c r="BB536" s="2164"/>
      <c r="BC536" s="2164"/>
      <c r="BD536" s="2164"/>
      <c r="BE536" s="2164"/>
      <c r="BF536" s="2164"/>
      <c r="BG536" s="7511"/>
    </row>
    <row customHeight="1" ht="11.25">
      <c r="A537" s="1507" t="s">
        <v>990</v>
      </c>
      <c r="B537" s="1507"/>
      <c r="C537" s="1507"/>
      <c r="D537" s="1501"/>
      <c r="E537" s="1511"/>
      <c r="F537" s="2170"/>
      <c r="G537" s="2171"/>
      <c r="H537" s="2856" t="s">
        <v>147</v>
      </c>
      <c r="I537" s="2857"/>
      <c r="J537" s="2826"/>
      <c r="K537" s="2858"/>
      <c r="L537" s="2448"/>
      <c r="M537" s="2449"/>
      <c r="N537" s="1516"/>
      <c r="O537" s="1517"/>
      <c r="P537" s="1509" t="s">
        <v>1038</v>
      </c>
      <c r="Q537" s="1517"/>
      <c r="R537" s="1517"/>
      <c r="S537" s="1517"/>
      <c r="T537" s="1517"/>
      <c r="U537" s="1517"/>
      <c r="V537" s="1517"/>
      <c r="W537" s="1517"/>
      <c r="X537" s="1517"/>
      <c r="Y537" s="1517"/>
      <c r="Z537" s="1517"/>
      <c r="AA537" s="1517"/>
      <c r="AB537" s="1517"/>
      <c r="AC537" s="1517"/>
      <c r="AD537" s="1517"/>
      <c r="AE537" s="1524"/>
      <c r="AF537" s="2847"/>
      <c r="AG537" s="2848"/>
      <c r="AH537" s="2848"/>
      <c r="AI537" s="2847"/>
      <c r="AJ537" s="2848"/>
      <c r="AK537" s="2848"/>
      <c r="AL537" s="2329"/>
      <c r="AM537" s="2164"/>
      <c r="AN537" s="2164"/>
      <c r="AO537" s="2164"/>
      <c r="AP537" s="2164"/>
      <c r="AQ537" s="2164"/>
      <c r="AR537" s="2164"/>
      <c r="AS537" s="2164"/>
      <c r="AT537" s="2164"/>
      <c r="AU537" s="2164"/>
      <c r="AV537" s="2164"/>
      <c r="AW537" s="2164"/>
      <c r="AX537" s="2164"/>
      <c r="AY537" s="2164"/>
      <c r="AZ537" s="2164"/>
      <c r="BA537" s="2164"/>
      <c r="BB537" s="2164"/>
      <c r="BC537" s="2164"/>
      <c r="BD537" s="2164"/>
      <c r="BE537" s="2164"/>
      <c r="BF537" s="2164"/>
      <c r="BG537" s="7511"/>
    </row>
    <row customHeight="1" ht="11.25">
      <c r="A538" s="1507" t="s">
        <v>990</v>
      </c>
      <c r="B538" s="1507" t="s">
        <v>1022</v>
      </c>
      <c r="C538" s="1507"/>
      <c r="D538" s="1501"/>
      <c r="E538" s="1511"/>
      <c r="F538" s="2170"/>
      <c r="G538" s="7510" t="s">
        <v>684</v>
      </c>
      <c r="H538" s="2856" t="s">
        <v>149</v>
      </c>
      <c r="I538" s="2857" t="s">
        <v>1023</v>
      </c>
      <c r="J538" s="2826" t="s">
        <v>1024</v>
      </c>
      <c r="K538" s="2858" t="s">
        <v>1187</v>
      </c>
      <c r="L538" s="2448" t="s">
        <v>19</v>
      </c>
      <c r="M538" s="2449"/>
      <c r="N538" s="2327"/>
      <c r="O538" s="1518" t="s">
        <v>371</v>
      </c>
      <c r="P538" s="1519"/>
      <c r="Q538" s="1519"/>
      <c r="R538" s="1519"/>
      <c r="S538" s="1519"/>
      <c r="T538" s="1519"/>
      <c r="U538" s="1519"/>
      <c r="V538" s="1519"/>
      <c r="W538" s="1519"/>
      <c r="X538" s="1519"/>
      <c r="Y538" s="1519"/>
      <c r="Z538" s="1519"/>
      <c r="AA538" s="1519"/>
      <c r="AB538" s="1519"/>
      <c r="AC538" s="1519"/>
      <c r="AD538" s="1519"/>
      <c r="AE538" s="1519"/>
      <c r="AF538" s="2847">
        <v>4</v>
      </c>
      <c r="AG538" s="2848" t="s">
        <v>1026</v>
      </c>
      <c r="AH538" s="2848" t="s">
        <v>1104</v>
      </c>
      <c r="AI538" s="2847"/>
      <c r="AJ538" s="2848"/>
      <c r="AK538" s="2848"/>
      <c r="AL538" s="2329"/>
      <c r="AM538" s="2164"/>
      <c r="AN538" s="2164"/>
      <c r="AO538" s="2164"/>
      <c r="AP538" s="2164"/>
      <c r="AQ538" s="2164"/>
      <c r="AR538" s="2164"/>
      <c r="AS538" s="2164"/>
      <c r="AT538" s="2164"/>
      <c r="AU538" s="2164"/>
      <c r="AV538" s="2164"/>
      <c r="AW538" s="2164"/>
      <c r="AX538" s="2164"/>
      <c r="AY538" s="2164"/>
      <c r="AZ538" s="2164"/>
      <c r="BA538" s="2164"/>
      <c r="BB538" s="2164"/>
      <c r="BC538" s="2164"/>
      <c r="BD538" s="2164"/>
      <c r="BE538" s="2164"/>
      <c r="BF538" s="2164"/>
      <c r="BG538" s="7511"/>
    </row>
    <row customHeight="1" ht="11.25">
      <c r="A539" s="1507" t="s">
        <v>990</v>
      </c>
      <c r="B539" s="1507"/>
      <c r="C539" s="1507"/>
      <c r="D539" s="1501"/>
      <c r="E539" s="1511"/>
      <c r="F539" s="2170"/>
      <c r="G539" s="2171"/>
      <c r="H539" s="2856" t="s">
        <v>148</v>
      </c>
      <c r="I539" s="2857"/>
      <c r="J539" s="2826"/>
      <c r="K539" s="2858"/>
      <c r="L539" s="2448"/>
      <c r="M539" s="2449"/>
      <c r="N539" s="2849"/>
      <c r="O539" s="2850">
        <v>1</v>
      </c>
      <c r="P539" s="2851" t="s">
        <v>65</v>
      </c>
      <c r="Q539" s="7512" t="s">
        <v>1161</v>
      </c>
      <c r="R539" s="7513" t="s">
        <v>1083</v>
      </c>
      <c r="S539" s="7513" t="s">
        <v>1162</v>
      </c>
      <c r="T539" s="7513" t="s">
        <v>1163</v>
      </c>
      <c r="U539" s="7513" t="s">
        <v>1164</v>
      </c>
      <c r="V539" s="7513" t="s">
        <v>1165</v>
      </c>
      <c r="W539" s="7513" t="s">
        <v>1166</v>
      </c>
      <c r="X539" s="7513" t="s">
        <v>1167</v>
      </c>
      <c r="Y539" s="7513" t="s">
        <v>1168</v>
      </c>
      <c r="Z539" s="1516"/>
      <c r="AA539" s="1517"/>
      <c r="AB539" s="1517"/>
      <c r="AC539" s="1521"/>
      <c r="AD539" s="1521"/>
      <c r="AE539" s="1522"/>
      <c r="AF539" s="2847"/>
      <c r="AG539" s="2848"/>
      <c r="AH539" s="2848"/>
      <c r="AI539" s="2847"/>
      <c r="AJ539" s="2848"/>
      <c r="AK539" s="2848"/>
      <c r="AL539" s="2329"/>
      <c r="AM539" s="2164"/>
      <c r="AN539" s="2164"/>
      <c r="AO539" s="2164"/>
      <c r="AP539" s="2164"/>
      <c r="AQ539" s="2164"/>
      <c r="AR539" s="2164"/>
      <c r="AS539" s="2164"/>
      <c r="AT539" s="2164"/>
      <c r="AU539" s="2164"/>
      <c r="AV539" s="2164"/>
      <c r="AW539" s="2164"/>
      <c r="AX539" s="2164"/>
      <c r="AY539" s="2164"/>
      <c r="AZ539" s="2164"/>
      <c r="BA539" s="2164"/>
      <c r="BB539" s="2164"/>
      <c r="BC539" s="2164"/>
      <c r="BD539" s="2164"/>
      <c r="BE539" s="2164"/>
      <c r="BF539" s="2164"/>
      <c r="BG539" s="7511"/>
    </row>
    <row customHeight="1" ht="11.25">
      <c r="A540" s="1507" t="s">
        <v>990</v>
      </c>
      <c r="B540" s="1507"/>
      <c r="C540" s="1507"/>
      <c r="D540" s="1501"/>
      <c r="E540" s="1511"/>
      <c r="F540" s="2170"/>
      <c r="G540" s="2171"/>
      <c r="H540" s="2856" t="s">
        <v>148</v>
      </c>
      <c r="I540" s="2857"/>
      <c r="J540" s="2826"/>
      <c r="K540" s="2858"/>
      <c r="L540" s="2448"/>
      <c r="M540" s="2449"/>
      <c r="N540" s="2849"/>
      <c r="O540" s="2850"/>
      <c r="P540" s="2852"/>
      <c r="Q540" s="7512"/>
      <c r="R540" s="2854"/>
      <c r="S540" s="2855"/>
      <c r="T540" s="2854"/>
      <c r="U540" s="2854"/>
      <c r="V540" s="2854"/>
      <c r="W540" s="2854"/>
      <c r="X540" s="2854"/>
      <c r="Y540" s="2854"/>
      <c r="Z540" s="2169"/>
      <c r="AA540" s="2135">
        <v>1</v>
      </c>
      <c r="AB540" s="1520" t="s">
        <v>1035</v>
      </c>
      <c r="AC540" s="1510">
        <v>8929.26645</v>
      </c>
      <c r="AD540" s="1520" t="str">
        <f>AB540</f>
        <v>      Амортизационные отчисления с выделением результатов переоценки основных средств и нематериальных активов</v>
      </c>
      <c r="AE540" s="1510"/>
      <c r="AF540" s="2847"/>
      <c r="AG540" s="2848"/>
      <c r="AH540" s="2848"/>
      <c r="AI540" s="2847"/>
      <c r="AJ540" s="2848"/>
      <c r="AK540" s="2848"/>
      <c r="AL540" s="2329"/>
      <c r="AM540" s="2164"/>
      <c r="AN540" s="2164"/>
      <c r="AO540" s="2164"/>
      <c r="AP540" s="2164"/>
      <c r="AQ540" s="2164"/>
      <c r="AR540" s="2164"/>
      <c r="AS540" s="2164"/>
      <c r="AT540" s="2164"/>
      <c r="AU540" s="2164"/>
      <c r="AV540" s="2164"/>
      <c r="AW540" s="2164"/>
      <c r="AX540" s="2164"/>
      <c r="AY540" s="2164"/>
      <c r="AZ540" s="2164"/>
      <c r="BA540" s="2164"/>
      <c r="BB540" s="2164"/>
      <c r="BC540" s="2164"/>
      <c r="BD540" s="2164"/>
      <c r="BE540" s="2164"/>
      <c r="BF540" s="2164"/>
      <c r="BG540" s="7511"/>
    </row>
    <row customHeight="1" ht="11.25">
      <c r="A541" s="1507" t="s">
        <v>990</v>
      </c>
      <c r="B541" s="1507"/>
      <c r="C541" s="1507"/>
      <c r="D541" s="1501"/>
      <c r="E541" s="1511"/>
      <c r="F541" s="2171"/>
      <c r="G541" s="2171"/>
      <c r="H541" s="2171"/>
      <c r="I541" s="2171"/>
      <c r="J541" s="2171"/>
      <c r="K541" s="2171"/>
      <c r="L541" s="2171"/>
      <c r="M541" s="2171"/>
      <c r="N541" s="2171"/>
      <c r="O541" s="2171"/>
      <c r="P541" s="2171"/>
      <c r="Q541" s="2171"/>
      <c r="R541" s="2171"/>
      <c r="S541" s="2171"/>
      <c r="T541" s="2171"/>
      <c r="U541" s="2171"/>
      <c r="V541" s="2171"/>
      <c r="W541" s="2171"/>
      <c r="X541" s="2171"/>
      <c r="Y541" s="2171"/>
      <c r="Z541" s="7510" t="s">
        <v>684</v>
      </c>
      <c r="AA541" s="2155" t="s">
        <v>107</v>
      </c>
      <c r="AB541" s="1520" t="s">
        <v>1036</v>
      </c>
      <c r="AC541" s="1510">
        <v>1607.26796</v>
      </c>
      <c r="AD541" s="1520" t="str">
        <f>AB541</f>
        <v>  Прочие собственные средства</v>
      </c>
      <c r="AE541" s="1510"/>
      <c r="AF541" s="2172"/>
      <c r="AG541" s="2100"/>
      <c r="AH541" s="2100"/>
      <c r="AI541" s="2172"/>
      <c r="AJ541" s="2100"/>
      <c r="AK541" s="2328"/>
      <c r="AL541" s="2329"/>
      <c r="AM541" s="2164"/>
      <c r="AN541" s="2164"/>
      <c r="AO541" s="2164"/>
      <c r="AP541" s="2164"/>
      <c r="AQ541" s="2164"/>
      <c r="AR541" s="2164"/>
      <c r="AS541" s="2164"/>
      <c r="AT541" s="2164"/>
      <c r="AU541" s="2164"/>
      <c r="AV541" s="2164"/>
      <c r="AW541" s="2164"/>
      <c r="AX541" s="2164"/>
      <c r="AY541" s="2164"/>
      <c r="AZ541" s="2164"/>
      <c r="BA541" s="2164"/>
      <c r="BB541" s="2164"/>
      <c r="BC541" s="2164"/>
      <c r="BD541" s="2164"/>
      <c r="BE541" s="2164"/>
      <c r="BF541" s="2164"/>
      <c r="BG541" s="7511"/>
    </row>
    <row customHeight="1" ht="11.25">
      <c r="A542" s="1507" t="s">
        <v>990</v>
      </c>
      <c r="B542" s="1507"/>
      <c r="C542" s="1507"/>
      <c r="D542" s="1501"/>
      <c r="E542" s="1511"/>
      <c r="F542" s="2170"/>
      <c r="G542" s="2171"/>
      <c r="H542" s="2856" t="s">
        <v>148</v>
      </c>
      <c r="I542" s="2857"/>
      <c r="J542" s="2826"/>
      <c r="K542" s="2858"/>
      <c r="L542" s="2448"/>
      <c r="M542" s="2449"/>
      <c r="N542" s="2849"/>
      <c r="O542" s="2850"/>
      <c r="P542" s="2853"/>
      <c r="Q542" s="7512"/>
      <c r="R542" s="2854"/>
      <c r="S542" s="2855"/>
      <c r="T542" s="2854"/>
      <c r="U542" s="2854"/>
      <c r="V542" s="2854"/>
      <c r="W542" s="2854"/>
      <c r="X542" s="2854"/>
      <c r="Y542" s="2854"/>
      <c r="Z542" s="1516"/>
      <c r="AA542" s="1517"/>
      <c r="AB542" s="1582" t="s">
        <v>1037</v>
      </c>
      <c r="AC542" s="1521"/>
      <c r="AD542" s="1521"/>
      <c r="AE542" s="1523"/>
      <c r="AF542" s="2847"/>
      <c r="AG542" s="2848"/>
      <c r="AH542" s="2848"/>
      <c r="AI542" s="2847"/>
      <c r="AJ542" s="2848"/>
      <c r="AK542" s="2848"/>
      <c r="AL542" s="2329"/>
      <c r="AM542" s="2164"/>
      <c r="AN542" s="2164"/>
      <c r="AO542" s="2164"/>
      <c r="AP542" s="2164"/>
      <c r="AQ542" s="2164"/>
      <c r="AR542" s="2164"/>
      <c r="AS542" s="2164"/>
      <c r="AT542" s="2164"/>
      <c r="AU542" s="2164"/>
      <c r="AV542" s="2164"/>
      <c r="AW542" s="2164"/>
      <c r="AX542" s="2164"/>
      <c r="AY542" s="2164"/>
      <c r="AZ542" s="2164"/>
      <c r="BA542" s="2164"/>
      <c r="BB542" s="2164"/>
      <c r="BC542" s="2164"/>
      <c r="BD542" s="2164"/>
      <c r="BE542" s="2164"/>
      <c r="BF542" s="2164"/>
      <c r="BG542" s="7511"/>
    </row>
    <row customHeight="1" ht="11.25">
      <c r="A543" s="1507" t="s">
        <v>990</v>
      </c>
      <c r="B543" s="1507"/>
      <c r="C543" s="1507"/>
      <c r="D543" s="1501"/>
      <c r="E543" s="1511"/>
      <c r="F543" s="2170"/>
      <c r="G543" s="2171"/>
      <c r="H543" s="2856" t="s">
        <v>148</v>
      </c>
      <c r="I543" s="2857"/>
      <c r="J543" s="2826"/>
      <c r="K543" s="2858"/>
      <c r="L543" s="2448"/>
      <c r="M543" s="2449"/>
      <c r="N543" s="1516"/>
      <c r="O543" s="1517"/>
      <c r="P543" s="1509" t="s">
        <v>1038</v>
      </c>
      <c r="Q543" s="1517"/>
      <c r="R543" s="1517"/>
      <c r="S543" s="1517"/>
      <c r="T543" s="1517"/>
      <c r="U543" s="1517"/>
      <c r="V543" s="1517"/>
      <c r="W543" s="1517"/>
      <c r="X543" s="1517"/>
      <c r="Y543" s="1517"/>
      <c r="Z543" s="1517"/>
      <c r="AA543" s="1517"/>
      <c r="AB543" s="1517"/>
      <c r="AC543" s="1517"/>
      <c r="AD543" s="1517"/>
      <c r="AE543" s="1524"/>
      <c r="AF543" s="2847"/>
      <c r="AG543" s="2848"/>
      <c r="AH543" s="2848"/>
      <c r="AI543" s="2847"/>
      <c r="AJ543" s="2848"/>
      <c r="AK543" s="2848"/>
      <c r="AL543" s="2329"/>
      <c r="AM543" s="2164"/>
      <c r="AN543" s="2164"/>
      <c r="AO543" s="2164"/>
      <c r="AP543" s="2164"/>
      <c r="AQ543" s="2164"/>
      <c r="AR543" s="2164"/>
      <c r="AS543" s="2164"/>
      <c r="AT543" s="2164"/>
      <c r="AU543" s="2164"/>
      <c r="AV543" s="2164"/>
      <c r="AW543" s="2164"/>
      <c r="AX543" s="2164"/>
      <c r="AY543" s="2164"/>
      <c r="AZ543" s="2164"/>
      <c r="BA543" s="2164"/>
      <c r="BB543" s="2164"/>
      <c r="BC543" s="2164"/>
      <c r="BD543" s="2164"/>
      <c r="BE543" s="2164"/>
      <c r="BF543" s="2164"/>
      <c r="BG543" s="7511"/>
    </row>
    <row customHeight="1" ht="11.25">
      <c r="A544" s="1507" t="s">
        <v>990</v>
      </c>
      <c r="B544" s="1507" t="s">
        <v>22</v>
      </c>
      <c r="C544" s="1507"/>
      <c r="D544" s="1501"/>
      <c r="E544" s="1511"/>
      <c r="F544" s="2170"/>
      <c r="G544" s="7510" t="s">
        <v>684</v>
      </c>
      <c r="H544" s="2856" t="s">
        <v>150</v>
      </c>
      <c r="I544" s="2857" t="s">
        <v>1039</v>
      </c>
      <c r="J544" s="7514" t="s">
        <v>22</v>
      </c>
      <c r="K544" s="2858" t="s">
        <v>1174</v>
      </c>
      <c r="L544" s="2448" t="s">
        <v>19</v>
      </c>
      <c r="M544" s="2449"/>
      <c r="N544" s="2327"/>
      <c r="O544" s="1518" t="s">
        <v>371</v>
      </c>
      <c r="P544" s="1519"/>
      <c r="Q544" s="1519"/>
      <c r="R544" s="1519"/>
      <c r="S544" s="1519"/>
      <c r="T544" s="1519"/>
      <c r="U544" s="1519"/>
      <c r="V544" s="1519"/>
      <c r="W544" s="1519"/>
      <c r="X544" s="1519"/>
      <c r="Y544" s="1519"/>
      <c r="Z544" s="1519"/>
      <c r="AA544" s="1519"/>
      <c r="AB544" s="1519"/>
      <c r="AC544" s="1519"/>
      <c r="AD544" s="1519"/>
      <c r="AE544" s="1519"/>
      <c r="AF544" s="2847">
        <v>1</v>
      </c>
      <c r="AG544" s="2848" t="s">
        <v>1026</v>
      </c>
      <c r="AH544" s="2848" t="s">
        <v>1051</v>
      </c>
      <c r="AI544" s="2847"/>
      <c r="AJ544" s="2848"/>
      <c r="AK544" s="2848"/>
      <c r="AL544" s="2329"/>
      <c r="AM544" s="2164"/>
      <c r="AN544" s="2164"/>
      <c r="AO544" s="2164"/>
      <c r="AP544" s="2164"/>
      <c r="AQ544" s="2164"/>
      <c r="AR544" s="2164"/>
      <c r="AS544" s="2164"/>
      <c r="AT544" s="2164"/>
      <c r="AU544" s="2164"/>
      <c r="AV544" s="2164"/>
      <c r="AW544" s="2164"/>
      <c r="AX544" s="2164"/>
      <c r="AY544" s="2164"/>
      <c r="AZ544" s="2164"/>
      <c r="BA544" s="2164"/>
      <c r="BB544" s="2164"/>
      <c r="BC544" s="2164"/>
      <c r="BD544" s="2164"/>
      <c r="BE544" s="2164"/>
      <c r="BF544" s="2164"/>
      <c r="BG544" s="7511"/>
    </row>
    <row customHeight="1" ht="11.25">
      <c r="A545" s="1507" t="s">
        <v>990</v>
      </c>
      <c r="B545" s="1507"/>
      <c r="C545" s="1507"/>
      <c r="D545" s="1501"/>
      <c r="E545" s="1511"/>
      <c r="F545" s="2170"/>
      <c r="G545" s="2171"/>
      <c r="H545" s="2856" t="s">
        <v>149</v>
      </c>
      <c r="I545" s="2857"/>
      <c r="J545" s="7514"/>
      <c r="K545" s="2858"/>
      <c r="L545" s="2448"/>
      <c r="M545" s="2449"/>
      <c r="N545" s="2849"/>
      <c r="O545" s="2850">
        <v>1</v>
      </c>
      <c r="P545" s="2851" t="s">
        <v>19</v>
      </c>
      <c r="Q545" s="7516" t="s">
        <v>22</v>
      </c>
      <c r="R545" s="7516" t="s">
        <v>22</v>
      </c>
      <c r="S545" s="7516" t="s">
        <v>22</v>
      </c>
      <c r="T545" s="7516" t="s">
        <v>22</v>
      </c>
      <c r="U545" s="7516" t="s">
        <v>22</v>
      </c>
      <c r="V545" s="7516" t="s">
        <v>22</v>
      </c>
      <c r="W545" s="7516" t="s">
        <v>22</v>
      </c>
      <c r="X545" s="7516" t="s">
        <v>22</v>
      </c>
      <c r="Y545" s="7516" t="s">
        <v>22</v>
      </c>
      <c r="Z545" s="1516"/>
      <c r="AA545" s="1517"/>
      <c r="AB545" s="1517"/>
      <c r="AC545" s="1521"/>
      <c r="AD545" s="1521"/>
      <c r="AE545" s="1522"/>
      <c r="AF545" s="2847"/>
      <c r="AG545" s="2848"/>
      <c r="AH545" s="2848"/>
      <c r="AI545" s="2847"/>
      <c r="AJ545" s="2848"/>
      <c r="AK545" s="2848"/>
      <c r="AL545" s="2329"/>
      <c r="AM545" s="2164"/>
      <c r="AN545" s="2164"/>
      <c r="AO545" s="2164"/>
      <c r="AP545" s="2164"/>
      <c r="AQ545" s="2164"/>
      <c r="AR545" s="2164"/>
      <c r="AS545" s="2164"/>
      <c r="AT545" s="2164"/>
      <c r="AU545" s="2164"/>
      <c r="AV545" s="2164"/>
      <c r="AW545" s="2164"/>
      <c r="AX545" s="2164"/>
      <c r="AY545" s="2164"/>
      <c r="AZ545" s="2164"/>
      <c r="BA545" s="2164"/>
      <c r="BB545" s="2164"/>
      <c r="BC545" s="2164"/>
      <c r="BD545" s="2164"/>
      <c r="BE545" s="2164"/>
      <c r="BF545" s="2164"/>
      <c r="BG545" s="7511"/>
    </row>
    <row customHeight="1" ht="11.25">
      <c r="A546" s="1507" t="s">
        <v>990</v>
      </c>
      <c r="B546" s="1507"/>
      <c r="C546" s="1507"/>
      <c r="D546" s="1501"/>
      <c r="E546" s="1511"/>
      <c r="F546" s="2170"/>
      <c r="G546" s="2171"/>
      <c r="H546" s="2856" t="s">
        <v>149</v>
      </c>
      <c r="I546" s="2857"/>
      <c r="J546" s="7514"/>
      <c r="K546" s="2858"/>
      <c r="L546" s="2448"/>
      <c r="M546" s="2449"/>
      <c r="N546" s="2849"/>
      <c r="O546" s="2850"/>
      <c r="P546" s="2852"/>
      <c r="Q546" s="7512"/>
      <c r="R546" s="2854"/>
      <c r="S546" s="2855"/>
      <c r="T546" s="2854"/>
      <c r="U546" s="2854"/>
      <c r="V546" s="2854"/>
      <c r="W546" s="2854"/>
      <c r="X546" s="2854"/>
      <c r="Y546" s="2854"/>
      <c r="Z546" s="2169"/>
      <c r="AA546" s="2135">
        <v>1</v>
      </c>
      <c r="AB546" s="1520" t="s">
        <v>1035</v>
      </c>
      <c r="AC546" s="1510">
        <v>5382.56047</v>
      </c>
      <c r="AD546" s="1520" t="str">
        <f>AB546</f>
        <v>      Амортизационные отчисления с выделением результатов переоценки основных средств и нематериальных активов</v>
      </c>
      <c r="AE546" s="1510"/>
      <c r="AF546" s="2847"/>
      <c r="AG546" s="2848"/>
      <c r="AH546" s="2848"/>
      <c r="AI546" s="2847"/>
      <c r="AJ546" s="2848"/>
      <c r="AK546" s="2848"/>
      <c r="AL546" s="2329"/>
      <c r="AM546" s="2164"/>
      <c r="AN546" s="2164"/>
      <c r="AO546" s="2164"/>
      <c r="AP546" s="2164"/>
      <c r="AQ546" s="2164"/>
      <c r="AR546" s="2164"/>
      <c r="AS546" s="2164"/>
      <c r="AT546" s="2164"/>
      <c r="AU546" s="2164"/>
      <c r="AV546" s="2164"/>
      <c r="AW546" s="2164"/>
      <c r="AX546" s="2164"/>
      <c r="AY546" s="2164"/>
      <c r="AZ546" s="2164"/>
      <c r="BA546" s="2164"/>
      <c r="BB546" s="2164"/>
      <c r="BC546" s="2164"/>
      <c r="BD546" s="2164"/>
      <c r="BE546" s="2164"/>
      <c r="BF546" s="2164"/>
      <c r="BG546" s="7511"/>
    </row>
    <row customHeight="1" ht="11.25">
      <c r="A547" s="1507" t="s">
        <v>990</v>
      </c>
      <c r="B547" s="1507"/>
      <c r="C547" s="1507"/>
      <c r="D547" s="1501"/>
      <c r="E547" s="1511"/>
      <c r="F547" s="2171"/>
      <c r="G547" s="2171"/>
      <c r="H547" s="2171"/>
      <c r="I547" s="2171"/>
      <c r="J547" s="2171"/>
      <c r="K547" s="2171"/>
      <c r="L547" s="2171"/>
      <c r="M547" s="2171"/>
      <c r="N547" s="2171"/>
      <c r="O547" s="2171"/>
      <c r="P547" s="2171"/>
      <c r="Q547" s="2171"/>
      <c r="R547" s="2171"/>
      <c r="S547" s="2171"/>
      <c r="T547" s="2171"/>
      <c r="U547" s="2171"/>
      <c r="V547" s="2171"/>
      <c r="W547" s="2171"/>
      <c r="X547" s="2171"/>
      <c r="Y547" s="2171"/>
      <c r="Z547" s="7510" t="s">
        <v>684</v>
      </c>
      <c r="AA547" s="2155" t="s">
        <v>107</v>
      </c>
      <c r="AB547" s="1520" t="s">
        <v>1036</v>
      </c>
      <c r="AC547" s="1510">
        <v>1076.512094</v>
      </c>
      <c r="AD547" s="1520" t="str">
        <f>AB547</f>
        <v>  Прочие собственные средства</v>
      </c>
      <c r="AE547" s="1510"/>
      <c r="AF547" s="2172"/>
      <c r="AG547" s="2100"/>
      <c r="AH547" s="2100"/>
      <c r="AI547" s="2172"/>
      <c r="AJ547" s="2100"/>
      <c r="AK547" s="2328"/>
      <c r="AL547" s="2329"/>
      <c r="AM547" s="2164"/>
      <c r="AN547" s="2164"/>
      <c r="AO547" s="2164"/>
      <c r="AP547" s="2164"/>
      <c r="AQ547" s="2164"/>
      <c r="AR547" s="2164"/>
      <c r="AS547" s="2164"/>
      <c r="AT547" s="2164"/>
      <c r="AU547" s="2164"/>
      <c r="AV547" s="2164"/>
      <c r="AW547" s="2164"/>
      <c r="AX547" s="2164"/>
      <c r="AY547" s="2164"/>
      <c r="AZ547" s="2164"/>
      <c r="BA547" s="2164"/>
      <c r="BB547" s="2164"/>
      <c r="BC547" s="2164"/>
      <c r="BD547" s="2164"/>
      <c r="BE547" s="2164"/>
      <c r="BF547" s="2164"/>
      <c r="BG547" s="7511"/>
    </row>
    <row customHeight="1" ht="11.25">
      <c r="A548" s="1507" t="s">
        <v>990</v>
      </c>
      <c r="B548" s="1507"/>
      <c r="C548" s="1507"/>
      <c r="D548" s="1501"/>
      <c r="E548" s="1511"/>
      <c r="F548" s="2170"/>
      <c r="G548" s="2171"/>
      <c r="H548" s="2856" t="s">
        <v>149</v>
      </c>
      <c r="I548" s="2857"/>
      <c r="J548" s="7514"/>
      <c r="K548" s="2858"/>
      <c r="L548" s="2448"/>
      <c r="M548" s="2449"/>
      <c r="N548" s="2849"/>
      <c r="O548" s="2850"/>
      <c r="P548" s="2853"/>
      <c r="Q548" s="7512"/>
      <c r="R548" s="2854"/>
      <c r="S548" s="2855"/>
      <c r="T548" s="2854"/>
      <c r="U548" s="2854"/>
      <c r="V548" s="2854"/>
      <c r="W548" s="2854"/>
      <c r="X548" s="2854"/>
      <c r="Y548" s="2854"/>
      <c r="Z548" s="1516"/>
      <c r="AA548" s="1517"/>
      <c r="AB548" s="1582" t="s">
        <v>1037</v>
      </c>
      <c r="AC548" s="1521"/>
      <c r="AD548" s="1521"/>
      <c r="AE548" s="1523"/>
      <c r="AF548" s="2847"/>
      <c r="AG548" s="2848"/>
      <c r="AH548" s="2848"/>
      <c r="AI548" s="2847"/>
      <c r="AJ548" s="2848"/>
      <c r="AK548" s="2848"/>
      <c r="AL548" s="2329"/>
      <c r="AM548" s="2164"/>
      <c r="AN548" s="2164"/>
      <c r="AO548" s="2164"/>
      <c r="AP548" s="2164"/>
      <c r="AQ548" s="2164"/>
      <c r="AR548" s="2164"/>
      <c r="AS548" s="2164"/>
      <c r="AT548" s="2164"/>
      <c r="AU548" s="2164"/>
      <c r="AV548" s="2164"/>
      <c r="AW548" s="2164"/>
      <c r="AX548" s="2164"/>
      <c r="AY548" s="2164"/>
      <c r="AZ548" s="2164"/>
      <c r="BA548" s="2164"/>
      <c r="BB548" s="2164"/>
      <c r="BC548" s="2164"/>
      <c r="BD548" s="2164"/>
      <c r="BE548" s="2164"/>
      <c r="BF548" s="2164"/>
      <c r="BG548" s="7511"/>
    </row>
    <row customHeight="1" ht="11.25">
      <c r="A549" s="1507" t="s">
        <v>990</v>
      </c>
      <c r="B549" s="1507"/>
      <c r="C549" s="1507"/>
      <c r="D549" s="1501"/>
      <c r="E549" s="1511"/>
      <c r="F549" s="2170"/>
      <c r="G549" s="2171"/>
      <c r="H549" s="2856" t="s">
        <v>149</v>
      </c>
      <c r="I549" s="2857"/>
      <c r="J549" s="7514"/>
      <c r="K549" s="2858"/>
      <c r="L549" s="2448"/>
      <c r="M549" s="2449"/>
      <c r="N549" s="1516"/>
      <c r="O549" s="1517"/>
      <c r="P549" s="1509" t="s">
        <v>1038</v>
      </c>
      <c r="Q549" s="1517"/>
      <c r="R549" s="1517"/>
      <c r="S549" s="1517"/>
      <c r="T549" s="1517"/>
      <c r="U549" s="1517"/>
      <c r="V549" s="1517"/>
      <c r="W549" s="1517"/>
      <c r="X549" s="1517"/>
      <c r="Y549" s="1517"/>
      <c r="Z549" s="1517"/>
      <c r="AA549" s="1517"/>
      <c r="AB549" s="1517"/>
      <c r="AC549" s="1517"/>
      <c r="AD549" s="1517"/>
      <c r="AE549" s="1524"/>
      <c r="AF549" s="2847"/>
      <c r="AG549" s="2848"/>
      <c r="AH549" s="2848"/>
      <c r="AI549" s="2847"/>
      <c r="AJ549" s="2848"/>
      <c r="AK549" s="2848"/>
      <c r="AL549" s="2329"/>
      <c r="AM549" s="2164"/>
      <c r="AN549" s="2164"/>
      <c r="AO549" s="2164"/>
      <c r="AP549" s="2164"/>
      <c r="AQ549" s="2164"/>
      <c r="AR549" s="2164"/>
      <c r="AS549" s="2164"/>
      <c r="AT549" s="2164"/>
      <c r="AU549" s="2164"/>
      <c r="AV549" s="2164"/>
      <c r="AW549" s="2164"/>
      <c r="AX549" s="2164"/>
      <c r="AY549" s="2164"/>
      <c r="AZ549" s="2164"/>
      <c r="BA549" s="2164"/>
      <c r="BB549" s="2164"/>
      <c r="BC549" s="2164"/>
      <c r="BD549" s="2164"/>
      <c r="BE549" s="2164"/>
      <c r="BF549" s="2164"/>
      <c r="BG549" s="7511"/>
    </row>
    <row customHeight="1" ht="11.25">
      <c r="A550" s="1507" t="s">
        <v>990</v>
      </c>
      <c r="B550" s="1507" t="s">
        <v>1022</v>
      </c>
      <c r="C550" s="1507"/>
      <c r="D550" s="1501"/>
      <c r="E550" s="1511"/>
      <c r="F550" s="2170"/>
      <c r="G550" s="7510" t="s">
        <v>684</v>
      </c>
      <c r="H550" s="2856" t="s">
        <v>1049</v>
      </c>
      <c r="I550" s="2857" t="s">
        <v>1023</v>
      </c>
      <c r="J550" s="2826" t="s">
        <v>1024</v>
      </c>
      <c r="K550" s="2858" t="s">
        <v>1176</v>
      </c>
      <c r="L550" s="2448" t="s">
        <v>19</v>
      </c>
      <c r="M550" s="2449"/>
      <c r="N550" s="2327"/>
      <c r="O550" s="1518" t="s">
        <v>371</v>
      </c>
      <c r="P550" s="1519"/>
      <c r="Q550" s="1519"/>
      <c r="R550" s="1519"/>
      <c r="S550" s="1519"/>
      <c r="T550" s="1519"/>
      <c r="U550" s="1519"/>
      <c r="V550" s="1519"/>
      <c r="W550" s="1519"/>
      <c r="X550" s="1519"/>
      <c r="Y550" s="1519"/>
      <c r="Z550" s="1519"/>
      <c r="AA550" s="1519"/>
      <c r="AB550" s="1519"/>
      <c r="AC550" s="1519"/>
      <c r="AD550" s="1519"/>
      <c r="AE550" s="1519"/>
      <c r="AF550" s="2847">
        <v>3</v>
      </c>
      <c r="AG550" s="2848" t="s">
        <v>1026</v>
      </c>
      <c r="AH550" s="2848" t="s">
        <v>1051</v>
      </c>
      <c r="AI550" s="2847"/>
      <c r="AJ550" s="2848"/>
      <c r="AK550" s="2848"/>
      <c r="AL550" s="2329"/>
      <c r="AM550" s="2164"/>
      <c r="AN550" s="2164"/>
      <c r="AO550" s="2164"/>
      <c r="AP550" s="2164"/>
      <c r="AQ550" s="2164"/>
      <c r="AR550" s="2164"/>
      <c r="AS550" s="2164"/>
      <c r="AT550" s="2164"/>
      <c r="AU550" s="2164"/>
      <c r="AV550" s="2164"/>
      <c r="AW550" s="2164"/>
      <c r="AX550" s="2164"/>
      <c r="AY550" s="2164"/>
      <c r="AZ550" s="2164"/>
      <c r="BA550" s="2164"/>
      <c r="BB550" s="2164"/>
      <c r="BC550" s="2164"/>
      <c r="BD550" s="2164"/>
      <c r="BE550" s="2164"/>
      <c r="BF550" s="2164"/>
      <c r="BG550" s="7511"/>
    </row>
    <row customHeight="1" ht="11.25">
      <c r="A551" s="1507" t="s">
        <v>990</v>
      </c>
      <c r="B551" s="1507"/>
      <c r="C551" s="1507"/>
      <c r="D551" s="1501"/>
      <c r="E551" s="1511"/>
      <c r="F551" s="2170"/>
      <c r="G551" s="2171"/>
      <c r="H551" s="2856" t="s">
        <v>150</v>
      </c>
      <c r="I551" s="2857"/>
      <c r="J551" s="2826"/>
      <c r="K551" s="2858"/>
      <c r="L551" s="2448"/>
      <c r="M551" s="2449"/>
      <c r="N551" s="2849"/>
      <c r="O551" s="2850">
        <v>1</v>
      </c>
      <c r="P551" s="2851" t="s">
        <v>65</v>
      </c>
      <c r="Q551" s="7512" t="s">
        <v>1153</v>
      </c>
      <c r="R551" s="7513" t="s">
        <v>1083</v>
      </c>
      <c r="S551" s="7513" t="s">
        <v>1154</v>
      </c>
      <c r="T551" s="7513" t="s">
        <v>1154</v>
      </c>
      <c r="U551" s="7513" t="s">
        <v>1155</v>
      </c>
      <c r="V551" s="7513" t="s">
        <v>1156</v>
      </c>
      <c r="W551" s="7513" t="s">
        <v>1157</v>
      </c>
      <c r="X551" s="7513" t="s">
        <v>1158</v>
      </c>
      <c r="Y551" s="7513" t="s">
        <v>92</v>
      </c>
      <c r="Z551" s="1516"/>
      <c r="AA551" s="1517"/>
      <c r="AB551" s="1517"/>
      <c r="AC551" s="1521"/>
      <c r="AD551" s="1521"/>
      <c r="AE551" s="1522"/>
      <c r="AF551" s="2847"/>
      <c r="AG551" s="2848"/>
      <c r="AH551" s="2848"/>
      <c r="AI551" s="2847"/>
      <c r="AJ551" s="2848"/>
      <c r="AK551" s="2848"/>
      <c r="AL551" s="2329"/>
      <c r="AM551" s="2164"/>
      <c r="AN551" s="2164"/>
      <c r="AO551" s="2164"/>
      <c r="AP551" s="2164"/>
      <c r="AQ551" s="2164"/>
      <c r="AR551" s="2164"/>
      <c r="AS551" s="2164"/>
      <c r="AT551" s="2164"/>
      <c r="AU551" s="2164"/>
      <c r="AV551" s="2164"/>
      <c r="AW551" s="2164"/>
      <c r="AX551" s="2164"/>
      <c r="AY551" s="2164"/>
      <c r="AZ551" s="2164"/>
      <c r="BA551" s="2164"/>
      <c r="BB551" s="2164"/>
      <c r="BC551" s="2164"/>
      <c r="BD551" s="2164"/>
      <c r="BE551" s="2164"/>
      <c r="BF551" s="2164"/>
      <c r="BG551" s="7511"/>
    </row>
    <row customHeight="1" ht="11.25">
      <c r="A552" s="1507" t="s">
        <v>990</v>
      </c>
      <c r="B552" s="1507"/>
      <c r="C552" s="1507"/>
      <c r="D552" s="1501"/>
      <c r="E552" s="1511"/>
      <c r="F552" s="2170"/>
      <c r="G552" s="2171"/>
      <c r="H552" s="2856" t="s">
        <v>150</v>
      </c>
      <c r="I552" s="2857"/>
      <c r="J552" s="2826"/>
      <c r="K552" s="2858"/>
      <c r="L552" s="2448"/>
      <c r="M552" s="2449"/>
      <c r="N552" s="2849"/>
      <c r="O552" s="2850"/>
      <c r="P552" s="2852"/>
      <c r="Q552" s="7512"/>
      <c r="R552" s="2854"/>
      <c r="S552" s="2855"/>
      <c r="T552" s="2854"/>
      <c r="U552" s="2854"/>
      <c r="V552" s="2854"/>
      <c r="W552" s="2854"/>
      <c r="X552" s="2854"/>
      <c r="Y552" s="2854"/>
      <c r="Z552" s="2169"/>
      <c r="AA552" s="2135">
        <v>1</v>
      </c>
      <c r="AB552" s="1520" t="s">
        <v>1035</v>
      </c>
      <c r="AC552" s="1510">
        <v>4099</v>
      </c>
      <c r="AD552" s="1520" t="str">
        <f>AB552</f>
        <v>      Амортизационные отчисления с выделением результатов переоценки основных средств и нематериальных активов</v>
      </c>
      <c r="AE552" s="1510"/>
      <c r="AF552" s="2847"/>
      <c r="AG552" s="2848"/>
      <c r="AH552" s="2848"/>
      <c r="AI552" s="2847"/>
      <c r="AJ552" s="2848"/>
      <c r="AK552" s="2848"/>
      <c r="AL552" s="2329"/>
      <c r="AM552" s="2164"/>
      <c r="AN552" s="2164"/>
      <c r="AO552" s="2164"/>
      <c r="AP552" s="2164"/>
      <c r="AQ552" s="2164"/>
      <c r="AR552" s="2164"/>
      <c r="AS552" s="2164"/>
      <c r="AT552" s="2164"/>
      <c r="AU552" s="2164"/>
      <c r="AV552" s="2164"/>
      <c r="AW552" s="2164"/>
      <c r="AX552" s="2164"/>
      <c r="AY552" s="2164"/>
      <c r="AZ552" s="2164"/>
      <c r="BA552" s="2164"/>
      <c r="BB552" s="2164"/>
      <c r="BC552" s="2164"/>
      <c r="BD552" s="2164"/>
      <c r="BE552" s="2164"/>
      <c r="BF552" s="2164"/>
      <c r="BG552" s="7511"/>
    </row>
    <row customHeight="1" ht="11.25">
      <c r="A553" s="1507" t="s">
        <v>990</v>
      </c>
      <c r="B553" s="1507"/>
      <c r="C553" s="1507"/>
      <c r="D553" s="1501"/>
      <c r="E553" s="1511"/>
      <c r="F553" s="2171"/>
      <c r="G553" s="2171"/>
      <c r="H553" s="2171"/>
      <c r="I553" s="2171"/>
      <c r="J553" s="2171"/>
      <c r="K553" s="2171"/>
      <c r="L553" s="2171"/>
      <c r="M553" s="2171"/>
      <c r="N553" s="2171"/>
      <c r="O553" s="2171"/>
      <c r="P553" s="2171"/>
      <c r="Q553" s="2171"/>
      <c r="R553" s="2171"/>
      <c r="S553" s="2171"/>
      <c r="T553" s="2171"/>
      <c r="U553" s="2171"/>
      <c r="V553" s="2171"/>
      <c r="W553" s="2171"/>
      <c r="X553" s="2171"/>
      <c r="Y553" s="2171"/>
      <c r="Z553" s="7510" t="s">
        <v>684</v>
      </c>
      <c r="AA553" s="2155" t="s">
        <v>107</v>
      </c>
      <c r="AB553" s="1520" t="s">
        <v>1036</v>
      </c>
      <c r="AC553" s="1510">
        <v>819.8</v>
      </c>
      <c r="AD553" s="1520" t="str">
        <f>AB553</f>
        <v>  Прочие собственные средства</v>
      </c>
      <c r="AE553" s="1510"/>
      <c r="AF553" s="2172"/>
      <c r="AG553" s="2100"/>
      <c r="AH553" s="2100"/>
      <c r="AI553" s="2172"/>
      <c r="AJ553" s="2100"/>
      <c r="AK553" s="2328"/>
      <c r="AL553" s="2329"/>
      <c r="AM553" s="2164"/>
      <c r="AN553" s="2164"/>
      <c r="AO553" s="2164"/>
      <c r="AP553" s="2164"/>
      <c r="AQ553" s="2164"/>
      <c r="AR553" s="2164"/>
      <c r="AS553" s="2164"/>
      <c r="AT553" s="2164"/>
      <c r="AU553" s="2164"/>
      <c r="AV553" s="2164"/>
      <c r="AW553" s="2164"/>
      <c r="AX553" s="2164"/>
      <c r="AY553" s="2164"/>
      <c r="AZ553" s="2164"/>
      <c r="BA553" s="2164"/>
      <c r="BB553" s="2164"/>
      <c r="BC553" s="2164"/>
      <c r="BD553" s="2164"/>
      <c r="BE553" s="2164"/>
      <c r="BF553" s="2164"/>
      <c r="BG553" s="7511"/>
    </row>
    <row customHeight="1" ht="11.25">
      <c r="A554" s="1507" t="s">
        <v>990</v>
      </c>
      <c r="B554" s="1507"/>
      <c r="C554" s="1507"/>
      <c r="D554" s="1501"/>
      <c r="E554" s="1511"/>
      <c r="F554" s="2170"/>
      <c r="G554" s="2171"/>
      <c r="H554" s="2856" t="s">
        <v>150</v>
      </c>
      <c r="I554" s="2857"/>
      <c r="J554" s="2826"/>
      <c r="K554" s="2858"/>
      <c r="L554" s="2448"/>
      <c r="M554" s="2449"/>
      <c r="N554" s="2849"/>
      <c r="O554" s="2850"/>
      <c r="P554" s="2853"/>
      <c r="Q554" s="7512"/>
      <c r="R554" s="2854"/>
      <c r="S554" s="2855"/>
      <c r="T554" s="2854"/>
      <c r="U554" s="2854"/>
      <c r="V554" s="2854"/>
      <c r="W554" s="2854"/>
      <c r="X554" s="2854"/>
      <c r="Y554" s="2854"/>
      <c r="Z554" s="1516"/>
      <c r="AA554" s="1517"/>
      <c r="AB554" s="1582" t="s">
        <v>1037</v>
      </c>
      <c r="AC554" s="1521"/>
      <c r="AD554" s="1521"/>
      <c r="AE554" s="1523"/>
      <c r="AF554" s="2847"/>
      <c r="AG554" s="2848"/>
      <c r="AH554" s="2848"/>
      <c r="AI554" s="2847"/>
      <c r="AJ554" s="2848"/>
      <c r="AK554" s="2848"/>
      <c r="AL554" s="2329"/>
      <c r="AM554" s="2164"/>
      <c r="AN554" s="2164"/>
      <c r="AO554" s="2164"/>
      <c r="AP554" s="2164"/>
      <c r="AQ554" s="2164"/>
      <c r="AR554" s="2164"/>
      <c r="AS554" s="2164"/>
      <c r="AT554" s="2164"/>
      <c r="AU554" s="2164"/>
      <c r="AV554" s="2164"/>
      <c r="AW554" s="2164"/>
      <c r="AX554" s="2164"/>
      <c r="AY554" s="2164"/>
      <c r="AZ554" s="2164"/>
      <c r="BA554" s="2164"/>
      <c r="BB554" s="2164"/>
      <c r="BC554" s="2164"/>
      <c r="BD554" s="2164"/>
      <c r="BE554" s="2164"/>
      <c r="BF554" s="2164"/>
      <c r="BG554" s="7511"/>
    </row>
    <row customHeight="1" ht="11.25">
      <c r="A555" s="1507" t="s">
        <v>990</v>
      </c>
      <c r="B555" s="1507"/>
      <c r="C555" s="1507"/>
      <c r="D555" s="1501"/>
      <c r="E555" s="1511"/>
      <c r="F555" s="2170"/>
      <c r="G555" s="2171"/>
      <c r="H555" s="2856" t="s">
        <v>150</v>
      </c>
      <c r="I555" s="2857"/>
      <c r="J555" s="2826"/>
      <c r="K555" s="2858"/>
      <c r="L555" s="2448"/>
      <c r="M555" s="2449"/>
      <c r="N555" s="1516"/>
      <c r="O555" s="1517"/>
      <c r="P555" s="1509" t="s">
        <v>1038</v>
      </c>
      <c r="Q555" s="1517"/>
      <c r="R555" s="1517"/>
      <c r="S555" s="1517"/>
      <c r="T555" s="1517"/>
      <c r="U555" s="1517"/>
      <c r="V555" s="1517"/>
      <c r="W555" s="1517"/>
      <c r="X555" s="1517"/>
      <c r="Y555" s="1517"/>
      <c r="Z555" s="1517"/>
      <c r="AA555" s="1517"/>
      <c r="AB555" s="1517"/>
      <c r="AC555" s="1517"/>
      <c r="AD555" s="1517"/>
      <c r="AE555" s="1524"/>
      <c r="AF555" s="2847"/>
      <c r="AG555" s="2848"/>
      <c r="AH555" s="2848"/>
      <c r="AI555" s="2847"/>
      <c r="AJ555" s="2848"/>
      <c r="AK555" s="2848"/>
      <c r="AL555" s="2329"/>
      <c r="AM555" s="2164"/>
      <c r="AN555" s="2164"/>
      <c r="AO555" s="2164"/>
      <c r="AP555" s="2164"/>
      <c r="AQ555" s="2164"/>
      <c r="AR555" s="2164"/>
      <c r="AS555" s="2164"/>
      <c r="AT555" s="2164"/>
      <c r="AU555" s="2164"/>
      <c r="AV555" s="2164"/>
      <c r="AW555" s="2164"/>
      <c r="AX555" s="2164"/>
      <c r="AY555" s="2164"/>
      <c r="AZ555" s="2164"/>
      <c r="BA555" s="2164"/>
      <c r="BB555" s="2164"/>
      <c r="BC555" s="2164"/>
      <c r="BD555" s="2164"/>
      <c r="BE555" s="2164"/>
      <c r="BF555" s="2164"/>
      <c r="BG555" s="7511"/>
    </row>
    <row customHeight="1" ht="11.25">
      <c r="A556" s="1507" t="s">
        <v>990</v>
      </c>
      <c r="B556" s="1507" t="s">
        <v>1022</v>
      </c>
      <c r="C556" s="1507"/>
      <c r="D556" s="1501"/>
      <c r="E556" s="1511"/>
      <c r="F556" s="2170"/>
      <c r="G556" s="7510" t="s">
        <v>684</v>
      </c>
      <c r="H556" s="2856" t="s">
        <v>1098</v>
      </c>
      <c r="I556" s="2857" t="s">
        <v>1023</v>
      </c>
      <c r="J556" s="2826" t="s">
        <v>1024</v>
      </c>
      <c r="K556" s="2858" t="s">
        <v>1178</v>
      </c>
      <c r="L556" s="2448" t="s">
        <v>19</v>
      </c>
      <c r="M556" s="2449"/>
      <c r="N556" s="2327"/>
      <c r="O556" s="1518" t="s">
        <v>371</v>
      </c>
      <c r="P556" s="1519"/>
      <c r="Q556" s="1519"/>
      <c r="R556" s="1519"/>
      <c r="S556" s="1519"/>
      <c r="T556" s="1519"/>
      <c r="U556" s="1519"/>
      <c r="V556" s="1519"/>
      <c r="W556" s="1519"/>
      <c r="X556" s="1519"/>
      <c r="Y556" s="1519"/>
      <c r="Z556" s="1519"/>
      <c r="AA556" s="1519"/>
      <c r="AB556" s="1519"/>
      <c r="AC556" s="1519"/>
      <c r="AD556" s="1519"/>
      <c r="AE556" s="1519"/>
      <c r="AF556" s="2847">
        <v>3</v>
      </c>
      <c r="AG556" s="2848" t="s">
        <v>1026</v>
      </c>
      <c r="AH556" s="2848" t="s">
        <v>1051</v>
      </c>
      <c r="AI556" s="2847"/>
      <c r="AJ556" s="2848"/>
      <c r="AK556" s="2848"/>
      <c r="AL556" s="2329"/>
      <c r="AM556" s="2164"/>
      <c r="AN556" s="2164"/>
      <c r="AO556" s="2164"/>
      <c r="AP556" s="2164"/>
      <c r="AQ556" s="2164"/>
      <c r="AR556" s="2164"/>
      <c r="AS556" s="2164"/>
      <c r="AT556" s="2164"/>
      <c r="AU556" s="2164"/>
      <c r="AV556" s="2164"/>
      <c r="AW556" s="2164"/>
      <c r="AX556" s="2164"/>
      <c r="AY556" s="2164"/>
      <c r="AZ556" s="2164"/>
      <c r="BA556" s="2164"/>
      <c r="BB556" s="2164"/>
      <c r="BC556" s="2164"/>
      <c r="BD556" s="2164"/>
      <c r="BE556" s="2164"/>
      <c r="BF556" s="2164"/>
      <c r="BG556" s="7511"/>
    </row>
    <row customHeight="1" ht="11.25">
      <c r="A557" s="1507" t="s">
        <v>990</v>
      </c>
      <c r="B557" s="1507"/>
      <c r="C557" s="1507"/>
      <c r="D557" s="1501"/>
      <c r="E557" s="1511"/>
      <c r="F557" s="2170"/>
      <c r="G557" s="2171"/>
      <c r="H557" s="2856" t="s">
        <v>1049</v>
      </c>
      <c r="I557" s="2857"/>
      <c r="J557" s="2826"/>
      <c r="K557" s="2858"/>
      <c r="L557" s="2448"/>
      <c r="M557" s="2449"/>
      <c r="N557" s="2849"/>
      <c r="O557" s="2850">
        <v>1</v>
      </c>
      <c r="P557" s="2851" t="s">
        <v>65</v>
      </c>
      <c r="Q557" s="7512" t="s">
        <v>1153</v>
      </c>
      <c r="R557" s="7513" t="s">
        <v>1083</v>
      </c>
      <c r="S557" s="7513" t="s">
        <v>1154</v>
      </c>
      <c r="T557" s="7513" t="s">
        <v>1154</v>
      </c>
      <c r="U557" s="7513" t="s">
        <v>1155</v>
      </c>
      <c r="V557" s="7513" t="s">
        <v>1156</v>
      </c>
      <c r="W557" s="7513" t="s">
        <v>1157</v>
      </c>
      <c r="X557" s="7513" t="s">
        <v>1158</v>
      </c>
      <c r="Y557" s="7513" t="s">
        <v>92</v>
      </c>
      <c r="Z557" s="1516"/>
      <c r="AA557" s="1517"/>
      <c r="AB557" s="1517"/>
      <c r="AC557" s="1521"/>
      <c r="AD557" s="1521"/>
      <c r="AE557" s="1522"/>
      <c r="AF557" s="2847"/>
      <c r="AG557" s="2848"/>
      <c r="AH557" s="2848"/>
      <c r="AI557" s="2847"/>
      <c r="AJ557" s="2848"/>
      <c r="AK557" s="2848"/>
      <c r="AL557" s="2329"/>
      <c r="AM557" s="2164"/>
      <c r="AN557" s="2164"/>
      <c r="AO557" s="2164"/>
      <c r="AP557" s="2164"/>
      <c r="AQ557" s="2164"/>
      <c r="AR557" s="2164"/>
      <c r="AS557" s="2164"/>
      <c r="AT557" s="2164"/>
      <c r="AU557" s="2164"/>
      <c r="AV557" s="2164"/>
      <c r="AW557" s="2164"/>
      <c r="AX557" s="2164"/>
      <c r="AY557" s="2164"/>
      <c r="AZ557" s="2164"/>
      <c r="BA557" s="2164"/>
      <c r="BB557" s="2164"/>
      <c r="BC557" s="2164"/>
      <c r="BD557" s="2164"/>
      <c r="BE557" s="2164"/>
      <c r="BF557" s="2164"/>
      <c r="BG557" s="7511"/>
    </row>
    <row customHeight="1" ht="11.25">
      <c r="A558" s="1507" t="s">
        <v>990</v>
      </c>
      <c r="B558" s="1507"/>
      <c r="C558" s="1507"/>
      <c r="D558" s="1501"/>
      <c r="E558" s="1511"/>
      <c r="F558" s="2170"/>
      <c r="G558" s="2171"/>
      <c r="H558" s="2856" t="s">
        <v>1049</v>
      </c>
      <c r="I558" s="2857"/>
      <c r="J558" s="2826"/>
      <c r="K558" s="2858"/>
      <c r="L558" s="2448"/>
      <c r="M558" s="2449"/>
      <c r="N558" s="2849"/>
      <c r="O558" s="2850"/>
      <c r="P558" s="2852"/>
      <c r="Q558" s="7512"/>
      <c r="R558" s="2854"/>
      <c r="S558" s="2855"/>
      <c r="T558" s="2854"/>
      <c r="U558" s="2854"/>
      <c r="V558" s="2854"/>
      <c r="W558" s="2854"/>
      <c r="X558" s="2854"/>
      <c r="Y558" s="2854"/>
      <c r="Z558" s="2169"/>
      <c r="AA558" s="2135">
        <v>1</v>
      </c>
      <c r="AB558" s="1520" t="s">
        <v>1035</v>
      </c>
      <c r="AC558" s="1510">
        <v>2626</v>
      </c>
      <c r="AD558" s="1520" t="str">
        <f>AB558</f>
        <v>      Амортизационные отчисления с выделением результатов переоценки основных средств и нематериальных активов</v>
      </c>
      <c r="AE558" s="1510"/>
      <c r="AF558" s="2847"/>
      <c r="AG558" s="2848"/>
      <c r="AH558" s="2848"/>
      <c r="AI558" s="2847"/>
      <c r="AJ558" s="2848"/>
      <c r="AK558" s="2848"/>
      <c r="AL558" s="2329"/>
      <c r="AM558" s="2164"/>
      <c r="AN558" s="2164"/>
      <c r="AO558" s="2164"/>
      <c r="AP558" s="2164"/>
      <c r="AQ558" s="2164"/>
      <c r="AR558" s="2164"/>
      <c r="AS558" s="2164"/>
      <c r="AT558" s="2164"/>
      <c r="AU558" s="2164"/>
      <c r="AV558" s="2164"/>
      <c r="AW558" s="2164"/>
      <c r="AX558" s="2164"/>
      <c r="AY558" s="2164"/>
      <c r="AZ558" s="2164"/>
      <c r="BA558" s="2164"/>
      <c r="BB558" s="2164"/>
      <c r="BC558" s="2164"/>
      <c r="BD558" s="2164"/>
      <c r="BE558" s="2164"/>
      <c r="BF558" s="2164"/>
      <c r="BG558" s="7511"/>
    </row>
    <row customHeight="1" ht="11.25">
      <c r="A559" s="1507" t="s">
        <v>990</v>
      </c>
      <c r="B559" s="1507"/>
      <c r="C559" s="1507"/>
      <c r="D559" s="1501"/>
      <c r="E559" s="1511"/>
      <c r="F559" s="2171"/>
      <c r="G559" s="2171"/>
      <c r="H559" s="2171"/>
      <c r="I559" s="2171"/>
      <c r="J559" s="2171"/>
      <c r="K559" s="2171"/>
      <c r="L559" s="2171"/>
      <c r="M559" s="2171"/>
      <c r="N559" s="2171"/>
      <c r="O559" s="2171"/>
      <c r="P559" s="2171"/>
      <c r="Q559" s="2171"/>
      <c r="R559" s="2171"/>
      <c r="S559" s="2171"/>
      <c r="T559" s="2171"/>
      <c r="U559" s="2171"/>
      <c r="V559" s="2171"/>
      <c r="W559" s="2171"/>
      <c r="X559" s="2171"/>
      <c r="Y559" s="2171"/>
      <c r="Z559" s="7510" t="s">
        <v>684</v>
      </c>
      <c r="AA559" s="2155" t="s">
        <v>107</v>
      </c>
      <c r="AB559" s="1520" t="s">
        <v>1036</v>
      </c>
      <c r="AC559" s="1510">
        <v>525.2</v>
      </c>
      <c r="AD559" s="1520" t="str">
        <f>AB559</f>
        <v>  Прочие собственные средства</v>
      </c>
      <c r="AE559" s="1510"/>
      <c r="AF559" s="2172"/>
      <c r="AG559" s="2100"/>
      <c r="AH559" s="2100"/>
      <c r="AI559" s="2172"/>
      <c r="AJ559" s="2100"/>
      <c r="AK559" s="2328"/>
      <c r="AL559" s="2329"/>
      <c r="AM559" s="2164"/>
      <c r="AN559" s="2164"/>
      <c r="AO559" s="2164"/>
      <c r="AP559" s="2164"/>
      <c r="AQ559" s="2164"/>
      <c r="AR559" s="2164"/>
      <c r="AS559" s="2164"/>
      <c r="AT559" s="2164"/>
      <c r="AU559" s="2164"/>
      <c r="AV559" s="2164"/>
      <c r="AW559" s="2164"/>
      <c r="AX559" s="2164"/>
      <c r="AY559" s="2164"/>
      <c r="AZ559" s="2164"/>
      <c r="BA559" s="2164"/>
      <c r="BB559" s="2164"/>
      <c r="BC559" s="2164"/>
      <c r="BD559" s="2164"/>
      <c r="BE559" s="2164"/>
      <c r="BF559" s="2164"/>
      <c r="BG559" s="7511"/>
    </row>
    <row customHeight="1" ht="11.25">
      <c r="A560" s="1507" t="s">
        <v>990</v>
      </c>
      <c r="B560" s="1507"/>
      <c r="C560" s="1507"/>
      <c r="D560" s="1501"/>
      <c r="E560" s="1511"/>
      <c r="F560" s="2170"/>
      <c r="G560" s="2171"/>
      <c r="H560" s="2856" t="s">
        <v>1049</v>
      </c>
      <c r="I560" s="2857"/>
      <c r="J560" s="2826"/>
      <c r="K560" s="2858"/>
      <c r="L560" s="2448"/>
      <c r="M560" s="2449"/>
      <c r="N560" s="2849"/>
      <c r="O560" s="2850"/>
      <c r="P560" s="2853"/>
      <c r="Q560" s="7512"/>
      <c r="R560" s="2854"/>
      <c r="S560" s="2855"/>
      <c r="T560" s="2854"/>
      <c r="U560" s="2854"/>
      <c r="V560" s="2854"/>
      <c r="W560" s="2854"/>
      <c r="X560" s="2854"/>
      <c r="Y560" s="2854"/>
      <c r="Z560" s="1516"/>
      <c r="AA560" s="1517"/>
      <c r="AB560" s="1582" t="s">
        <v>1037</v>
      </c>
      <c r="AC560" s="1521"/>
      <c r="AD560" s="1521"/>
      <c r="AE560" s="1523"/>
      <c r="AF560" s="2847"/>
      <c r="AG560" s="2848"/>
      <c r="AH560" s="2848"/>
      <c r="AI560" s="2847"/>
      <c r="AJ560" s="2848"/>
      <c r="AK560" s="2848"/>
      <c r="AL560" s="2329"/>
      <c r="AM560" s="2164"/>
      <c r="AN560" s="2164"/>
      <c r="AO560" s="2164"/>
      <c r="AP560" s="2164"/>
      <c r="AQ560" s="2164"/>
      <c r="AR560" s="2164"/>
      <c r="AS560" s="2164"/>
      <c r="AT560" s="2164"/>
      <c r="AU560" s="2164"/>
      <c r="AV560" s="2164"/>
      <c r="AW560" s="2164"/>
      <c r="AX560" s="2164"/>
      <c r="AY560" s="2164"/>
      <c r="AZ560" s="2164"/>
      <c r="BA560" s="2164"/>
      <c r="BB560" s="2164"/>
      <c r="BC560" s="2164"/>
      <c r="BD560" s="2164"/>
      <c r="BE560" s="2164"/>
      <c r="BF560" s="2164"/>
      <c r="BG560" s="7511"/>
    </row>
    <row customHeight="1" ht="11.25">
      <c r="A561" s="1507" t="s">
        <v>990</v>
      </c>
      <c r="B561" s="1507"/>
      <c r="C561" s="1507"/>
      <c r="D561" s="1501"/>
      <c r="E561" s="1511"/>
      <c r="F561" s="2170"/>
      <c r="G561" s="2171"/>
      <c r="H561" s="2856" t="s">
        <v>1049</v>
      </c>
      <c r="I561" s="2857"/>
      <c r="J561" s="2826"/>
      <c r="K561" s="2858"/>
      <c r="L561" s="2448"/>
      <c r="M561" s="2449"/>
      <c r="N561" s="1516"/>
      <c r="O561" s="1517"/>
      <c r="P561" s="1509" t="s">
        <v>1038</v>
      </c>
      <c r="Q561" s="1517"/>
      <c r="R561" s="1517"/>
      <c r="S561" s="1517"/>
      <c r="T561" s="1517"/>
      <c r="U561" s="1517"/>
      <c r="V561" s="1517"/>
      <c r="W561" s="1517"/>
      <c r="X561" s="1517"/>
      <c r="Y561" s="1517"/>
      <c r="Z561" s="1517"/>
      <c r="AA561" s="1517"/>
      <c r="AB561" s="1517"/>
      <c r="AC561" s="1517"/>
      <c r="AD561" s="1517"/>
      <c r="AE561" s="1524"/>
      <c r="AF561" s="2847"/>
      <c r="AG561" s="2848"/>
      <c r="AH561" s="2848"/>
      <c r="AI561" s="2847"/>
      <c r="AJ561" s="2848"/>
      <c r="AK561" s="2848"/>
      <c r="AL561" s="2329"/>
      <c r="AM561" s="2164"/>
      <c r="AN561" s="2164"/>
      <c r="AO561" s="2164"/>
      <c r="AP561" s="2164"/>
      <c r="AQ561" s="2164"/>
      <c r="AR561" s="2164"/>
      <c r="AS561" s="2164"/>
      <c r="AT561" s="2164"/>
      <c r="AU561" s="2164"/>
      <c r="AV561" s="2164"/>
      <c r="AW561" s="2164"/>
      <c r="AX561" s="2164"/>
      <c r="AY561" s="2164"/>
      <c r="AZ561" s="2164"/>
      <c r="BA561" s="2164"/>
      <c r="BB561" s="2164"/>
      <c r="BC561" s="2164"/>
      <c r="BD561" s="2164"/>
      <c r="BE561" s="2164"/>
      <c r="BF561" s="2164"/>
      <c r="BG561" s="7511"/>
    </row>
    <row customHeight="1" ht="11.25">
      <c r="A562" s="1507" t="s">
        <v>990</v>
      </c>
      <c r="B562" s="1507" t="s">
        <v>22</v>
      </c>
      <c r="C562" s="1507"/>
      <c r="D562" s="1501"/>
      <c r="E562" s="1511"/>
      <c r="F562" s="2170"/>
      <c r="G562" s="7510" t="s">
        <v>684</v>
      </c>
      <c r="H562" s="2856" t="s">
        <v>1100</v>
      </c>
      <c r="I562" s="2857" t="s">
        <v>1096</v>
      </c>
      <c r="J562" s="7514" t="s">
        <v>22</v>
      </c>
      <c r="K562" s="2858" t="s">
        <v>1097</v>
      </c>
      <c r="L562" s="2448" t="s">
        <v>19</v>
      </c>
      <c r="M562" s="2449"/>
      <c r="N562" s="2327"/>
      <c r="O562" s="1518" t="s">
        <v>371</v>
      </c>
      <c r="P562" s="1519"/>
      <c r="Q562" s="1519"/>
      <c r="R562" s="1519"/>
      <c r="S562" s="1519"/>
      <c r="T562" s="1519"/>
      <c r="U562" s="1519"/>
      <c r="V562" s="1519"/>
      <c r="W562" s="1519"/>
      <c r="X562" s="1519"/>
      <c r="Y562" s="1519"/>
      <c r="Z562" s="1519"/>
      <c r="AA562" s="1519"/>
      <c r="AB562" s="1519"/>
      <c r="AC562" s="1519"/>
      <c r="AD562" s="1519"/>
      <c r="AE562" s="1519"/>
      <c r="AF562" s="2847">
        <v>3</v>
      </c>
      <c r="AG562" s="2848" t="s">
        <v>1067</v>
      </c>
      <c r="AH562" s="2848" t="s">
        <v>1051</v>
      </c>
      <c r="AI562" s="2847"/>
      <c r="AJ562" s="2848"/>
      <c r="AK562" s="2848"/>
      <c r="AL562" s="2329"/>
      <c r="AM562" s="2164"/>
      <c r="AN562" s="2164"/>
      <c r="AO562" s="2164"/>
      <c r="AP562" s="2164"/>
      <c r="AQ562" s="2164"/>
      <c r="AR562" s="2164"/>
      <c r="AS562" s="2164"/>
      <c r="AT562" s="2164"/>
      <c r="AU562" s="2164"/>
      <c r="AV562" s="2164"/>
      <c r="AW562" s="2164"/>
      <c r="AX562" s="2164"/>
      <c r="AY562" s="2164"/>
      <c r="AZ562" s="2164"/>
      <c r="BA562" s="2164"/>
      <c r="BB562" s="2164"/>
      <c r="BC562" s="2164"/>
      <c r="BD562" s="2164"/>
      <c r="BE562" s="2164"/>
      <c r="BF562" s="2164"/>
      <c r="BG562" s="7511"/>
    </row>
    <row customHeight="1" ht="11.25">
      <c r="A563" s="1507" t="s">
        <v>990</v>
      </c>
      <c r="B563" s="1507"/>
      <c r="C563" s="1507"/>
      <c r="D563" s="1501"/>
      <c r="E563" s="1511"/>
      <c r="F563" s="2170"/>
      <c r="G563" s="2171"/>
      <c r="H563" s="2856" t="s">
        <v>1098</v>
      </c>
      <c r="I563" s="2857"/>
      <c r="J563" s="7514"/>
      <c r="K563" s="2858"/>
      <c r="L563" s="2448"/>
      <c r="M563" s="2449"/>
      <c r="N563" s="2849"/>
      <c r="O563" s="2850">
        <v>1</v>
      </c>
      <c r="P563" s="2851" t="s">
        <v>65</v>
      </c>
      <c r="Q563" s="7512" t="s">
        <v>1073</v>
      </c>
      <c r="R563" s="7513" t="s">
        <v>1042</v>
      </c>
      <c r="S563" s="7513" t="s">
        <v>1074</v>
      </c>
      <c r="T563" s="7513" t="s">
        <v>1075</v>
      </c>
      <c r="U563" s="7513" t="s">
        <v>1076</v>
      </c>
      <c r="V563" s="7513" t="s">
        <v>1077</v>
      </c>
      <c r="W563" s="7513" t="s">
        <v>1078</v>
      </c>
      <c r="X563" s="7513" t="s">
        <v>1079</v>
      </c>
      <c r="Y563" s="7513" t="s">
        <v>107</v>
      </c>
      <c r="Z563" s="1516"/>
      <c r="AA563" s="1517"/>
      <c r="AB563" s="1517"/>
      <c r="AC563" s="1521"/>
      <c r="AD563" s="1521"/>
      <c r="AE563" s="1522"/>
      <c r="AF563" s="2847"/>
      <c r="AG563" s="2848"/>
      <c r="AH563" s="2848"/>
      <c r="AI563" s="2847"/>
      <c r="AJ563" s="2848"/>
      <c r="AK563" s="2848"/>
      <c r="AL563" s="2329"/>
      <c r="AM563" s="2164"/>
      <c r="AN563" s="2164"/>
      <c r="AO563" s="2164"/>
      <c r="AP563" s="2164"/>
      <c r="AQ563" s="2164"/>
      <c r="AR563" s="2164"/>
      <c r="AS563" s="2164"/>
      <c r="AT563" s="2164"/>
      <c r="AU563" s="2164"/>
      <c r="AV563" s="2164"/>
      <c r="AW563" s="2164"/>
      <c r="AX563" s="2164"/>
      <c r="AY563" s="2164"/>
      <c r="AZ563" s="2164"/>
      <c r="BA563" s="2164"/>
      <c r="BB563" s="2164"/>
      <c r="BC563" s="2164"/>
      <c r="BD563" s="2164"/>
      <c r="BE563" s="2164"/>
      <c r="BF563" s="2164"/>
      <c r="BG563" s="7511"/>
    </row>
    <row customHeight="1" ht="11.25">
      <c r="A564" s="1507" t="s">
        <v>990</v>
      </c>
      <c r="B564" s="1507"/>
      <c r="C564" s="1507"/>
      <c r="D564" s="1501"/>
      <c r="E564" s="1511"/>
      <c r="F564" s="2170"/>
      <c r="G564" s="2171"/>
      <c r="H564" s="2856" t="s">
        <v>1098</v>
      </c>
      <c r="I564" s="2857"/>
      <c r="J564" s="7514"/>
      <c r="K564" s="2858"/>
      <c r="L564" s="2448"/>
      <c r="M564" s="2449"/>
      <c r="N564" s="2849"/>
      <c r="O564" s="2850"/>
      <c r="P564" s="2852"/>
      <c r="Q564" s="7512"/>
      <c r="R564" s="2854"/>
      <c r="S564" s="2855"/>
      <c r="T564" s="2854"/>
      <c r="U564" s="2854"/>
      <c r="V564" s="2854"/>
      <c r="W564" s="2854"/>
      <c r="X564" s="2854"/>
      <c r="Y564" s="2854"/>
      <c r="Z564" s="2169"/>
      <c r="AA564" s="2135">
        <v>1</v>
      </c>
      <c r="AB564" s="1520" t="s">
        <v>1035</v>
      </c>
      <c r="AC564" s="1510">
        <v>307932.89692</v>
      </c>
      <c r="AD564" s="1520" t="str">
        <f>AB564</f>
        <v>      Амортизационные отчисления с выделением результатов переоценки основных средств и нематериальных активов</v>
      </c>
      <c r="AE564" s="1510"/>
      <c r="AF564" s="2847"/>
      <c r="AG564" s="2848"/>
      <c r="AH564" s="2848"/>
      <c r="AI564" s="2847"/>
      <c r="AJ564" s="2848"/>
      <c r="AK564" s="2848"/>
      <c r="AL564" s="2329"/>
      <c r="AM564" s="2164"/>
      <c r="AN564" s="2164"/>
      <c r="AO564" s="2164"/>
      <c r="AP564" s="2164"/>
      <c r="AQ564" s="2164"/>
      <c r="AR564" s="2164"/>
      <c r="AS564" s="2164"/>
      <c r="AT564" s="2164"/>
      <c r="AU564" s="2164"/>
      <c r="AV564" s="2164"/>
      <c r="AW564" s="2164"/>
      <c r="AX564" s="2164"/>
      <c r="AY564" s="2164"/>
      <c r="AZ564" s="2164"/>
      <c r="BA564" s="2164"/>
      <c r="BB564" s="2164"/>
      <c r="BC564" s="2164"/>
      <c r="BD564" s="2164"/>
      <c r="BE564" s="2164"/>
      <c r="BF564" s="2164"/>
      <c r="BG564" s="7511"/>
    </row>
    <row customHeight="1" ht="11.25">
      <c r="A565" s="1507" t="s">
        <v>990</v>
      </c>
      <c r="B565" s="1507"/>
      <c r="C565" s="1507"/>
      <c r="D565" s="1501"/>
      <c r="E565" s="1511"/>
      <c r="F565" s="2171"/>
      <c r="G565" s="2171"/>
      <c r="H565" s="2171"/>
      <c r="I565" s="2171"/>
      <c r="J565" s="2171"/>
      <c r="K565" s="2171"/>
      <c r="L565" s="2171"/>
      <c r="M565" s="2171"/>
      <c r="N565" s="2171"/>
      <c r="O565" s="2171"/>
      <c r="P565" s="2171"/>
      <c r="Q565" s="2171"/>
      <c r="R565" s="2171"/>
      <c r="S565" s="2171"/>
      <c r="T565" s="2171"/>
      <c r="U565" s="2171"/>
      <c r="V565" s="2171"/>
      <c r="W565" s="2171"/>
      <c r="X565" s="2171"/>
      <c r="Y565" s="2171"/>
      <c r="Z565" s="7510" t="s">
        <v>684</v>
      </c>
      <c r="AA565" s="2155" t="s">
        <v>107</v>
      </c>
      <c r="AB565" s="1520" t="s">
        <v>1036</v>
      </c>
      <c r="AC565" s="1510">
        <v>59812.15209</v>
      </c>
      <c r="AD565" s="1520" t="str">
        <f>AB565</f>
        <v>  Прочие собственные средства</v>
      </c>
      <c r="AE565" s="1510"/>
      <c r="AF565" s="2172"/>
      <c r="AG565" s="2100"/>
      <c r="AH565" s="2100"/>
      <c r="AI565" s="2172"/>
      <c r="AJ565" s="2100"/>
      <c r="AK565" s="2328"/>
      <c r="AL565" s="2329"/>
      <c r="AM565" s="2164"/>
      <c r="AN565" s="2164"/>
      <c r="AO565" s="2164"/>
      <c r="AP565" s="2164"/>
      <c r="AQ565" s="2164"/>
      <c r="AR565" s="2164"/>
      <c r="AS565" s="2164"/>
      <c r="AT565" s="2164"/>
      <c r="AU565" s="2164"/>
      <c r="AV565" s="2164"/>
      <c r="AW565" s="2164"/>
      <c r="AX565" s="2164"/>
      <c r="AY565" s="2164"/>
      <c r="AZ565" s="2164"/>
      <c r="BA565" s="2164"/>
      <c r="BB565" s="2164"/>
      <c r="BC565" s="2164"/>
      <c r="BD565" s="2164"/>
      <c r="BE565" s="2164"/>
      <c r="BF565" s="2164"/>
      <c r="BG565" s="7511"/>
    </row>
    <row customHeight="1" ht="11.25">
      <c r="A566" s="1507" t="s">
        <v>990</v>
      </c>
      <c r="B566" s="1507"/>
      <c r="C566" s="1507"/>
      <c r="D566" s="1501"/>
      <c r="E566" s="1511"/>
      <c r="F566" s="2170"/>
      <c r="G566" s="2171"/>
      <c r="H566" s="2856" t="s">
        <v>1098</v>
      </c>
      <c r="I566" s="2857"/>
      <c r="J566" s="7514"/>
      <c r="K566" s="2858"/>
      <c r="L566" s="2448"/>
      <c r="M566" s="2449"/>
      <c r="N566" s="2849"/>
      <c r="O566" s="2850"/>
      <c r="P566" s="2853"/>
      <c r="Q566" s="7512"/>
      <c r="R566" s="2854"/>
      <c r="S566" s="2855"/>
      <c r="T566" s="2854"/>
      <c r="U566" s="2854"/>
      <c r="V566" s="2854"/>
      <c r="W566" s="2854"/>
      <c r="X566" s="2854"/>
      <c r="Y566" s="2854"/>
      <c r="Z566" s="1516"/>
      <c r="AA566" s="1517"/>
      <c r="AB566" s="1582" t="s">
        <v>1037</v>
      </c>
      <c r="AC566" s="1521"/>
      <c r="AD566" s="1521"/>
      <c r="AE566" s="1523"/>
      <c r="AF566" s="2847"/>
      <c r="AG566" s="2848"/>
      <c r="AH566" s="2848"/>
      <c r="AI566" s="2847"/>
      <c r="AJ566" s="2848"/>
      <c r="AK566" s="2848"/>
      <c r="AL566" s="2329"/>
      <c r="AM566" s="2164"/>
      <c r="AN566" s="2164"/>
      <c r="AO566" s="2164"/>
      <c r="AP566" s="2164"/>
      <c r="AQ566" s="2164"/>
      <c r="AR566" s="2164"/>
      <c r="AS566" s="2164"/>
      <c r="AT566" s="2164"/>
      <c r="AU566" s="2164"/>
      <c r="AV566" s="2164"/>
      <c r="AW566" s="2164"/>
      <c r="AX566" s="2164"/>
      <c r="AY566" s="2164"/>
      <c r="AZ566" s="2164"/>
      <c r="BA566" s="2164"/>
      <c r="BB566" s="2164"/>
      <c r="BC566" s="2164"/>
      <c r="BD566" s="2164"/>
      <c r="BE566" s="2164"/>
      <c r="BF566" s="2164"/>
      <c r="BG566" s="7511"/>
    </row>
    <row customHeight="1" ht="11.25">
      <c r="A567" s="1507" t="s">
        <v>990</v>
      </c>
      <c r="B567" s="1507"/>
      <c r="C567" s="1507"/>
      <c r="D567" s="1501"/>
      <c r="E567" s="1511"/>
      <c r="F567" s="2170"/>
      <c r="G567" s="2171"/>
      <c r="H567" s="2856" t="s">
        <v>1098</v>
      </c>
      <c r="I567" s="2857"/>
      <c r="J567" s="7514"/>
      <c r="K567" s="2858"/>
      <c r="L567" s="2448"/>
      <c r="M567" s="2449"/>
      <c r="N567" s="1516"/>
      <c r="O567" s="1517"/>
      <c r="P567" s="1509" t="s">
        <v>1038</v>
      </c>
      <c r="Q567" s="1517"/>
      <c r="R567" s="1517"/>
      <c r="S567" s="1517"/>
      <c r="T567" s="1517"/>
      <c r="U567" s="1517"/>
      <c r="V567" s="1517"/>
      <c r="W567" s="1517"/>
      <c r="X567" s="1517"/>
      <c r="Y567" s="1517"/>
      <c r="Z567" s="1517"/>
      <c r="AA567" s="1517"/>
      <c r="AB567" s="1517"/>
      <c r="AC567" s="1517"/>
      <c r="AD567" s="1517"/>
      <c r="AE567" s="1524"/>
      <c r="AF567" s="2847"/>
      <c r="AG567" s="2848"/>
      <c r="AH567" s="2848"/>
      <c r="AI567" s="2847"/>
      <c r="AJ567" s="2848"/>
      <c r="AK567" s="2848"/>
      <c r="AL567" s="2329"/>
      <c r="AM567" s="2164"/>
      <c r="AN567" s="2164"/>
      <c r="AO567" s="2164"/>
      <c r="AP567" s="2164"/>
      <c r="AQ567" s="2164"/>
      <c r="AR567" s="2164"/>
      <c r="AS567" s="2164"/>
      <c r="AT567" s="2164"/>
      <c r="AU567" s="2164"/>
      <c r="AV567" s="2164"/>
      <c r="AW567" s="2164"/>
      <c r="AX567" s="2164"/>
      <c r="AY567" s="2164"/>
      <c r="AZ567" s="2164"/>
      <c r="BA567" s="2164"/>
      <c r="BB567" s="2164"/>
      <c r="BC567" s="2164"/>
      <c r="BD567" s="2164"/>
      <c r="BE567" s="2164"/>
      <c r="BF567" s="2164"/>
      <c r="BG567" s="7511"/>
    </row>
    <row customHeight="1" ht="12">
      <c r="A568" s="1507" t="s">
        <v>990</v>
      </c>
      <c r="B568" s="1507"/>
      <c r="C568" s="1507"/>
      <c r="D568" s="1501"/>
      <c r="E568" s="1511"/>
      <c r="F568" s="2878"/>
      <c r="G568" s="1531"/>
      <c r="H568" s="1531"/>
      <c r="I568" s="2876" t="s">
        <v>1179</v>
      </c>
      <c r="J568" s="2876"/>
      <c r="K568" s="2876"/>
      <c r="L568" s="1514"/>
      <c r="M568" s="1514"/>
      <c r="N568" s="1515"/>
      <c r="O568" s="1515"/>
      <c r="P568" s="1515"/>
      <c r="Q568" s="1515"/>
      <c r="R568" s="1515"/>
      <c r="S568" s="1515"/>
      <c r="T568" s="1515"/>
      <c r="U568" s="1515"/>
      <c r="V568" s="1515"/>
      <c r="W568" s="1515"/>
      <c r="X568" s="1515"/>
      <c r="Y568" s="1515"/>
      <c r="Z568" s="1515"/>
      <c r="AA568" s="1515"/>
      <c r="AB568" s="1515"/>
      <c r="AC568" s="1515"/>
      <c r="AD568" s="1515"/>
      <c r="AE568" s="1515"/>
      <c r="AF568" s="1515"/>
      <c r="AG568" s="1514"/>
      <c r="AH568" s="1514"/>
      <c r="AI568" s="1515"/>
      <c r="AJ568" s="1514"/>
      <c r="AK568" s="1515"/>
      <c r="AL568" s="2329"/>
      <c r="AM568" s="2164"/>
      <c r="AN568" s="2164"/>
      <c r="AO568" s="2164"/>
      <c r="AP568" s="2164"/>
      <c r="AQ568" s="2164"/>
      <c r="AR568" s="2164"/>
      <c r="AS568" s="2164"/>
      <c r="AT568" s="2164"/>
      <c r="AU568" s="2164"/>
      <c r="AV568" s="2164"/>
      <c r="AW568" s="2164"/>
      <c r="AX568" s="2164"/>
      <c r="AY568" s="2164"/>
      <c r="AZ568" s="2164"/>
      <c r="BA568" s="2164"/>
      <c r="BB568" s="2164"/>
      <c r="BC568" s="2164"/>
      <c r="BD568" s="2164"/>
      <c r="BE568" s="2164"/>
      <c r="BF568" s="2164"/>
      <c r="BG568" s="4573"/>
    </row>
    <row customHeight="1" ht="0.75">
      <c r="A569" s="1507" t="s">
        <v>990</v>
      </c>
      <c r="B569" s="1507"/>
      <c r="C569" s="1507"/>
      <c r="D569" s="1501"/>
      <c r="E569" s="1511"/>
      <c r="F569" s="2877">
        <v>2027</v>
      </c>
      <c r="G569" s="2856"/>
      <c r="H569" s="2881" t="s">
        <v>371</v>
      </c>
      <c r="I569" s="2882"/>
      <c r="J569" s="2883"/>
      <c r="K569" s="2883"/>
      <c r="L569" s="2875"/>
      <c r="M569" s="2609"/>
      <c r="N569" s="2377"/>
      <c r="O569" s="2376"/>
      <c r="P569" s="2377"/>
      <c r="Q569" s="2377"/>
      <c r="R569" s="2377"/>
      <c r="S569" s="2377"/>
      <c r="T569" s="2377"/>
      <c r="U569" s="2377"/>
      <c r="V569" s="2377"/>
      <c r="W569" s="2377"/>
      <c r="X569" s="2377"/>
      <c r="Y569" s="2377"/>
      <c r="Z569" s="2377"/>
      <c r="AA569" s="2377"/>
      <c r="AB569" s="2377"/>
      <c r="AC569" s="2377"/>
      <c r="AD569" s="2377"/>
      <c r="AE569" s="2377"/>
      <c r="AF569" s="2879"/>
      <c r="AG569" s="2875"/>
      <c r="AH569" s="2875"/>
      <c r="AI569" s="2879"/>
      <c r="AJ569" s="2875"/>
      <c r="AK569" s="2875"/>
      <c r="AL569" s="2329"/>
      <c r="AM569" s="2164"/>
      <c r="AN569" s="2164"/>
      <c r="AO569" s="2164"/>
      <c r="AP569" s="2164"/>
      <c r="AQ569" s="2164"/>
      <c r="AR569" s="2164"/>
      <c r="AS569" s="2164"/>
      <c r="AT569" s="2164"/>
      <c r="AU569" s="2164"/>
      <c r="AV569" s="2164"/>
      <c r="AW569" s="2164"/>
      <c r="AX569" s="2164"/>
      <c r="AY569" s="2164"/>
      <c r="AZ569" s="2164"/>
      <c r="BA569" s="2164"/>
      <c r="BB569" s="2164"/>
      <c r="BC569" s="2164"/>
      <c r="BD569" s="2164"/>
      <c r="BE569" s="2164"/>
      <c r="BF569" s="2164"/>
      <c r="BG569" s="4573"/>
    </row>
    <row customHeight="1" ht="0.75">
      <c r="A570" s="1507" t="s">
        <v>990</v>
      </c>
      <c r="B570" s="1507"/>
      <c r="C570" s="1507"/>
      <c r="D570" s="1501"/>
      <c r="E570" s="1511"/>
      <c r="F570" s="2877"/>
      <c r="G570" s="2856"/>
      <c r="H570" s="2881"/>
      <c r="I570" s="2882"/>
      <c r="J570" s="2883"/>
      <c r="K570" s="2883"/>
      <c r="L570" s="2875"/>
      <c r="M570" s="2609"/>
      <c r="N570" s="2884"/>
      <c r="O570" s="2885"/>
      <c r="P570" s="2929"/>
      <c r="Q570" s="2880"/>
      <c r="R570" s="2880"/>
      <c r="S570" s="2880"/>
      <c r="T570" s="2880"/>
      <c r="U570" s="2880"/>
      <c r="V570" s="2880"/>
      <c r="W570" s="2880"/>
      <c r="X570" s="2880"/>
      <c r="Y570" s="2880"/>
      <c r="Z570" s="2378"/>
      <c r="AA570" s="2379"/>
      <c r="AB570" s="2379"/>
      <c r="AC570" s="2380"/>
      <c r="AD570" s="2380"/>
      <c r="AE570" s="2381"/>
      <c r="AF570" s="2879"/>
      <c r="AG570" s="2875"/>
      <c r="AH570" s="2875"/>
      <c r="AI570" s="2879"/>
      <c r="AJ570" s="2875"/>
      <c r="AK570" s="2875"/>
      <c r="AL570" s="2329"/>
      <c r="AM570" s="2164"/>
      <c r="AN570" s="2164"/>
      <c r="AO570" s="2164"/>
      <c r="AP570" s="2164"/>
      <c r="AQ570" s="2164"/>
      <c r="AR570" s="2164"/>
      <c r="AS570" s="2164"/>
      <c r="AT570" s="2164"/>
      <c r="AU570" s="2164"/>
      <c r="AV570" s="2164"/>
      <c r="AW570" s="2164"/>
      <c r="AX570" s="2164"/>
      <c r="AY570" s="2164"/>
      <c r="AZ570" s="2164"/>
      <c r="BA570" s="2164"/>
      <c r="BB570" s="2164"/>
      <c r="BC570" s="2164"/>
      <c r="BD570" s="2164"/>
      <c r="BE570" s="2164"/>
      <c r="BF570" s="2164"/>
      <c r="BG570" s="4573"/>
    </row>
    <row customHeight="1" ht="0.75">
      <c r="A571" s="1507" t="s">
        <v>990</v>
      </c>
      <c r="B571" s="1507"/>
      <c r="C571" s="1507"/>
      <c r="D571" s="1501"/>
      <c r="E571" s="1511"/>
      <c r="F571" s="2877"/>
      <c r="G571" s="2856"/>
      <c r="H571" s="2881"/>
      <c r="I571" s="2882"/>
      <c r="J571" s="2883"/>
      <c r="K571" s="2883"/>
      <c r="L571" s="2875"/>
      <c r="M571" s="2609"/>
      <c r="N571" s="2884"/>
      <c r="O571" s="2885"/>
      <c r="P571" s="2930"/>
      <c r="Q571" s="2880"/>
      <c r="R571" s="2880"/>
      <c r="S571" s="2880"/>
      <c r="T571" s="2880"/>
      <c r="U571" s="2880"/>
      <c r="V571" s="2880"/>
      <c r="W571" s="2880"/>
      <c r="X571" s="2880"/>
      <c r="Y571" s="2880"/>
      <c r="Z571" s="2382"/>
      <c r="AA571" s="2383"/>
      <c r="AB571" s="2384"/>
      <c r="AC571" s="2385"/>
      <c r="AD571" s="2384"/>
      <c r="AE571" s="2385"/>
      <c r="AF571" s="2879"/>
      <c r="AG571" s="2875"/>
      <c r="AH571" s="2875"/>
      <c r="AI571" s="2879"/>
      <c r="AJ571" s="2875"/>
      <c r="AK571" s="2875"/>
      <c r="AL571" s="2329"/>
      <c r="AM571" s="2164"/>
      <c r="AN571" s="2164"/>
      <c r="AO571" s="2164"/>
      <c r="AP571" s="2164"/>
      <c r="AQ571" s="2164"/>
      <c r="AR571" s="2164"/>
      <c r="AS571" s="2164"/>
      <c r="AT571" s="2164"/>
      <c r="AU571" s="2164"/>
      <c r="AV571" s="2164"/>
      <c r="AW571" s="2164"/>
      <c r="AX571" s="2164"/>
      <c r="AY571" s="2164"/>
      <c r="AZ571" s="2164"/>
      <c r="BA571" s="2164"/>
      <c r="BB571" s="2164"/>
      <c r="BC571" s="2164"/>
      <c r="BD571" s="2164"/>
      <c r="BE571" s="2164"/>
      <c r="BF571" s="2164"/>
      <c r="BG571" s="4573"/>
    </row>
    <row customHeight="1" ht="0.75">
      <c r="A572" s="1507" t="s">
        <v>990</v>
      </c>
      <c r="B572" s="1507"/>
      <c r="C572" s="1507"/>
      <c r="D572" s="1501"/>
      <c r="E572" s="1511"/>
      <c r="F572" s="2877"/>
      <c r="G572" s="2856"/>
      <c r="H572" s="2881"/>
      <c r="I572" s="2882"/>
      <c r="J572" s="2883"/>
      <c r="K572" s="2883"/>
      <c r="L572" s="2875"/>
      <c r="M572" s="2609"/>
      <c r="N572" s="2884"/>
      <c r="O572" s="2885"/>
      <c r="P572" s="2931"/>
      <c r="Q572" s="2880"/>
      <c r="R572" s="2880"/>
      <c r="S572" s="2880"/>
      <c r="T572" s="2880"/>
      <c r="U572" s="2880"/>
      <c r="V572" s="2880"/>
      <c r="W572" s="2880"/>
      <c r="X572" s="2880"/>
      <c r="Y572" s="2880"/>
      <c r="Z572" s="2378"/>
      <c r="AA572" s="2379"/>
      <c r="AB572" s="2386"/>
      <c r="AC572" s="2380"/>
      <c r="AD572" s="2380"/>
      <c r="AE572" s="2387"/>
      <c r="AF572" s="2879"/>
      <c r="AG572" s="2875"/>
      <c r="AH572" s="2875"/>
      <c r="AI572" s="2879"/>
      <c r="AJ572" s="2875"/>
      <c r="AK572" s="2875"/>
      <c r="AL572" s="2329"/>
      <c r="AM572" s="2164"/>
      <c r="AN572" s="2164"/>
      <c r="AO572" s="2164"/>
      <c r="AP572" s="2164"/>
      <c r="AQ572" s="2164"/>
      <c r="AR572" s="2164"/>
      <c r="AS572" s="2164"/>
      <c r="AT572" s="2164"/>
      <c r="AU572" s="2164"/>
      <c r="AV572" s="2164"/>
      <c r="AW572" s="2164"/>
      <c r="AX572" s="2164"/>
      <c r="AY572" s="2164"/>
      <c r="AZ572" s="2164"/>
      <c r="BA572" s="2164"/>
      <c r="BB572" s="2164"/>
      <c r="BC572" s="2164"/>
      <c r="BD572" s="2164"/>
      <c r="BE572" s="2164"/>
      <c r="BF572" s="2164"/>
      <c r="BG572" s="4573"/>
    </row>
    <row customHeight="1" ht="0.75">
      <c r="A573" s="1507" t="s">
        <v>990</v>
      </c>
      <c r="B573" s="1507"/>
      <c r="C573" s="1507"/>
      <c r="D573" s="1501"/>
      <c r="E573" s="1511"/>
      <c r="F573" s="2877"/>
      <c r="G573" s="2856"/>
      <c r="H573" s="2881"/>
      <c r="I573" s="2882"/>
      <c r="J573" s="2883"/>
      <c r="K573" s="2883"/>
      <c r="L573" s="2875"/>
      <c r="M573" s="2609"/>
      <c r="N573" s="2379"/>
      <c r="O573" s="2379"/>
      <c r="P573" s="2386"/>
      <c r="Q573" s="2379"/>
      <c r="R573" s="2379"/>
      <c r="S573" s="2379"/>
      <c r="T573" s="2379"/>
      <c r="U573" s="2379"/>
      <c r="V573" s="2379"/>
      <c r="W573" s="2379"/>
      <c r="X573" s="2379"/>
      <c r="Y573" s="2379"/>
      <c r="Z573" s="2379"/>
      <c r="AA573" s="2379"/>
      <c r="AB573" s="2379"/>
      <c r="AC573" s="2379"/>
      <c r="AD573" s="2379"/>
      <c r="AE573" s="2388"/>
      <c r="AF573" s="2879"/>
      <c r="AG573" s="2875"/>
      <c r="AH573" s="2875"/>
      <c r="AI573" s="2879"/>
      <c r="AJ573" s="2875"/>
      <c r="AK573" s="2875"/>
      <c r="AL573" s="2329"/>
      <c r="AM573" s="2164"/>
      <c r="AN573" s="2164"/>
      <c r="AO573" s="2164"/>
      <c r="AP573" s="2164"/>
      <c r="AQ573" s="2164"/>
      <c r="AR573" s="2164"/>
      <c r="AS573" s="2164"/>
      <c r="AT573" s="2164"/>
      <c r="AU573" s="2164"/>
      <c r="AV573" s="2164"/>
      <c r="AW573" s="2164"/>
      <c r="AX573" s="2164"/>
      <c r="AY573" s="2164"/>
      <c r="AZ573" s="2164"/>
      <c r="BA573" s="2164"/>
      <c r="BB573" s="2164"/>
      <c r="BC573" s="2164"/>
      <c r="BD573" s="2164"/>
      <c r="BE573" s="2164"/>
      <c r="BF573" s="2164"/>
      <c r="BG573" s="4573"/>
    </row>
    <row customHeight="1" ht="11.25">
      <c r="A574" s="1507" t="s">
        <v>990</v>
      </c>
      <c r="B574" s="1507" t="s">
        <v>1022</v>
      </c>
      <c r="C574" s="1507"/>
      <c r="D574" s="1501"/>
      <c r="E574" s="1511"/>
      <c r="F574" s="2170"/>
      <c r="G574" s="4557" t="s">
        <v>684</v>
      </c>
      <c r="H574" s="2856" t="s">
        <v>106</v>
      </c>
      <c r="I574" s="2857" t="s">
        <v>1023</v>
      </c>
      <c r="J574" s="2826" t="s">
        <v>1024</v>
      </c>
      <c r="K574" s="2858" t="s">
        <v>1025</v>
      </c>
      <c r="L574" s="2448" t="s">
        <v>19</v>
      </c>
      <c r="M574" s="2449"/>
      <c r="N574" s="2327"/>
      <c r="O574" s="1518" t="s">
        <v>371</v>
      </c>
      <c r="P574" s="1519"/>
      <c r="Q574" s="1519"/>
      <c r="R574" s="1519"/>
      <c r="S574" s="1519"/>
      <c r="T574" s="1519"/>
      <c r="U574" s="1519"/>
      <c r="V574" s="1519"/>
      <c r="W574" s="1519"/>
      <c r="X574" s="1519"/>
      <c r="Y574" s="1519"/>
      <c r="Z574" s="1519"/>
      <c r="AA574" s="1519"/>
      <c r="AB574" s="1519"/>
      <c r="AC574" s="1519"/>
      <c r="AD574" s="1519"/>
      <c r="AE574" s="1519"/>
      <c r="AF574" s="2847">
        <v>4</v>
      </c>
      <c r="AG574" s="2848" t="s">
        <v>1026</v>
      </c>
      <c r="AH574" s="2848" t="s">
        <v>1027</v>
      </c>
      <c r="AI574" s="2847"/>
      <c r="AJ574" s="2848"/>
      <c r="AK574" s="2848"/>
      <c r="AL574" s="2329"/>
      <c r="AM574" s="2164"/>
      <c r="AN574" s="2164"/>
      <c r="AO574" s="2164"/>
      <c r="AP574" s="2164"/>
      <c r="AQ574" s="2164"/>
      <c r="AR574" s="2164"/>
      <c r="AS574" s="2164"/>
      <c r="AT574" s="2164"/>
      <c r="AU574" s="2164"/>
      <c r="AV574" s="2164"/>
      <c r="AW574" s="2164"/>
      <c r="AX574" s="2164"/>
      <c r="AY574" s="2164"/>
      <c r="AZ574" s="2164"/>
      <c r="BA574" s="2164"/>
      <c r="BB574" s="2164"/>
      <c r="BC574" s="2164"/>
      <c r="BD574" s="2164"/>
      <c r="BE574" s="2164"/>
      <c r="BF574" s="2164"/>
      <c r="BG574" s="4573"/>
    </row>
    <row customHeight="1" ht="11.25">
      <c r="A575" s="1507" t="s">
        <v>990</v>
      </c>
      <c r="B575" s="1507"/>
      <c r="C575" s="1507"/>
      <c r="D575" s="1501"/>
      <c r="E575" s="1511"/>
      <c r="F575" s="2170"/>
      <c r="G575" s="2171"/>
      <c r="H575" s="2856" t="s">
        <v>371</v>
      </c>
      <c r="I575" s="2857"/>
      <c r="J575" s="2826"/>
      <c r="K575" s="2858"/>
      <c r="L575" s="2448"/>
      <c r="M575" s="2449"/>
      <c r="N575" s="2849"/>
      <c r="O575" s="2850">
        <v>1</v>
      </c>
      <c r="P575" s="2851" t="s">
        <v>65</v>
      </c>
      <c r="Q575" s="4672" t="s">
        <v>1028</v>
      </c>
      <c r="R575" s="4673" t="s">
        <v>1029</v>
      </c>
      <c r="S575" s="4673" t="s">
        <v>1030</v>
      </c>
      <c r="T575" s="4673" t="s">
        <v>1030</v>
      </c>
      <c r="U575" s="4673" t="s">
        <v>1031</v>
      </c>
      <c r="V575" s="4673" t="s">
        <v>1032</v>
      </c>
      <c r="W575" s="4673" t="s">
        <v>1033</v>
      </c>
      <c r="X575" s="4673" t="s">
        <v>1034</v>
      </c>
      <c r="Y575" s="4673" t="s">
        <v>106</v>
      </c>
      <c r="Z575" s="1516"/>
      <c r="AA575" s="1517"/>
      <c r="AB575" s="1517"/>
      <c r="AC575" s="1521"/>
      <c r="AD575" s="1521"/>
      <c r="AE575" s="1522"/>
      <c r="AF575" s="2847"/>
      <c r="AG575" s="2848"/>
      <c r="AH575" s="2848"/>
      <c r="AI575" s="2847"/>
      <c r="AJ575" s="2848"/>
      <c r="AK575" s="2848"/>
      <c r="AL575" s="2329"/>
      <c r="AM575" s="2164"/>
      <c r="AN575" s="2164"/>
      <c r="AO575" s="2164"/>
      <c r="AP575" s="2164"/>
      <c r="AQ575" s="2164"/>
      <c r="AR575" s="2164"/>
      <c r="AS575" s="2164"/>
      <c r="AT575" s="2164"/>
      <c r="AU575" s="2164"/>
      <c r="AV575" s="2164"/>
      <c r="AW575" s="2164"/>
      <c r="AX575" s="2164"/>
      <c r="AY575" s="2164"/>
      <c r="AZ575" s="2164"/>
      <c r="BA575" s="2164"/>
      <c r="BB575" s="2164"/>
      <c r="BC575" s="2164"/>
      <c r="BD575" s="2164"/>
      <c r="BE575" s="2164"/>
      <c r="BF575" s="2164"/>
      <c r="BG575" s="4573"/>
    </row>
    <row customHeight="1" ht="11.25">
      <c r="A576" s="1507" t="s">
        <v>990</v>
      </c>
      <c r="B576" s="1507"/>
      <c r="C576" s="1507"/>
      <c r="D576" s="1501"/>
      <c r="E576" s="1511"/>
      <c r="F576" s="2170"/>
      <c r="G576" s="2171"/>
      <c r="H576" s="2856" t="s">
        <v>371</v>
      </c>
      <c r="I576" s="2857"/>
      <c r="J576" s="2826"/>
      <c r="K576" s="2858"/>
      <c r="L576" s="2448"/>
      <c r="M576" s="2449"/>
      <c r="N576" s="2849"/>
      <c r="O576" s="2850"/>
      <c r="P576" s="2852"/>
      <c r="Q576" s="4672"/>
      <c r="R576" s="2854"/>
      <c r="S576" s="2855"/>
      <c r="T576" s="2854"/>
      <c r="U576" s="2854"/>
      <c r="V576" s="2854"/>
      <c r="W576" s="2854"/>
      <c r="X576" s="2854"/>
      <c r="Y576" s="2854"/>
      <c r="Z576" s="2169"/>
      <c r="AA576" s="2135">
        <v>1</v>
      </c>
      <c r="AB576" s="1520" t="s">
        <v>1035</v>
      </c>
      <c r="AC576" s="1510">
        <v>8786.1057</v>
      </c>
      <c r="AD576" s="1520" t="str">
        <f>AB576</f>
        <v>      Амортизационные отчисления с выделением результатов переоценки основных средств и нематериальных активов</v>
      </c>
      <c r="AE576" s="1510"/>
      <c r="AF576" s="2847"/>
      <c r="AG576" s="2848"/>
      <c r="AH576" s="2848"/>
      <c r="AI576" s="2847"/>
      <c r="AJ576" s="2848"/>
      <c r="AK576" s="2848"/>
      <c r="AL576" s="2329"/>
      <c r="AM576" s="2164"/>
      <c r="AN576" s="2164"/>
      <c r="AO576" s="2164"/>
      <c r="AP576" s="2164"/>
      <c r="AQ576" s="2164"/>
      <c r="AR576" s="2164"/>
      <c r="AS576" s="2164"/>
      <c r="AT576" s="2164"/>
      <c r="AU576" s="2164"/>
      <c r="AV576" s="2164"/>
      <c r="AW576" s="2164"/>
      <c r="AX576" s="2164"/>
      <c r="AY576" s="2164"/>
      <c r="AZ576" s="2164"/>
      <c r="BA576" s="2164"/>
      <c r="BB576" s="2164"/>
      <c r="BC576" s="2164"/>
      <c r="BD576" s="2164"/>
      <c r="BE576" s="2164"/>
      <c r="BF576" s="2164"/>
      <c r="BG576" s="4573"/>
    </row>
    <row customHeight="1" ht="11.25">
      <c r="A577" s="1507" t="s">
        <v>990</v>
      </c>
      <c r="B577" s="1507"/>
      <c r="C577" s="1507"/>
      <c r="D577" s="1501"/>
      <c r="E577" s="1511"/>
      <c r="F577" s="2171"/>
      <c r="G577" s="2171"/>
      <c r="H577" s="2171"/>
      <c r="I577" s="2171"/>
      <c r="J577" s="2171"/>
      <c r="K577" s="2171"/>
      <c r="L577" s="2171"/>
      <c r="M577" s="2171"/>
      <c r="N577" s="2171"/>
      <c r="O577" s="2171"/>
      <c r="P577" s="2171"/>
      <c r="Q577" s="2171"/>
      <c r="R577" s="2171"/>
      <c r="S577" s="2171"/>
      <c r="T577" s="2171"/>
      <c r="U577" s="2171"/>
      <c r="V577" s="2171"/>
      <c r="W577" s="2171"/>
      <c r="X577" s="2171"/>
      <c r="Y577" s="2171"/>
      <c r="Z577" s="4557" t="s">
        <v>684</v>
      </c>
      <c r="AA577" s="2155" t="s">
        <v>107</v>
      </c>
      <c r="AB577" s="1520" t="s">
        <v>1036</v>
      </c>
      <c r="AC577" s="1510">
        <v>1757.22</v>
      </c>
      <c r="AD577" s="1520" t="str">
        <f>AB577</f>
        <v>  Прочие собственные средства</v>
      </c>
      <c r="AE577" s="1510"/>
      <c r="AF577" s="2172"/>
      <c r="AG577" s="2100"/>
      <c r="AH577" s="2100"/>
      <c r="AI577" s="2172"/>
      <c r="AJ577" s="2100"/>
      <c r="AK577" s="2328"/>
      <c r="AL577" s="2329"/>
      <c r="AM577" s="2164"/>
      <c r="AN577" s="2164"/>
      <c r="AO577" s="2164"/>
      <c r="AP577" s="2164"/>
      <c r="AQ577" s="2164"/>
      <c r="AR577" s="2164"/>
      <c r="AS577" s="2164"/>
      <c r="AT577" s="2164"/>
      <c r="AU577" s="2164"/>
      <c r="AV577" s="2164"/>
      <c r="AW577" s="2164"/>
      <c r="AX577" s="2164"/>
      <c r="AY577" s="2164"/>
      <c r="AZ577" s="2164"/>
      <c r="BA577" s="2164"/>
      <c r="BB577" s="2164"/>
      <c r="BC577" s="2164"/>
      <c r="BD577" s="2164"/>
      <c r="BE577" s="2164"/>
      <c r="BF577" s="2164"/>
      <c r="BG577" s="4573"/>
    </row>
    <row customHeight="1" ht="11.25">
      <c r="A578" s="1507" t="s">
        <v>990</v>
      </c>
      <c r="B578" s="1507"/>
      <c r="C578" s="1507"/>
      <c r="D578" s="1501"/>
      <c r="E578" s="1511"/>
      <c r="F578" s="2170"/>
      <c r="G578" s="2171"/>
      <c r="H578" s="2856" t="s">
        <v>371</v>
      </c>
      <c r="I578" s="2857"/>
      <c r="J578" s="2826"/>
      <c r="K578" s="2858"/>
      <c r="L578" s="2448"/>
      <c r="M578" s="2449"/>
      <c r="N578" s="2849"/>
      <c r="O578" s="2850"/>
      <c r="P578" s="2853"/>
      <c r="Q578" s="4672"/>
      <c r="R578" s="2854"/>
      <c r="S578" s="2855"/>
      <c r="T578" s="2854"/>
      <c r="U578" s="2854"/>
      <c r="V578" s="2854"/>
      <c r="W578" s="2854"/>
      <c r="X578" s="2854"/>
      <c r="Y578" s="2854"/>
      <c r="Z578" s="1516"/>
      <c r="AA578" s="1517"/>
      <c r="AB578" s="1582" t="s">
        <v>1037</v>
      </c>
      <c r="AC578" s="1521"/>
      <c r="AD578" s="1521"/>
      <c r="AE578" s="1523"/>
      <c r="AF578" s="2847"/>
      <c r="AG578" s="2848"/>
      <c r="AH578" s="2848"/>
      <c r="AI578" s="2847"/>
      <c r="AJ578" s="2848"/>
      <c r="AK578" s="2848"/>
      <c r="AL578" s="2329"/>
      <c r="AM578" s="2164"/>
      <c r="AN578" s="2164"/>
      <c r="AO578" s="2164"/>
      <c r="AP578" s="2164"/>
      <c r="AQ578" s="2164"/>
      <c r="AR578" s="2164"/>
      <c r="AS578" s="2164"/>
      <c r="AT578" s="2164"/>
      <c r="AU578" s="2164"/>
      <c r="AV578" s="2164"/>
      <c r="AW578" s="2164"/>
      <c r="AX578" s="2164"/>
      <c r="AY578" s="2164"/>
      <c r="AZ578" s="2164"/>
      <c r="BA578" s="2164"/>
      <c r="BB578" s="2164"/>
      <c r="BC578" s="2164"/>
      <c r="BD578" s="2164"/>
      <c r="BE578" s="2164"/>
      <c r="BF578" s="2164"/>
      <c r="BG578" s="4573"/>
    </row>
    <row customHeight="1" ht="11.25">
      <c r="A579" s="1507" t="s">
        <v>990</v>
      </c>
      <c r="B579" s="1507"/>
      <c r="C579" s="1507"/>
      <c r="D579" s="1501"/>
      <c r="E579" s="1511"/>
      <c r="F579" s="2170"/>
      <c r="G579" s="2171"/>
      <c r="H579" s="2856" t="s">
        <v>371</v>
      </c>
      <c r="I579" s="2857"/>
      <c r="J579" s="2826"/>
      <c r="K579" s="2858"/>
      <c r="L579" s="2448"/>
      <c r="M579" s="2449"/>
      <c r="N579" s="1516"/>
      <c r="O579" s="1517"/>
      <c r="P579" s="1509" t="s">
        <v>1038</v>
      </c>
      <c r="Q579" s="1517"/>
      <c r="R579" s="1517"/>
      <c r="S579" s="1517"/>
      <c r="T579" s="1517"/>
      <c r="U579" s="1517"/>
      <c r="V579" s="1517"/>
      <c r="W579" s="1517"/>
      <c r="X579" s="1517"/>
      <c r="Y579" s="1517"/>
      <c r="Z579" s="1517"/>
      <c r="AA579" s="1517"/>
      <c r="AB579" s="1517"/>
      <c r="AC579" s="1517"/>
      <c r="AD579" s="1517"/>
      <c r="AE579" s="1524"/>
      <c r="AF579" s="2847"/>
      <c r="AG579" s="2848"/>
      <c r="AH579" s="2848"/>
      <c r="AI579" s="2847"/>
      <c r="AJ579" s="2848"/>
      <c r="AK579" s="2848"/>
      <c r="AL579" s="2329"/>
      <c r="AM579" s="2164"/>
      <c r="AN579" s="2164"/>
      <c r="AO579" s="2164"/>
      <c r="AP579" s="2164"/>
      <c r="AQ579" s="2164"/>
      <c r="AR579" s="2164"/>
      <c r="AS579" s="2164"/>
      <c r="AT579" s="2164"/>
      <c r="AU579" s="2164"/>
      <c r="AV579" s="2164"/>
      <c r="AW579" s="2164"/>
      <c r="AX579" s="2164"/>
      <c r="AY579" s="2164"/>
      <c r="AZ579" s="2164"/>
      <c r="BA579" s="2164"/>
      <c r="BB579" s="2164"/>
      <c r="BC579" s="2164"/>
      <c r="BD579" s="2164"/>
      <c r="BE579" s="2164"/>
      <c r="BF579" s="2164"/>
      <c r="BG579" s="4573"/>
    </row>
    <row customHeight="1" ht="11.25">
      <c r="A580" s="1507" t="s">
        <v>990</v>
      </c>
      <c r="B580" s="1507" t="s">
        <v>22</v>
      </c>
      <c r="C580" s="1507"/>
      <c r="D580" s="1501"/>
      <c r="E580" s="1511"/>
      <c r="F580" s="2170"/>
      <c r="G580" s="4557" t="s">
        <v>684</v>
      </c>
      <c r="H580" s="2856" t="s">
        <v>107</v>
      </c>
      <c r="I580" s="2857" t="s">
        <v>1039</v>
      </c>
      <c r="J580" s="4694" t="s">
        <v>22</v>
      </c>
      <c r="K580" s="2858" t="s">
        <v>1040</v>
      </c>
      <c r="L580" s="2448" t="s">
        <v>19</v>
      </c>
      <c r="M580" s="2449"/>
      <c r="N580" s="2327"/>
      <c r="O580" s="1518" t="s">
        <v>371</v>
      </c>
      <c r="P580" s="1519"/>
      <c r="Q580" s="1519"/>
      <c r="R580" s="1519"/>
      <c r="S580" s="1519"/>
      <c r="T580" s="1519"/>
      <c r="U580" s="1519"/>
      <c r="V580" s="1519"/>
      <c r="W580" s="1519"/>
      <c r="X580" s="1519"/>
      <c r="Y580" s="1519"/>
      <c r="Z580" s="1519"/>
      <c r="AA580" s="1519"/>
      <c r="AB580" s="1519"/>
      <c r="AC580" s="1519"/>
      <c r="AD580" s="1519"/>
      <c r="AE580" s="1519"/>
      <c r="AF580" s="2847">
        <v>4</v>
      </c>
      <c r="AG580" s="2848" t="s">
        <v>1026</v>
      </c>
      <c r="AH580" s="2848" t="s">
        <v>1027</v>
      </c>
      <c r="AI580" s="2847"/>
      <c r="AJ580" s="2848"/>
      <c r="AK580" s="2848"/>
      <c r="AL580" s="2329"/>
      <c r="AM580" s="2164"/>
      <c r="AN580" s="2164"/>
      <c r="AO580" s="2164"/>
      <c r="AP580" s="2164"/>
      <c r="AQ580" s="2164"/>
      <c r="AR580" s="2164"/>
      <c r="AS580" s="2164"/>
      <c r="AT580" s="2164"/>
      <c r="AU580" s="2164"/>
      <c r="AV580" s="2164"/>
      <c r="AW580" s="2164"/>
      <c r="AX580" s="2164"/>
      <c r="AY580" s="2164"/>
      <c r="AZ580" s="2164"/>
      <c r="BA580" s="2164"/>
      <c r="BB580" s="2164"/>
      <c r="BC580" s="2164"/>
      <c r="BD580" s="2164"/>
      <c r="BE580" s="2164"/>
      <c r="BF580" s="2164"/>
      <c r="BG580" s="4573"/>
    </row>
    <row customHeight="1" ht="11.25">
      <c r="A581" s="1507" t="s">
        <v>990</v>
      </c>
      <c r="B581" s="1507"/>
      <c r="C581" s="1507"/>
      <c r="D581" s="1501"/>
      <c r="E581" s="1511"/>
      <c r="F581" s="2170"/>
      <c r="G581" s="2171"/>
      <c r="H581" s="2856" t="s">
        <v>106</v>
      </c>
      <c r="I581" s="2857"/>
      <c r="J581" s="4694"/>
      <c r="K581" s="2858"/>
      <c r="L581" s="2448"/>
      <c r="M581" s="2449"/>
      <c r="N581" s="2849"/>
      <c r="O581" s="2850">
        <v>1</v>
      </c>
      <c r="P581" s="2851" t="s">
        <v>65</v>
      </c>
      <c r="Q581" s="4672" t="s">
        <v>1041</v>
      </c>
      <c r="R581" s="4673" t="s">
        <v>1042</v>
      </c>
      <c r="S581" s="4673" t="s">
        <v>1043</v>
      </c>
      <c r="T581" s="4673" t="s">
        <v>1044</v>
      </c>
      <c r="U581" s="4673" t="s">
        <v>1045</v>
      </c>
      <c r="V581" s="4673" t="s">
        <v>1046</v>
      </c>
      <c r="W581" s="4673" t="s">
        <v>1047</v>
      </c>
      <c r="X581" s="4673" t="s">
        <v>1048</v>
      </c>
      <c r="Y581" s="4673" t="s">
        <v>1049</v>
      </c>
      <c r="Z581" s="1516"/>
      <c r="AA581" s="1517"/>
      <c r="AB581" s="1517"/>
      <c r="AC581" s="1521"/>
      <c r="AD581" s="1521"/>
      <c r="AE581" s="1522"/>
      <c r="AF581" s="2847"/>
      <c r="AG581" s="2848"/>
      <c r="AH581" s="2848"/>
      <c r="AI581" s="2847"/>
      <c r="AJ581" s="2848"/>
      <c r="AK581" s="2848"/>
      <c r="AL581" s="2329"/>
      <c r="AM581" s="2164"/>
      <c r="AN581" s="2164"/>
      <c r="AO581" s="2164"/>
      <c r="AP581" s="2164"/>
      <c r="AQ581" s="2164"/>
      <c r="AR581" s="2164"/>
      <c r="AS581" s="2164"/>
      <c r="AT581" s="2164"/>
      <c r="AU581" s="2164"/>
      <c r="AV581" s="2164"/>
      <c r="AW581" s="2164"/>
      <c r="AX581" s="2164"/>
      <c r="AY581" s="2164"/>
      <c r="AZ581" s="2164"/>
      <c r="BA581" s="2164"/>
      <c r="BB581" s="2164"/>
      <c r="BC581" s="2164"/>
      <c r="BD581" s="2164"/>
      <c r="BE581" s="2164"/>
      <c r="BF581" s="2164"/>
      <c r="BG581" s="4573"/>
    </row>
    <row customHeight="1" ht="11.25">
      <c r="A582" s="1507" t="s">
        <v>990</v>
      </c>
      <c r="B582" s="1507"/>
      <c r="C582" s="1507"/>
      <c r="D582" s="1501"/>
      <c r="E582" s="1511"/>
      <c r="F582" s="2170"/>
      <c r="G582" s="2171"/>
      <c r="H582" s="2856" t="s">
        <v>106</v>
      </c>
      <c r="I582" s="2857"/>
      <c r="J582" s="4694"/>
      <c r="K582" s="2858"/>
      <c r="L582" s="2448"/>
      <c r="M582" s="2449"/>
      <c r="N582" s="2849"/>
      <c r="O582" s="2850"/>
      <c r="P582" s="2852"/>
      <c r="Q582" s="4672"/>
      <c r="R582" s="2854"/>
      <c r="S582" s="2855"/>
      <c r="T582" s="2854"/>
      <c r="U582" s="2854"/>
      <c r="V582" s="2854"/>
      <c r="W582" s="2854"/>
      <c r="X582" s="2854"/>
      <c r="Y582" s="2854"/>
      <c r="Z582" s="2169"/>
      <c r="AA582" s="2135">
        <v>1</v>
      </c>
      <c r="AB582" s="1520" t="s">
        <v>1035</v>
      </c>
      <c r="AC582" s="1510">
        <v>1666.66667</v>
      </c>
      <c r="AD582" s="1520" t="str">
        <f>AB582</f>
        <v>      Амортизационные отчисления с выделением результатов переоценки основных средств и нематериальных активов</v>
      </c>
      <c r="AE582" s="1510"/>
      <c r="AF582" s="2847"/>
      <c r="AG582" s="2848"/>
      <c r="AH582" s="2848"/>
      <c r="AI582" s="2847"/>
      <c r="AJ582" s="2848"/>
      <c r="AK582" s="2848"/>
      <c r="AL582" s="2329"/>
      <c r="AM582" s="2164"/>
      <c r="AN582" s="2164"/>
      <c r="AO582" s="2164"/>
      <c r="AP582" s="2164"/>
      <c r="AQ582" s="2164"/>
      <c r="AR582" s="2164"/>
      <c r="AS582" s="2164"/>
      <c r="AT582" s="2164"/>
      <c r="AU582" s="2164"/>
      <c r="AV582" s="2164"/>
      <c r="AW582" s="2164"/>
      <c r="AX582" s="2164"/>
      <c r="AY582" s="2164"/>
      <c r="AZ582" s="2164"/>
      <c r="BA582" s="2164"/>
      <c r="BB582" s="2164"/>
      <c r="BC582" s="2164"/>
      <c r="BD582" s="2164"/>
      <c r="BE582" s="2164"/>
      <c r="BF582" s="2164"/>
      <c r="BG582" s="4573"/>
    </row>
    <row customHeight="1" ht="11.25">
      <c r="A583" s="1507" t="s">
        <v>990</v>
      </c>
      <c r="B583" s="1507"/>
      <c r="C583" s="1507"/>
      <c r="D583" s="1501"/>
      <c r="E583" s="1511"/>
      <c r="F583" s="2171"/>
      <c r="G583" s="2171"/>
      <c r="H583" s="2171"/>
      <c r="I583" s="2171"/>
      <c r="J583" s="4695"/>
      <c r="K583" s="2171"/>
      <c r="L583" s="2171"/>
      <c r="M583" s="2171"/>
      <c r="N583" s="2171"/>
      <c r="O583" s="2171"/>
      <c r="P583" s="2171"/>
      <c r="Q583" s="4685"/>
      <c r="R583" s="2171"/>
      <c r="S583" s="2171"/>
      <c r="T583" s="2171"/>
      <c r="U583" s="2171"/>
      <c r="V583" s="2171"/>
      <c r="W583" s="2171"/>
      <c r="X583" s="2171"/>
      <c r="Y583" s="2171"/>
      <c r="Z583" s="4557" t="s">
        <v>684</v>
      </c>
      <c r="AA583" s="2155" t="s">
        <v>107</v>
      </c>
      <c r="AB583" s="1520" t="s">
        <v>1036</v>
      </c>
      <c r="AC583" s="1510">
        <v>333.33333</v>
      </c>
      <c r="AD583" s="1520" t="str">
        <f>AB583</f>
        <v>  Прочие собственные средства</v>
      </c>
      <c r="AE583" s="1510"/>
      <c r="AF583" s="2172"/>
      <c r="AG583" s="2100"/>
      <c r="AH583" s="2100"/>
      <c r="AI583" s="2172"/>
      <c r="AJ583" s="2100"/>
      <c r="AK583" s="2328"/>
      <c r="AL583" s="2329"/>
      <c r="AM583" s="2164"/>
      <c r="AN583" s="2164"/>
      <c r="AO583" s="2164"/>
      <c r="AP583" s="2164"/>
      <c r="AQ583" s="2164"/>
      <c r="AR583" s="2164"/>
      <c r="AS583" s="2164"/>
      <c r="AT583" s="2164"/>
      <c r="AU583" s="2164"/>
      <c r="AV583" s="2164"/>
      <c r="AW583" s="2164"/>
      <c r="AX583" s="2164"/>
      <c r="AY583" s="2164"/>
      <c r="AZ583" s="2164"/>
      <c r="BA583" s="2164"/>
      <c r="BB583" s="2164"/>
      <c r="BC583" s="2164"/>
      <c r="BD583" s="2164"/>
      <c r="BE583" s="2164"/>
      <c r="BF583" s="2164"/>
      <c r="BG583" s="4573"/>
    </row>
    <row customHeight="1" ht="11.25">
      <c r="A584" s="1507" t="s">
        <v>990</v>
      </c>
      <c r="B584" s="1507"/>
      <c r="C584" s="1507"/>
      <c r="D584" s="1501"/>
      <c r="E584" s="1511"/>
      <c r="F584" s="2170"/>
      <c r="G584" s="2171"/>
      <c r="H584" s="2856" t="s">
        <v>106</v>
      </c>
      <c r="I584" s="2857"/>
      <c r="J584" s="4694"/>
      <c r="K584" s="2858"/>
      <c r="L584" s="2448"/>
      <c r="M584" s="2449"/>
      <c r="N584" s="2849"/>
      <c r="O584" s="2850"/>
      <c r="P584" s="2853"/>
      <c r="Q584" s="4672"/>
      <c r="R584" s="2854"/>
      <c r="S584" s="2855"/>
      <c r="T584" s="2854"/>
      <c r="U584" s="2854"/>
      <c r="V584" s="2854"/>
      <c r="W584" s="2854"/>
      <c r="X584" s="2854"/>
      <c r="Y584" s="2854"/>
      <c r="Z584" s="1516"/>
      <c r="AA584" s="1517"/>
      <c r="AB584" s="1582" t="s">
        <v>1037</v>
      </c>
      <c r="AC584" s="1521"/>
      <c r="AD584" s="1521"/>
      <c r="AE584" s="1523"/>
      <c r="AF584" s="2847"/>
      <c r="AG584" s="2848"/>
      <c r="AH584" s="2848"/>
      <c r="AI584" s="2847"/>
      <c r="AJ584" s="2848"/>
      <c r="AK584" s="2848"/>
      <c r="AL584" s="2329"/>
      <c r="AM584" s="2164"/>
      <c r="AN584" s="2164"/>
      <c r="AO584" s="2164"/>
      <c r="AP584" s="2164"/>
      <c r="AQ584" s="2164"/>
      <c r="AR584" s="2164"/>
      <c r="AS584" s="2164"/>
      <c r="AT584" s="2164"/>
      <c r="AU584" s="2164"/>
      <c r="AV584" s="2164"/>
      <c r="AW584" s="2164"/>
      <c r="AX584" s="2164"/>
      <c r="AY584" s="2164"/>
      <c r="AZ584" s="2164"/>
      <c r="BA584" s="2164"/>
      <c r="BB584" s="2164"/>
      <c r="BC584" s="2164"/>
      <c r="BD584" s="2164"/>
      <c r="BE584" s="2164"/>
      <c r="BF584" s="2164"/>
      <c r="BG584" s="4573"/>
    </row>
    <row customHeight="1" ht="11.25">
      <c r="A585" s="1507" t="s">
        <v>990</v>
      </c>
      <c r="B585" s="1507"/>
      <c r="C585" s="1507"/>
      <c r="D585" s="1501"/>
      <c r="E585" s="1511"/>
      <c r="F585" s="2170"/>
      <c r="G585" s="2171"/>
      <c r="H585" s="2856" t="s">
        <v>106</v>
      </c>
      <c r="I585" s="2857"/>
      <c r="J585" s="4694"/>
      <c r="K585" s="2858"/>
      <c r="L585" s="2448"/>
      <c r="M585" s="2449"/>
      <c r="N585" s="1516"/>
      <c r="O585" s="1517"/>
      <c r="P585" s="1509" t="s">
        <v>1038</v>
      </c>
      <c r="Q585" s="1517"/>
      <c r="R585" s="1517"/>
      <c r="S585" s="1517"/>
      <c r="T585" s="1517"/>
      <c r="U585" s="1517"/>
      <c r="V585" s="1517"/>
      <c r="W585" s="1517"/>
      <c r="X585" s="1517"/>
      <c r="Y585" s="1517"/>
      <c r="Z585" s="1517"/>
      <c r="AA585" s="1517"/>
      <c r="AB585" s="1517"/>
      <c r="AC585" s="1517"/>
      <c r="AD585" s="1517"/>
      <c r="AE585" s="1524"/>
      <c r="AF585" s="2847"/>
      <c r="AG585" s="2848"/>
      <c r="AH585" s="2848"/>
      <c r="AI585" s="2847"/>
      <c r="AJ585" s="2848"/>
      <c r="AK585" s="2848"/>
      <c r="AL585" s="2329"/>
      <c r="AM585" s="2164"/>
      <c r="AN585" s="2164"/>
      <c r="AO585" s="2164"/>
      <c r="AP585" s="2164"/>
      <c r="AQ585" s="2164"/>
      <c r="AR585" s="2164"/>
      <c r="AS585" s="2164"/>
      <c r="AT585" s="2164"/>
      <c r="AU585" s="2164"/>
      <c r="AV585" s="2164"/>
      <c r="AW585" s="2164"/>
      <c r="AX585" s="2164"/>
      <c r="AY585" s="2164"/>
      <c r="AZ585" s="2164"/>
      <c r="BA585" s="2164"/>
      <c r="BB585" s="2164"/>
      <c r="BC585" s="2164"/>
      <c r="BD585" s="2164"/>
      <c r="BE585" s="2164"/>
      <c r="BF585" s="2164"/>
      <c r="BG585" s="4573"/>
    </row>
    <row customHeight="1" ht="11.25">
      <c r="A586" s="1507" t="s">
        <v>990</v>
      </c>
      <c r="B586" s="1507" t="s">
        <v>22</v>
      </c>
      <c r="C586" s="1507"/>
      <c r="D586" s="1501"/>
      <c r="E586" s="1511"/>
      <c r="F586" s="2170"/>
      <c r="G586" s="4557" t="s">
        <v>684</v>
      </c>
      <c r="H586" s="2856" t="s">
        <v>90</v>
      </c>
      <c r="I586" s="2857" t="s">
        <v>1039</v>
      </c>
      <c r="J586" s="4694" t="s">
        <v>22</v>
      </c>
      <c r="K586" s="2858" t="s">
        <v>1065</v>
      </c>
      <c r="L586" s="2448" t="s">
        <v>19</v>
      </c>
      <c r="M586" s="2449"/>
      <c r="N586" s="2327"/>
      <c r="O586" s="1518" t="s">
        <v>371</v>
      </c>
      <c r="P586" s="1519"/>
      <c r="Q586" s="1519"/>
      <c r="R586" s="1519"/>
      <c r="S586" s="1519"/>
      <c r="T586" s="1519"/>
      <c r="U586" s="1519"/>
      <c r="V586" s="1519"/>
      <c r="W586" s="1519"/>
      <c r="X586" s="1519"/>
      <c r="Y586" s="1519"/>
      <c r="Z586" s="1519"/>
      <c r="AA586" s="1519"/>
      <c r="AB586" s="1519"/>
      <c r="AC586" s="1519"/>
      <c r="AD586" s="1519"/>
      <c r="AE586" s="1519"/>
      <c r="AF586" s="2847">
        <v>1</v>
      </c>
      <c r="AG586" s="2848" t="s">
        <v>1026</v>
      </c>
      <c r="AH586" s="2848" t="s">
        <v>1027</v>
      </c>
      <c r="AI586" s="2847"/>
      <c r="AJ586" s="2848"/>
      <c r="AK586" s="2848"/>
      <c r="AL586" s="2329"/>
      <c r="AM586" s="2164"/>
      <c r="AN586" s="2164"/>
      <c r="AO586" s="2164"/>
      <c r="AP586" s="2164"/>
      <c r="AQ586" s="2164"/>
      <c r="AR586" s="2164"/>
      <c r="AS586" s="2164"/>
      <c r="AT586" s="2164"/>
      <c r="AU586" s="2164"/>
      <c r="AV586" s="2164"/>
      <c r="AW586" s="2164"/>
      <c r="AX586" s="2164"/>
      <c r="AY586" s="2164"/>
      <c r="AZ586" s="2164"/>
      <c r="BA586" s="2164"/>
      <c r="BB586" s="2164"/>
      <c r="BC586" s="2164"/>
      <c r="BD586" s="2164"/>
      <c r="BE586" s="2164"/>
      <c r="BF586" s="2164"/>
      <c r="BG586" s="4573"/>
    </row>
    <row customHeight="1" ht="11.25">
      <c r="A587" s="1507" t="s">
        <v>990</v>
      </c>
      <c r="B587" s="1507"/>
      <c r="C587" s="1507"/>
      <c r="D587" s="1501"/>
      <c r="E587" s="1511"/>
      <c r="F587" s="2170"/>
      <c r="G587" s="2171"/>
      <c r="H587" s="2856" t="s">
        <v>107</v>
      </c>
      <c r="I587" s="2857"/>
      <c r="J587" s="4694"/>
      <c r="K587" s="2858"/>
      <c r="L587" s="2448"/>
      <c r="M587" s="2449"/>
      <c r="N587" s="2849"/>
      <c r="O587" s="2850">
        <v>1</v>
      </c>
      <c r="P587" s="2851" t="s">
        <v>19</v>
      </c>
      <c r="Q587" s="7507" t="s">
        <v>22</v>
      </c>
      <c r="R587" s="7508" t="s">
        <v>22</v>
      </c>
      <c r="S587" s="7508" t="s">
        <v>22</v>
      </c>
      <c r="T587" s="7508" t="s">
        <v>22</v>
      </c>
      <c r="U587" s="7508" t="s">
        <v>22</v>
      </c>
      <c r="V587" s="7508" t="s">
        <v>22</v>
      </c>
      <c r="W587" s="7508" t="s">
        <v>22</v>
      </c>
      <c r="X587" s="7508" t="s">
        <v>22</v>
      </c>
      <c r="Y587" s="7508" t="s">
        <v>22</v>
      </c>
      <c r="Z587" s="1516"/>
      <c r="AA587" s="1517"/>
      <c r="AB587" s="1517"/>
      <c r="AC587" s="1521"/>
      <c r="AD587" s="1521"/>
      <c r="AE587" s="1522"/>
      <c r="AF587" s="2847"/>
      <c r="AG587" s="2848"/>
      <c r="AH587" s="2848"/>
      <c r="AI587" s="2847"/>
      <c r="AJ587" s="2848"/>
      <c r="AK587" s="2848"/>
      <c r="AL587" s="2329"/>
      <c r="AM587" s="2164"/>
      <c r="AN587" s="2164"/>
      <c r="AO587" s="2164"/>
      <c r="AP587" s="2164"/>
      <c r="AQ587" s="2164"/>
      <c r="AR587" s="2164"/>
      <c r="AS587" s="2164"/>
      <c r="AT587" s="2164"/>
      <c r="AU587" s="2164"/>
      <c r="AV587" s="2164"/>
      <c r="AW587" s="2164"/>
      <c r="AX587" s="2164"/>
      <c r="AY587" s="2164"/>
      <c r="AZ587" s="2164"/>
      <c r="BA587" s="2164"/>
      <c r="BB587" s="2164"/>
      <c r="BC587" s="2164"/>
      <c r="BD587" s="2164"/>
      <c r="BE587" s="2164"/>
      <c r="BF587" s="2164"/>
      <c r="BG587" s="4573"/>
    </row>
    <row customHeight="1" ht="11.25">
      <c r="A588" s="1507" t="s">
        <v>990</v>
      </c>
      <c r="B588" s="1507"/>
      <c r="C588" s="1507"/>
      <c r="D588" s="1501"/>
      <c r="E588" s="1511"/>
      <c r="F588" s="2170"/>
      <c r="G588" s="2171"/>
      <c r="H588" s="2856" t="s">
        <v>107</v>
      </c>
      <c r="I588" s="2857"/>
      <c r="J588" s="4694"/>
      <c r="K588" s="2858"/>
      <c r="L588" s="2448"/>
      <c r="M588" s="2449"/>
      <c r="N588" s="2849"/>
      <c r="O588" s="2850"/>
      <c r="P588" s="2852"/>
      <c r="Q588" s="4672"/>
      <c r="R588" s="2854"/>
      <c r="S588" s="2855"/>
      <c r="T588" s="2854"/>
      <c r="U588" s="2854"/>
      <c r="V588" s="2854"/>
      <c r="W588" s="2854"/>
      <c r="X588" s="2854"/>
      <c r="Y588" s="2854"/>
      <c r="Z588" s="2169"/>
      <c r="AA588" s="2135">
        <v>1</v>
      </c>
      <c r="AB588" s="1520" t="s">
        <v>1035</v>
      </c>
      <c r="AC588" s="1510">
        <v>7125.75974</v>
      </c>
      <c r="AD588" s="1520" t="str">
        <f>AB588</f>
        <v>      Амортизационные отчисления с выделением результатов переоценки основных средств и нематериальных активов</v>
      </c>
      <c r="AE588" s="1510"/>
      <c r="AF588" s="2847"/>
      <c r="AG588" s="2848"/>
      <c r="AH588" s="2848"/>
      <c r="AI588" s="2847"/>
      <c r="AJ588" s="2848"/>
      <c r="AK588" s="2848"/>
      <c r="AL588" s="2329"/>
      <c r="AM588" s="2164"/>
      <c r="AN588" s="2164"/>
      <c r="AO588" s="2164"/>
      <c r="AP588" s="2164"/>
      <c r="AQ588" s="2164"/>
      <c r="AR588" s="2164"/>
      <c r="AS588" s="2164"/>
      <c r="AT588" s="2164"/>
      <c r="AU588" s="2164"/>
      <c r="AV588" s="2164"/>
      <c r="AW588" s="2164"/>
      <c r="AX588" s="2164"/>
      <c r="AY588" s="2164"/>
      <c r="AZ588" s="2164"/>
      <c r="BA588" s="2164"/>
      <c r="BB588" s="2164"/>
      <c r="BC588" s="2164"/>
      <c r="BD588" s="2164"/>
      <c r="BE588" s="2164"/>
      <c r="BF588" s="2164"/>
      <c r="BG588" s="4573"/>
    </row>
    <row customHeight="1" ht="11.25">
      <c r="A589" s="1507" t="s">
        <v>990</v>
      </c>
      <c r="B589" s="1507"/>
      <c r="C589" s="1507"/>
      <c r="D589" s="1501"/>
      <c r="E589" s="1511"/>
      <c r="F589" s="2171"/>
      <c r="G589" s="2171"/>
      <c r="H589" s="2171"/>
      <c r="I589" s="2171"/>
      <c r="J589" s="2171"/>
      <c r="K589" s="2171"/>
      <c r="L589" s="2171"/>
      <c r="M589" s="2171"/>
      <c r="N589" s="2171"/>
      <c r="O589" s="2171"/>
      <c r="P589" s="2171"/>
      <c r="Q589" s="2171"/>
      <c r="R589" s="2171"/>
      <c r="S589" s="2171"/>
      <c r="T589" s="2171"/>
      <c r="U589" s="2171"/>
      <c r="V589" s="2171"/>
      <c r="W589" s="2171"/>
      <c r="X589" s="2171"/>
      <c r="Y589" s="2171"/>
      <c r="Z589" s="4557" t="s">
        <v>684</v>
      </c>
      <c r="AA589" s="2155" t="s">
        <v>107</v>
      </c>
      <c r="AB589" s="1520" t="s">
        <v>1036</v>
      </c>
      <c r="AC589" s="1510">
        <v>1425.15195</v>
      </c>
      <c r="AD589" s="1520" t="str">
        <f>AB589</f>
        <v>  Прочие собственные средства</v>
      </c>
      <c r="AE589" s="1510"/>
      <c r="AF589" s="2172"/>
      <c r="AG589" s="2100"/>
      <c r="AH589" s="2100"/>
      <c r="AI589" s="2172"/>
      <c r="AJ589" s="2100"/>
      <c r="AK589" s="2328"/>
      <c r="AL589" s="2329"/>
      <c r="AM589" s="2164"/>
      <c r="AN589" s="2164"/>
      <c r="AO589" s="2164"/>
      <c r="AP589" s="2164"/>
      <c r="AQ589" s="2164"/>
      <c r="AR589" s="2164"/>
      <c r="AS589" s="2164"/>
      <c r="AT589" s="2164"/>
      <c r="AU589" s="2164"/>
      <c r="AV589" s="2164"/>
      <c r="AW589" s="2164"/>
      <c r="AX589" s="2164"/>
      <c r="AY589" s="2164"/>
      <c r="AZ589" s="2164"/>
      <c r="BA589" s="2164"/>
      <c r="BB589" s="2164"/>
      <c r="BC589" s="2164"/>
      <c r="BD589" s="2164"/>
      <c r="BE589" s="2164"/>
      <c r="BF589" s="2164"/>
      <c r="BG589" s="4573"/>
    </row>
    <row customHeight="1" ht="11.25">
      <c r="A590" s="1507" t="s">
        <v>990</v>
      </c>
      <c r="B590" s="1507"/>
      <c r="C590" s="1507"/>
      <c r="D590" s="1501"/>
      <c r="E590" s="1511"/>
      <c r="F590" s="2170"/>
      <c r="G590" s="2171"/>
      <c r="H590" s="2856" t="s">
        <v>107</v>
      </c>
      <c r="I590" s="2857"/>
      <c r="J590" s="4694"/>
      <c r="K590" s="2858"/>
      <c r="L590" s="2448"/>
      <c r="M590" s="2449"/>
      <c r="N590" s="2849"/>
      <c r="O590" s="2850"/>
      <c r="P590" s="2853"/>
      <c r="Q590" s="4672"/>
      <c r="R590" s="2854"/>
      <c r="S590" s="2855"/>
      <c r="T590" s="2854"/>
      <c r="U590" s="2854"/>
      <c r="V590" s="2854"/>
      <c r="W590" s="2854"/>
      <c r="X590" s="2854"/>
      <c r="Y590" s="2854"/>
      <c r="Z590" s="1516"/>
      <c r="AA590" s="1517"/>
      <c r="AB590" s="1582" t="s">
        <v>1037</v>
      </c>
      <c r="AC590" s="1521"/>
      <c r="AD590" s="1521"/>
      <c r="AE590" s="1523"/>
      <c r="AF590" s="2847"/>
      <c r="AG590" s="2848"/>
      <c r="AH590" s="2848"/>
      <c r="AI590" s="2847"/>
      <c r="AJ590" s="2848"/>
      <c r="AK590" s="2848"/>
      <c r="AL590" s="2329"/>
      <c r="AM590" s="2164"/>
      <c r="AN590" s="2164"/>
      <c r="AO590" s="2164"/>
      <c r="AP590" s="2164"/>
      <c r="AQ590" s="2164"/>
      <c r="AR590" s="2164"/>
      <c r="AS590" s="2164"/>
      <c r="AT590" s="2164"/>
      <c r="AU590" s="2164"/>
      <c r="AV590" s="2164"/>
      <c r="AW590" s="2164"/>
      <c r="AX590" s="2164"/>
      <c r="AY590" s="2164"/>
      <c r="AZ590" s="2164"/>
      <c r="BA590" s="2164"/>
      <c r="BB590" s="2164"/>
      <c r="BC590" s="2164"/>
      <c r="BD590" s="2164"/>
      <c r="BE590" s="2164"/>
      <c r="BF590" s="2164"/>
      <c r="BG590" s="4573"/>
    </row>
    <row customHeight="1" ht="11.25">
      <c r="A591" s="1507" t="s">
        <v>990</v>
      </c>
      <c r="B591" s="1507"/>
      <c r="C591" s="1507"/>
      <c r="D591" s="1501"/>
      <c r="E591" s="1511"/>
      <c r="F591" s="2170"/>
      <c r="G591" s="2171"/>
      <c r="H591" s="2856" t="s">
        <v>107</v>
      </c>
      <c r="I591" s="2857"/>
      <c r="J591" s="4694"/>
      <c r="K591" s="2858"/>
      <c r="L591" s="2448"/>
      <c r="M591" s="2449"/>
      <c r="N591" s="1516"/>
      <c r="O591" s="1517"/>
      <c r="P591" s="1509" t="s">
        <v>1038</v>
      </c>
      <c r="Q591" s="1517"/>
      <c r="R591" s="1517"/>
      <c r="S591" s="1517"/>
      <c r="T591" s="1517"/>
      <c r="U591" s="1517"/>
      <c r="V591" s="1517"/>
      <c r="W591" s="1517"/>
      <c r="X591" s="1517"/>
      <c r="Y591" s="1517"/>
      <c r="Z591" s="1517"/>
      <c r="AA591" s="1517"/>
      <c r="AB591" s="1517"/>
      <c r="AC591" s="1517"/>
      <c r="AD591" s="1517"/>
      <c r="AE591" s="1524"/>
      <c r="AF591" s="2847"/>
      <c r="AG591" s="2848"/>
      <c r="AH591" s="2848"/>
      <c r="AI591" s="2847"/>
      <c r="AJ591" s="2848"/>
      <c r="AK591" s="2848"/>
      <c r="AL591" s="2329"/>
      <c r="AM591" s="2164"/>
      <c r="AN591" s="2164"/>
      <c r="AO591" s="2164"/>
      <c r="AP591" s="2164"/>
      <c r="AQ591" s="2164"/>
      <c r="AR591" s="2164"/>
      <c r="AS591" s="2164"/>
      <c r="AT591" s="2164"/>
      <c r="AU591" s="2164"/>
      <c r="AV591" s="2164"/>
      <c r="AW591" s="2164"/>
      <c r="AX591" s="2164"/>
      <c r="AY591" s="2164"/>
      <c r="AZ591" s="2164"/>
      <c r="BA591" s="2164"/>
      <c r="BB591" s="2164"/>
      <c r="BC591" s="2164"/>
      <c r="BD591" s="2164"/>
      <c r="BE591" s="2164"/>
      <c r="BF591" s="2164"/>
      <c r="BG591" s="4573"/>
    </row>
    <row customHeight="1" ht="11.25">
      <c r="A592" s="1507" t="s">
        <v>990</v>
      </c>
      <c r="B592" s="1507" t="s">
        <v>1022</v>
      </c>
      <c r="C592" s="1507"/>
      <c r="D592" s="1501"/>
      <c r="E592" s="1511"/>
      <c r="F592" s="2170"/>
      <c r="G592" s="4557" t="s">
        <v>684</v>
      </c>
      <c r="H592" s="2856" t="s">
        <v>91</v>
      </c>
      <c r="I592" s="2857" t="s">
        <v>1023</v>
      </c>
      <c r="J592" s="2826" t="s">
        <v>1024</v>
      </c>
      <c r="K592" s="2858" t="s">
        <v>1186</v>
      </c>
      <c r="L592" s="2448" t="s">
        <v>19</v>
      </c>
      <c r="M592" s="2449"/>
      <c r="N592" s="2327"/>
      <c r="O592" s="1518" t="s">
        <v>371</v>
      </c>
      <c r="P592" s="1519"/>
      <c r="Q592" s="1519"/>
      <c r="R592" s="1519"/>
      <c r="S592" s="1519"/>
      <c r="T592" s="1519"/>
      <c r="U592" s="1519"/>
      <c r="V592" s="1519"/>
      <c r="W592" s="1519"/>
      <c r="X592" s="1519"/>
      <c r="Y592" s="1519"/>
      <c r="Z592" s="1519"/>
      <c r="AA592" s="1519"/>
      <c r="AB592" s="1519"/>
      <c r="AC592" s="1519"/>
      <c r="AD592" s="1519"/>
      <c r="AE592" s="1519"/>
      <c r="AF592" s="2847">
        <v>6</v>
      </c>
      <c r="AG592" s="2848" t="s">
        <v>1026</v>
      </c>
      <c r="AH592" s="2848" t="s">
        <v>1104</v>
      </c>
      <c r="AI592" s="2847"/>
      <c r="AJ592" s="2848"/>
      <c r="AK592" s="2848"/>
      <c r="AL592" s="2329"/>
      <c r="AM592" s="2164"/>
      <c r="AN592" s="2164"/>
      <c r="AO592" s="2164"/>
      <c r="AP592" s="2164"/>
      <c r="AQ592" s="2164"/>
      <c r="AR592" s="2164"/>
      <c r="AS592" s="2164"/>
      <c r="AT592" s="2164"/>
      <c r="AU592" s="2164"/>
      <c r="AV592" s="2164"/>
      <c r="AW592" s="2164"/>
      <c r="AX592" s="2164"/>
      <c r="AY592" s="2164"/>
      <c r="AZ592" s="2164"/>
      <c r="BA592" s="2164"/>
      <c r="BB592" s="2164"/>
      <c r="BC592" s="2164"/>
      <c r="BD592" s="2164"/>
      <c r="BE592" s="2164"/>
      <c r="BF592" s="2164"/>
      <c r="BG592" s="4573"/>
    </row>
    <row customHeight="1" ht="11.25">
      <c r="A593" s="1507" t="s">
        <v>990</v>
      </c>
      <c r="B593" s="1507"/>
      <c r="C593" s="1507"/>
      <c r="D593" s="1501"/>
      <c r="E593" s="1511"/>
      <c r="F593" s="2170"/>
      <c r="G593" s="2171"/>
      <c r="H593" s="2856" t="s">
        <v>90</v>
      </c>
      <c r="I593" s="2857"/>
      <c r="J593" s="2826"/>
      <c r="K593" s="2858"/>
      <c r="L593" s="2448"/>
      <c r="M593" s="2449"/>
      <c r="N593" s="2849"/>
      <c r="O593" s="2850">
        <v>1</v>
      </c>
      <c r="P593" s="2851" t="s">
        <v>65</v>
      </c>
      <c r="Q593" s="4672" t="s">
        <v>1028</v>
      </c>
      <c r="R593" s="4673" t="s">
        <v>1029</v>
      </c>
      <c r="S593" s="4673" t="s">
        <v>1030</v>
      </c>
      <c r="T593" s="4673" t="s">
        <v>1030</v>
      </c>
      <c r="U593" s="4673" t="s">
        <v>1031</v>
      </c>
      <c r="V593" s="4673" t="s">
        <v>1032</v>
      </c>
      <c r="W593" s="4673" t="s">
        <v>1033</v>
      </c>
      <c r="X593" s="4673" t="s">
        <v>1034</v>
      </c>
      <c r="Y593" s="4673" t="s">
        <v>106</v>
      </c>
      <c r="Z593" s="1516"/>
      <c r="AA593" s="1517"/>
      <c r="AB593" s="1517"/>
      <c r="AC593" s="1521"/>
      <c r="AD593" s="1521"/>
      <c r="AE593" s="1522"/>
      <c r="AF593" s="2847"/>
      <c r="AG593" s="2848"/>
      <c r="AH593" s="2848"/>
      <c r="AI593" s="2847"/>
      <c r="AJ593" s="2848"/>
      <c r="AK593" s="2848"/>
      <c r="AL593" s="2329"/>
      <c r="AM593" s="2164"/>
      <c r="AN593" s="2164"/>
      <c r="AO593" s="2164"/>
      <c r="AP593" s="2164"/>
      <c r="AQ593" s="2164"/>
      <c r="AR593" s="2164"/>
      <c r="AS593" s="2164"/>
      <c r="AT593" s="2164"/>
      <c r="AU593" s="2164"/>
      <c r="AV593" s="2164"/>
      <c r="AW593" s="2164"/>
      <c r="AX593" s="2164"/>
      <c r="AY593" s="2164"/>
      <c r="AZ593" s="2164"/>
      <c r="BA593" s="2164"/>
      <c r="BB593" s="2164"/>
      <c r="BC593" s="2164"/>
      <c r="BD593" s="2164"/>
      <c r="BE593" s="2164"/>
      <c r="BF593" s="2164"/>
      <c r="BG593" s="4573"/>
    </row>
    <row customHeight="1" ht="11.25">
      <c r="A594" s="1507" t="s">
        <v>990</v>
      </c>
      <c r="B594" s="1507"/>
      <c r="C594" s="1507"/>
      <c r="D594" s="1501"/>
      <c r="E594" s="1511"/>
      <c r="F594" s="2170"/>
      <c r="G594" s="2171"/>
      <c r="H594" s="2856" t="s">
        <v>90</v>
      </c>
      <c r="I594" s="2857"/>
      <c r="J594" s="2826"/>
      <c r="K594" s="2858"/>
      <c r="L594" s="2448"/>
      <c r="M594" s="2449"/>
      <c r="N594" s="2849"/>
      <c r="O594" s="2850"/>
      <c r="P594" s="2852"/>
      <c r="Q594" s="4672"/>
      <c r="R594" s="2854"/>
      <c r="S594" s="2855"/>
      <c r="T594" s="2854"/>
      <c r="U594" s="2854"/>
      <c r="V594" s="2854"/>
      <c r="W594" s="2854"/>
      <c r="X594" s="2854"/>
      <c r="Y594" s="2854"/>
      <c r="Z594" s="2169"/>
      <c r="AA594" s="2135">
        <v>1</v>
      </c>
      <c r="AB594" s="1520" t="s">
        <v>1035</v>
      </c>
      <c r="AC594" s="1510">
        <v>79342.44975</v>
      </c>
      <c r="AD594" s="1520" t="str">
        <f>AB594</f>
        <v>      Амортизационные отчисления с выделением результатов переоценки основных средств и нематериальных активов</v>
      </c>
      <c r="AE594" s="1510"/>
      <c r="AF594" s="2847"/>
      <c r="AG594" s="2848"/>
      <c r="AH594" s="2848"/>
      <c r="AI594" s="2847"/>
      <c r="AJ594" s="2848"/>
      <c r="AK594" s="2848"/>
      <c r="AL594" s="2329"/>
      <c r="AM594" s="2164"/>
      <c r="AN594" s="2164"/>
      <c r="AO594" s="2164"/>
      <c r="AP594" s="2164"/>
      <c r="AQ594" s="2164"/>
      <c r="AR594" s="2164"/>
      <c r="AS594" s="2164"/>
      <c r="AT594" s="2164"/>
      <c r="AU594" s="2164"/>
      <c r="AV594" s="2164"/>
      <c r="AW594" s="2164"/>
      <c r="AX594" s="2164"/>
      <c r="AY594" s="2164"/>
      <c r="AZ594" s="2164"/>
      <c r="BA594" s="2164"/>
      <c r="BB594" s="2164"/>
      <c r="BC594" s="2164"/>
      <c r="BD594" s="2164"/>
      <c r="BE594" s="2164"/>
      <c r="BF594" s="2164"/>
      <c r="BG594" s="4573"/>
    </row>
    <row customHeight="1" ht="11.25">
      <c r="A595" s="1507" t="s">
        <v>990</v>
      </c>
      <c r="B595" s="1507"/>
      <c r="C595" s="1507"/>
      <c r="D595" s="1501"/>
      <c r="E595" s="1511"/>
      <c r="F595" s="2171"/>
      <c r="G595" s="2171"/>
      <c r="H595" s="2171"/>
      <c r="I595" s="2171"/>
      <c r="J595" s="2171"/>
      <c r="K595" s="2171"/>
      <c r="L595" s="2171"/>
      <c r="M595" s="2171"/>
      <c r="N595" s="2171"/>
      <c r="O595" s="2171"/>
      <c r="P595" s="2171"/>
      <c r="Q595" s="2171"/>
      <c r="R595" s="2171"/>
      <c r="S595" s="2171"/>
      <c r="T595" s="2171"/>
      <c r="U595" s="2171"/>
      <c r="V595" s="2171"/>
      <c r="W595" s="2171"/>
      <c r="X595" s="2171"/>
      <c r="Y595" s="2171"/>
      <c r="Z595" s="4557" t="s">
        <v>684</v>
      </c>
      <c r="AA595" s="2155" t="s">
        <v>107</v>
      </c>
      <c r="AB595" s="1520" t="s">
        <v>1036</v>
      </c>
      <c r="AC595" s="1510">
        <v>14741.49228</v>
      </c>
      <c r="AD595" s="1520" t="str">
        <f>AB595</f>
        <v>  Прочие собственные средства</v>
      </c>
      <c r="AE595" s="1510"/>
      <c r="AF595" s="2172"/>
      <c r="AG595" s="2100"/>
      <c r="AH595" s="2100"/>
      <c r="AI595" s="2172"/>
      <c r="AJ595" s="2100"/>
      <c r="AK595" s="2328"/>
      <c r="AL595" s="2329"/>
      <c r="AM595" s="2164"/>
      <c r="AN595" s="2164"/>
      <c r="AO595" s="2164"/>
      <c r="AP595" s="2164"/>
      <c r="AQ595" s="2164"/>
      <c r="AR595" s="2164"/>
      <c r="AS595" s="2164"/>
      <c r="AT595" s="2164"/>
      <c r="AU595" s="2164"/>
      <c r="AV595" s="2164"/>
      <c r="AW595" s="2164"/>
      <c r="AX595" s="2164"/>
      <c r="AY595" s="2164"/>
      <c r="AZ595" s="2164"/>
      <c r="BA595" s="2164"/>
      <c r="BB595" s="2164"/>
      <c r="BC595" s="2164"/>
      <c r="BD595" s="2164"/>
      <c r="BE595" s="2164"/>
      <c r="BF595" s="2164"/>
      <c r="BG595" s="4573"/>
    </row>
    <row customHeight="1" ht="11.25">
      <c r="A596" s="1507" t="s">
        <v>990</v>
      </c>
      <c r="B596" s="1507"/>
      <c r="C596" s="1507"/>
      <c r="D596" s="1501"/>
      <c r="E596" s="1511"/>
      <c r="F596" s="2170"/>
      <c r="G596" s="2171"/>
      <c r="H596" s="2856" t="s">
        <v>90</v>
      </c>
      <c r="I596" s="2857"/>
      <c r="J596" s="2826"/>
      <c r="K596" s="2858"/>
      <c r="L596" s="2448"/>
      <c r="M596" s="2449"/>
      <c r="N596" s="2849"/>
      <c r="O596" s="2850"/>
      <c r="P596" s="2853"/>
      <c r="Q596" s="4672"/>
      <c r="R596" s="2854"/>
      <c r="S596" s="2855"/>
      <c r="T596" s="2854"/>
      <c r="U596" s="2854"/>
      <c r="V596" s="2854"/>
      <c r="W596" s="2854"/>
      <c r="X596" s="2854"/>
      <c r="Y596" s="2854"/>
      <c r="Z596" s="1516"/>
      <c r="AA596" s="1517"/>
      <c r="AB596" s="1582" t="s">
        <v>1037</v>
      </c>
      <c r="AC596" s="1521"/>
      <c r="AD596" s="1521"/>
      <c r="AE596" s="1523"/>
      <c r="AF596" s="2847"/>
      <c r="AG596" s="2848"/>
      <c r="AH596" s="2848"/>
      <c r="AI596" s="2847"/>
      <c r="AJ596" s="2848"/>
      <c r="AK596" s="2848"/>
      <c r="AL596" s="2329"/>
      <c r="AM596" s="2164"/>
      <c r="AN596" s="2164"/>
      <c r="AO596" s="2164"/>
      <c r="AP596" s="2164"/>
      <c r="AQ596" s="2164"/>
      <c r="AR596" s="2164"/>
      <c r="AS596" s="2164"/>
      <c r="AT596" s="2164"/>
      <c r="AU596" s="2164"/>
      <c r="AV596" s="2164"/>
      <c r="AW596" s="2164"/>
      <c r="AX596" s="2164"/>
      <c r="AY596" s="2164"/>
      <c r="AZ596" s="2164"/>
      <c r="BA596" s="2164"/>
      <c r="BB596" s="2164"/>
      <c r="BC596" s="2164"/>
      <c r="BD596" s="2164"/>
      <c r="BE596" s="2164"/>
      <c r="BF596" s="2164"/>
      <c r="BG596" s="4573"/>
    </row>
    <row customHeight="1" ht="11.25">
      <c r="A597" s="1507" t="s">
        <v>990</v>
      </c>
      <c r="B597" s="1507"/>
      <c r="C597" s="1507"/>
      <c r="D597" s="1501"/>
      <c r="E597" s="1511"/>
      <c r="F597" s="2170"/>
      <c r="G597" s="2171"/>
      <c r="H597" s="2856" t="s">
        <v>90</v>
      </c>
      <c r="I597" s="2857"/>
      <c r="J597" s="2826"/>
      <c r="K597" s="2858"/>
      <c r="L597" s="2448"/>
      <c r="M597" s="2449"/>
      <c r="N597" s="1516"/>
      <c r="O597" s="1517"/>
      <c r="P597" s="1509" t="s">
        <v>1038</v>
      </c>
      <c r="Q597" s="1517"/>
      <c r="R597" s="1517"/>
      <c r="S597" s="1517"/>
      <c r="T597" s="1517"/>
      <c r="U597" s="1517"/>
      <c r="V597" s="1517"/>
      <c r="W597" s="1517"/>
      <c r="X597" s="1517"/>
      <c r="Y597" s="1517"/>
      <c r="Z597" s="1517"/>
      <c r="AA597" s="1517"/>
      <c r="AB597" s="1517"/>
      <c r="AC597" s="1517"/>
      <c r="AD597" s="1517"/>
      <c r="AE597" s="1524"/>
      <c r="AF597" s="2847"/>
      <c r="AG597" s="2848"/>
      <c r="AH597" s="2848"/>
      <c r="AI597" s="2847"/>
      <c r="AJ597" s="2848"/>
      <c r="AK597" s="2848"/>
      <c r="AL597" s="2329"/>
      <c r="AM597" s="2164"/>
      <c r="AN597" s="2164"/>
      <c r="AO597" s="2164"/>
      <c r="AP597" s="2164"/>
      <c r="AQ597" s="2164"/>
      <c r="AR597" s="2164"/>
      <c r="AS597" s="2164"/>
      <c r="AT597" s="2164"/>
      <c r="AU597" s="2164"/>
      <c r="AV597" s="2164"/>
      <c r="AW597" s="2164"/>
      <c r="AX597" s="2164"/>
      <c r="AY597" s="2164"/>
      <c r="AZ597" s="2164"/>
      <c r="BA597" s="2164"/>
      <c r="BB597" s="2164"/>
      <c r="BC597" s="2164"/>
      <c r="BD597" s="2164"/>
      <c r="BE597" s="2164"/>
      <c r="BF597" s="2164"/>
      <c r="BG597" s="4573"/>
    </row>
    <row customHeight="1" ht="11.25">
      <c r="A598" s="1507" t="s">
        <v>990</v>
      </c>
      <c r="B598" s="1507" t="s">
        <v>1022</v>
      </c>
      <c r="C598" s="1507"/>
      <c r="D598" s="1501"/>
      <c r="E598" s="1511"/>
      <c r="F598" s="2170"/>
      <c r="G598" s="4557" t="s">
        <v>684</v>
      </c>
      <c r="H598" s="2856" t="s">
        <v>108</v>
      </c>
      <c r="I598" s="2857" t="s">
        <v>1023</v>
      </c>
      <c r="J598" s="2826" t="s">
        <v>1024</v>
      </c>
      <c r="K598" s="2858" t="s">
        <v>1188</v>
      </c>
      <c r="L598" s="2448" t="s">
        <v>19</v>
      </c>
      <c r="M598" s="2449"/>
      <c r="N598" s="2327"/>
      <c r="O598" s="1518" t="s">
        <v>371</v>
      </c>
      <c r="P598" s="1519"/>
      <c r="Q598" s="1519"/>
      <c r="R598" s="1519"/>
      <c r="S598" s="1519"/>
      <c r="T598" s="1519"/>
      <c r="U598" s="1519"/>
      <c r="V598" s="1519"/>
      <c r="W598" s="1519"/>
      <c r="X598" s="1519"/>
      <c r="Y598" s="1519"/>
      <c r="Z598" s="1519"/>
      <c r="AA598" s="1519"/>
      <c r="AB598" s="1519"/>
      <c r="AC598" s="1519"/>
      <c r="AD598" s="1519"/>
      <c r="AE598" s="1519"/>
      <c r="AF598" s="2847">
        <v>5</v>
      </c>
      <c r="AG598" s="2848" t="s">
        <v>1026</v>
      </c>
      <c r="AH598" s="2848" t="s">
        <v>1104</v>
      </c>
      <c r="AI598" s="2847"/>
      <c r="AJ598" s="2848"/>
      <c r="AK598" s="2848"/>
      <c r="AL598" s="2329"/>
      <c r="AM598" s="2164"/>
      <c r="AN598" s="2164"/>
      <c r="AO598" s="2164"/>
      <c r="AP598" s="2164"/>
      <c r="AQ598" s="2164"/>
      <c r="AR598" s="2164"/>
      <c r="AS598" s="2164"/>
      <c r="AT598" s="2164"/>
      <c r="AU598" s="2164"/>
      <c r="AV598" s="2164"/>
      <c r="AW598" s="2164"/>
      <c r="AX598" s="2164"/>
      <c r="AY598" s="2164"/>
      <c r="AZ598" s="2164"/>
      <c r="BA598" s="2164"/>
      <c r="BB598" s="2164"/>
      <c r="BC598" s="2164"/>
      <c r="BD598" s="2164"/>
      <c r="BE598" s="2164"/>
      <c r="BF598" s="2164"/>
      <c r="BG598" s="4573"/>
    </row>
    <row customHeight="1" ht="11.25">
      <c r="A599" s="1507" t="s">
        <v>990</v>
      </c>
      <c r="B599" s="1507"/>
      <c r="C599" s="1507"/>
      <c r="D599" s="1501"/>
      <c r="E599" s="1511"/>
      <c r="F599" s="2170"/>
      <c r="G599" s="2171"/>
      <c r="H599" s="2856" t="s">
        <v>91</v>
      </c>
      <c r="I599" s="2857"/>
      <c r="J599" s="2826"/>
      <c r="K599" s="2858"/>
      <c r="L599" s="2448"/>
      <c r="M599" s="2449"/>
      <c r="N599" s="2849"/>
      <c r="O599" s="2850">
        <v>1</v>
      </c>
      <c r="P599" s="2851" t="s">
        <v>65</v>
      </c>
      <c r="Q599" s="4672" t="s">
        <v>1028</v>
      </c>
      <c r="R599" s="4673" t="s">
        <v>1029</v>
      </c>
      <c r="S599" s="4673" t="s">
        <v>1030</v>
      </c>
      <c r="T599" s="4673" t="s">
        <v>1030</v>
      </c>
      <c r="U599" s="4673" t="s">
        <v>1031</v>
      </c>
      <c r="V599" s="4673" t="s">
        <v>1032</v>
      </c>
      <c r="W599" s="4673" t="s">
        <v>1033</v>
      </c>
      <c r="X599" s="4673" t="s">
        <v>1034</v>
      </c>
      <c r="Y599" s="4673" t="s">
        <v>106</v>
      </c>
      <c r="Z599" s="1516"/>
      <c r="AA599" s="1517"/>
      <c r="AB599" s="1517"/>
      <c r="AC599" s="1521"/>
      <c r="AD599" s="1521"/>
      <c r="AE599" s="1522"/>
      <c r="AF599" s="2847"/>
      <c r="AG599" s="2848"/>
      <c r="AH599" s="2848"/>
      <c r="AI599" s="2847"/>
      <c r="AJ599" s="2848"/>
      <c r="AK599" s="2848"/>
      <c r="AL599" s="2329"/>
      <c r="AM599" s="2164"/>
      <c r="AN599" s="2164"/>
      <c r="AO599" s="2164"/>
      <c r="AP599" s="2164"/>
      <c r="AQ599" s="2164"/>
      <c r="AR599" s="2164"/>
      <c r="AS599" s="2164"/>
      <c r="AT599" s="2164"/>
      <c r="AU599" s="2164"/>
      <c r="AV599" s="2164"/>
      <c r="AW599" s="2164"/>
      <c r="AX599" s="2164"/>
      <c r="AY599" s="2164"/>
      <c r="AZ599" s="2164"/>
      <c r="BA599" s="2164"/>
      <c r="BB599" s="2164"/>
      <c r="BC599" s="2164"/>
      <c r="BD599" s="2164"/>
      <c r="BE599" s="2164"/>
      <c r="BF599" s="2164"/>
      <c r="BG599" s="4573"/>
    </row>
    <row customHeight="1" ht="11.25">
      <c r="A600" s="1507" t="s">
        <v>990</v>
      </c>
      <c r="B600" s="1507"/>
      <c r="C600" s="1507"/>
      <c r="D600" s="1501"/>
      <c r="E600" s="1511"/>
      <c r="F600" s="2170"/>
      <c r="G600" s="2171"/>
      <c r="H600" s="2856" t="s">
        <v>91</v>
      </c>
      <c r="I600" s="2857"/>
      <c r="J600" s="2826"/>
      <c r="K600" s="2858"/>
      <c r="L600" s="2448"/>
      <c r="M600" s="2449"/>
      <c r="N600" s="2849"/>
      <c r="O600" s="2850"/>
      <c r="P600" s="2852"/>
      <c r="Q600" s="4672"/>
      <c r="R600" s="2854"/>
      <c r="S600" s="2855"/>
      <c r="T600" s="2854"/>
      <c r="U600" s="2854"/>
      <c r="V600" s="2854"/>
      <c r="W600" s="2854"/>
      <c r="X600" s="2854"/>
      <c r="Y600" s="2854"/>
      <c r="Z600" s="2169"/>
      <c r="AA600" s="2135">
        <v>1</v>
      </c>
      <c r="AB600" s="1520" t="s">
        <v>1035</v>
      </c>
      <c r="AC600" s="1510">
        <v>5777.18331</v>
      </c>
      <c r="AD600" s="1520" t="str">
        <f>AB600</f>
        <v>      Амортизационные отчисления с выделением результатов переоценки основных средств и нематериальных активов</v>
      </c>
      <c r="AE600" s="1510"/>
      <c r="AF600" s="2847"/>
      <c r="AG600" s="2848"/>
      <c r="AH600" s="2848"/>
      <c r="AI600" s="2847"/>
      <c r="AJ600" s="2848"/>
      <c r="AK600" s="2848"/>
      <c r="AL600" s="2329"/>
      <c r="AM600" s="2164"/>
      <c r="AN600" s="2164"/>
      <c r="AO600" s="2164"/>
      <c r="AP600" s="2164"/>
      <c r="AQ600" s="2164"/>
      <c r="AR600" s="2164"/>
      <c r="AS600" s="2164"/>
      <c r="AT600" s="2164"/>
      <c r="AU600" s="2164"/>
      <c r="AV600" s="2164"/>
      <c r="AW600" s="2164"/>
      <c r="AX600" s="2164"/>
      <c r="AY600" s="2164"/>
      <c r="AZ600" s="2164"/>
      <c r="BA600" s="2164"/>
      <c r="BB600" s="2164"/>
      <c r="BC600" s="2164"/>
      <c r="BD600" s="2164"/>
      <c r="BE600" s="2164"/>
      <c r="BF600" s="2164"/>
      <c r="BG600" s="4573"/>
    </row>
    <row customHeight="1" ht="11.25">
      <c r="A601" s="1507" t="s">
        <v>990</v>
      </c>
      <c r="B601" s="1507"/>
      <c r="C601" s="1507"/>
      <c r="D601" s="1501"/>
      <c r="E601" s="1511"/>
      <c r="F601" s="2171"/>
      <c r="G601" s="2171"/>
      <c r="H601" s="2171"/>
      <c r="I601" s="2171"/>
      <c r="J601" s="2171"/>
      <c r="K601" s="2171"/>
      <c r="L601" s="2171"/>
      <c r="M601" s="2171"/>
      <c r="N601" s="2171"/>
      <c r="O601" s="2171"/>
      <c r="P601" s="2171"/>
      <c r="Q601" s="2171"/>
      <c r="R601" s="2171"/>
      <c r="S601" s="2171"/>
      <c r="T601" s="2171"/>
      <c r="U601" s="2171"/>
      <c r="V601" s="2171"/>
      <c r="W601" s="2171"/>
      <c r="X601" s="2171"/>
      <c r="Y601" s="2171"/>
      <c r="Z601" s="4557" t="s">
        <v>684</v>
      </c>
      <c r="AA601" s="2155" t="s">
        <v>107</v>
      </c>
      <c r="AB601" s="1520" t="s">
        <v>1036</v>
      </c>
      <c r="AC601" s="1510">
        <v>1155.43666</v>
      </c>
      <c r="AD601" s="1520" t="str">
        <f>AB601</f>
        <v>  Прочие собственные средства</v>
      </c>
      <c r="AE601" s="1510"/>
      <c r="AF601" s="2172"/>
      <c r="AG601" s="2100"/>
      <c r="AH601" s="2100"/>
      <c r="AI601" s="2172"/>
      <c r="AJ601" s="2100"/>
      <c r="AK601" s="2328"/>
      <c r="AL601" s="2329"/>
      <c r="AM601" s="2164"/>
      <c r="AN601" s="2164"/>
      <c r="AO601" s="2164"/>
      <c r="AP601" s="2164"/>
      <c r="AQ601" s="2164"/>
      <c r="AR601" s="2164"/>
      <c r="AS601" s="2164"/>
      <c r="AT601" s="2164"/>
      <c r="AU601" s="2164"/>
      <c r="AV601" s="2164"/>
      <c r="AW601" s="2164"/>
      <c r="AX601" s="2164"/>
      <c r="AY601" s="2164"/>
      <c r="AZ601" s="2164"/>
      <c r="BA601" s="2164"/>
      <c r="BB601" s="2164"/>
      <c r="BC601" s="2164"/>
      <c r="BD601" s="2164"/>
      <c r="BE601" s="2164"/>
      <c r="BF601" s="2164"/>
      <c r="BG601" s="4573"/>
    </row>
    <row customHeight="1" ht="11.25">
      <c r="A602" s="1507" t="s">
        <v>990</v>
      </c>
      <c r="B602" s="1507"/>
      <c r="C602" s="1507"/>
      <c r="D602" s="1501"/>
      <c r="E602" s="1511"/>
      <c r="F602" s="2170"/>
      <c r="G602" s="2171"/>
      <c r="H602" s="2856" t="s">
        <v>91</v>
      </c>
      <c r="I602" s="2857"/>
      <c r="J602" s="2826"/>
      <c r="K602" s="2858"/>
      <c r="L602" s="2448"/>
      <c r="M602" s="2449"/>
      <c r="N602" s="2849"/>
      <c r="O602" s="2850"/>
      <c r="P602" s="2853"/>
      <c r="Q602" s="4672"/>
      <c r="R602" s="2854"/>
      <c r="S602" s="2855"/>
      <c r="T602" s="2854"/>
      <c r="U602" s="2854"/>
      <c r="V602" s="2854"/>
      <c r="W602" s="2854"/>
      <c r="X602" s="2854"/>
      <c r="Y602" s="2854"/>
      <c r="Z602" s="1516"/>
      <c r="AA602" s="1517"/>
      <c r="AB602" s="1582" t="s">
        <v>1037</v>
      </c>
      <c r="AC602" s="1521"/>
      <c r="AD602" s="1521"/>
      <c r="AE602" s="1523"/>
      <c r="AF602" s="2847"/>
      <c r="AG602" s="2848"/>
      <c r="AH602" s="2848"/>
      <c r="AI602" s="2847"/>
      <c r="AJ602" s="2848"/>
      <c r="AK602" s="2848"/>
      <c r="AL602" s="2329"/>
      <c r="AM602" s="2164"/>
      <c r="AN602" s="2164"/>
      <c r="AO602" s="2164"/>
      <c r="AP602" s="2164"/>
      <c r="AQ602" s="2164"/>
      <c r="AR602" s="2164"/>
      <c r="AS602" s="2164"/>
      <c r="AT602" s="2164"/>
      <c r="AU602" s="2164"/>
      <c r="AV602" s="2164"/>
      <c r="AW602" s="2164"/>
      <c r="AX602" s="2164"/>
      <c r="AY602" s="2164"/>
      <c r="AZ602" s="2164"/>
      <c r="BA602" s="2164"/>
      <c r="BB602" s="2164"/>
      <c r="BC602" s="2164"/>
      <c r="BD602" s="2164"/>
      <c r="BE602" s="2164"/>
      <c r="BF602" s="2164"/>
      <c r="BG602" s="4573"/>
    </row>
    <row customHeight="1" ht="11.25">
      <c r="A603" s="1507" t="s">
        <v>990</v>
      </c>
      <c r="B603" s="1507"/>
      <c r="C603" s="1507"/>
      <c r="D603" s="1501"/>
      <c r="E603" s="1511"/>
      <c r="F603" s="2170"/>
      <c r="G603" s="2171"/>
      <c r="H603" s="2856" t="s">
        <v>91</v>
      </c>
      <c r="I603" s="2857"/>
      <c r="J603" s="2826"/>
      <c r="K603" s="2858"/>
      <c r="L603" s="2448"/>
      <c r="M603" s="2449"/>
      <c r="N603" s="1516"/>
      <c r="O603" s="1517"/>
      <c r="P603" s="1509" t="s">
        <v>1038</v>
      </c>
      <c r="Q603" s="1517"/>
      <c r="R603" s="1517"/>
      <c r="S603" s="1517"/>
      <c r="T603" s="1517"/>
      <c r="U603" s="1517"/>
      <c r="V603" s="1517"/>
      <c r="W603" s="1517"/>
      <c r="X603" s="1517"/>
      <c r="Y603" s="1517"/>
      <c r="Z603" s="1517"/>
      <c r="AA603" s="1517"/>
      <c r="AB603" s="1517"/>
      <c r="AC603" s="1517"/>
      <c r="AD603" s="1517"/>
      <c r="AE603" s="1524"/>
      <c r="AF603" s="2847"/>
      <c r="AG603" s="2848"/>
      <c r="AH603" s="2848"/>
      <c r="AI603" s="2847"/>
      <c r="AJ603" s="2848"/>
      <c r="AK603" s="2848"/>
      <c r="AL603" s="2329"/>
      <c r="AM603" s="2164"/>
      <c r="AN603" s="2164"/>
      <c r="AO603" s="2164"/>
      <c r="AP603" s="2164"/>
      <c r="AQ603" s="2164"/>
      <c r="AR603" s="2164"/>
      <c r="AS603" s="2164"/>
      <c r="AT603" s="2164"/>
      <c r="AU603" s="2164"/>
      <c r="AV603" s="2164"/>
      <c r="AW603" s="2164"/>
      <c r="AX603" s="2164"/>
      <c r="AY603" s="2164"/>
      <c r="AZ603" s="2164"/>
      <c r="BA603" s="2164"/>
      <c r="BB603" s="2164"/>
      <c r="BC603" s="2164"/>
      <c r="BD603" s="2164"/>
      <c r="BE603" s="2164"/>
      <c r="BF603" s="2164"/>
      <c r="BG603" s="4573"/>
    </row>
    <row customHeight="1" ht="11.25">
      <c r="A604" s="1507" t="s">
        <v>990</v>
      </c>
      <c r="B604" s="1507" t="s">
        <v>1022</v>
      </c>
      <c r="C604" s="1507"/>
      <c r="D604" s="1501"/>
      <c r="E604" s="1511"/>
      <c r="F604" s="2170"/>
      <c r="G604" s="4557" t="s">
        <v>684</v>
      </c>
      <c r="H604" s="2856" t="s">
        <v>92</v>
      </c>
      <c r="I604" s="2857" t="s">
        <v>1023</v>
      </c>
      <c r="J604" s="2826" t="s">
        <v>1024</v>
      </c>
      <c r="K604" s="2858" t="s">
        <v>1189</v>
      </c>
      <c r="L604" s="2448" t="s">
        <v>19</v>
      </c>
      <c r="M604" s="2449"/>
      <c r="N604" s="2327"/>
      <c r="O604" s="1518" t="s">
        <v>371</v>
      </c>
      <c r="P604" s="1519"/>
      <c r="Q604" s="1519"/>
      <c r="R604" s="1519"/>
      <c r="S604" s="1519"/>
      <c r="T604" s="1519"/>
      <c r="U604" s="1519"/>
      <c r="V604" s="1519"/>
      <c r="W604" s="1519"/>
      <c r="X604" s="1519"/>
      <c r="Y604" s="1519"/>
      <c r="Z604" s="1519"/>
      <c r="AA604" s="1519"/>
      <c r="AB604" s="1519"/>
      <c r="AC604" s="1519"/>
      <c r="AD604" s="1519"/>
      <c r="AE604" s="1519"/>
      <c r="AF604" s="2847">
        <v>3</v>
      </c>
      <c r="AG604" s="2848" t="s">
        <v>1026</v>
      </c>
      <c r="AH604" s="2848" t="s">
        <v>1190</v>
      </c>
      <c r="AI604" s="2847"/>
      <c r="AJ604" s="2848"/>
      <c r="AK604" s="2848"/>
      <c r="AL604" s="2329"/>
      <c r="AM604" s="2164"/>
      <c r="AN604" s="2164"/>
      <c r="AO604" s="2164"/>
      <c r="AP604" s="2164"/>
      <c r="AQ604" s="2164"/>
      <c r="AR604" s="2164"/>
      <c r="AS604" s="2164"/>
      <c r="AT604" s="2164"/>
      <c r="AU604" s="2164"/>
      <c r="AV604" s="2164"/>
      <c r="AW604" s="2164"/>
      <c r="AX604" s="2164"/>
      <c r="AY604" s="2164"/>
      <c r="AZ604" s="2164"/>
      <c r="BA604" s="2164"/>
      <c r="BB604" s="2164"/>
      <c r="BC604" s="2164"/>
      <c r="BD604" s="2164"/>
      <c r="BE604" s="2164"/>
      <c r="BF604" s="2164"/>
      <c r="BG604" s="4573"/>
    </row>
    <row customHeight="1" ht="11.25">
      <c r="A605" s="1507" t="s">
        <v>990</v>
      </c>
      <c r="B605" s="1507"/>
      <c r="C605" s="1507"/>
      <c r="D605" s="1501"/>
      <c r="E605" s="1511"/>
      <c r="F605" s="2170"/>
      <c r="G605" s="2171"/>
      <c r="H605" s="2856" t="s">
        <v>108</v>
      </c>
      <c r="I605" s="2857"/>
      <c r="J605" s="2826"/>
      <c r="K605" s="2858"/>
      <c r="L605" s="2448"/>
      <c r="M605" s="2449"/>
      <c r="N605" s="2849"/>
      <c r="O605" s="2850">
        <v>1</v>
      </c>
      <c r="P605" s="2851" t="s">
        <v>65</v>
      </c>
      <c r="Q605" s="4672" t="s">
        <v>1028</v>
      </c>
      <c r="R605" s="4673" t="s">
        <v>1029</v>
      </c>
      <c r="S605" s="4673" t="s">
        <v>1030</v>
      </c>
      <c r="T605" s="4673" t="s">
        <v>1030</v>
      </c>
      <c r="U605" s="4673" t="s">
        <v>1031</v>
      </c>
      <c r="V605" s="4673" t="s">
        <v>1032</v>
      </c>
      <c r="W605" s="4673" t="s">
        <v>1033</v>
      </c>
      <c r="X605" s="4673" t="s">
        <v>1034</v>
      </c>
      <c r="Y605" s="4673" t="s">
        <v>106</v>
      </c>
      <c r="Z605" s="1516"/>
      <c r="AA605" s="1517"/>
      <c r="AB605" s="1517"/>
      <c r="AC605" s="1521"/>
      <c r="AD605" s="1521"/>
      <c r="AE605" s="1522"/>
      <c r="AF605" s="2847"/>
      <c r="AG605" s="2848"/>
      <c r="AH605" s="2848"/>
      <c r="AI605" s="2847"/>
      <c r="AJ605" s="2848"/>
      <c r="AK605" s="2848"/>
      <c r="AL605" s="2329"/>
      <c r="AM605" s="2164"/>
      <c r="AN605" s="2164"/>
      <c r="AO605" s="2164"/>
      <c r="AP605" s="2164"/>
      <c r="AQ605" s="2164"/>
      <c r="AR605" s="2164"/>
      <c r="AS605" s="2164"/>
      <c r="AT605" s="2164"/>
      <c r="AU605" s="2164"/>
      <c r="AV605" s="2164"/>
      <c r="AW605" s="2164"/>
      <c r="AX605" s="2164"/>
      <c r="AY605" s="2164"/>
      <c r="AZ605" s="2164"/>
      <c r="BA605" s="2164"/>
      <c r="BB605" s="2164"/>
      <c r="BC605" s="2164"/>
      <c r="BD605" s="2164"/>
      <c r="BE605" s="2164"/>
      <c r="BF605" s="2164"/>
      <c r="BG605" s="4573"/>
    </row>
    <row customHeight="1" ht="11.25">
      <c r="A606" s="1507" t="s">
        <v>990</v>
      </c>
      <c r="B606" s="1507"/>
      <c r="C606" s="1507"/>
      <c r="D606" s="1501"/>
      <c r="E606" s="1511"/>
      <c r="F606" s="2170"/>
      <c r="G606" s="2171"/>
      <c r="H606" s="2856" t="s">
        <v>108</v>
      </c>
      <c r="I606" s="2857"/>
      <c r="J606" s="2826"/>
      <c r="K606" s="2858"/>
      <c r="L606" s="2448"/>
      <c r="M606" s="2449"/>
      <c r="N606" s="2849"/>
      <c r="O606" s="2850"/>
      <c r="P606" s="2852"/>
      <c r="Q606" s="4672"/>
      <c r="R606" s="2854"/>
      <c r="S606" s="2855"/>
      <c r="T606" s="2854"/>
      <c r="U606" s="2854"/>
      <c r="V606" s="2854"/>
      <c r="W606" s="2854"/>
      <c r="X606" s="2854"/>
      <c r="Y606" s="2854"/>
      <c r="Z606" s="2169"/>
      <c r="AA606" s="2135">
        <v>1</v>
      </c>
      <c r="AB606" s="1520" t="s">
        <v>1035</v>
      </c>
      <c r="AC606" s="1510">
        <v>17493.07271</v>
      </c>
      <c r="AD606" s="1520" t="str">
        <f>AB606</f>
        <v>      Амортизационные отчисления с выделением результатов переоценки основных средств и нематериальных активов</v>
      </c>
      <c r="AE606" s="1510"/>
      <c r="AF606" s="2847"/>
      <c r="AG606" s="2848"/>
      <c r="AH606" s="2848"/>
      <c r="AI606" s="2847"/>
      <c r="AJ606" s="2848"/>
      <c r="AK606" s="2848"/>
      <c r="AL606" s="2329"/>
      <c r="AM606" s="2164"/>
      <c r="AN606" s="2164"/>
      <c r="AO606" s="2164"/>
      <c r="AP606" s="2164"/>
      <c r="AQ606" s="2164"/>
      <c r="AR606" s="2164"/>
      <c r="AS606" s="2164"/>
      <c r="AT606" s="2164"/>
      <c r="AU606" s="2164"/>
      <c r="AV606" s="2164"/>
      <c r="AW606" s="2164"/>
      <c r="AX606" s="2164"/>
      <c r="AY606" s="2164"/>
      <c r="AZ606" s="2164"/>
      <c r="BA606" s="2164"/>
      <c r="BB606" s="2164"/>
      <c r="BC606" s="2164"/>
      <c r="BD606" s="2164"/>
      <c r="BE606" s="2164"/>
      <c r="BF606" s="2164"/>
      <c r="BG606" s="4573"/>
    </row>
    <row customHeight="1" ht="11.25">
      <c r="A607" s="1507" t="s">
        <v>990</v>
      </c>
      <c r="B607" s="1507"/>
      <c r="C607" s="1507"/>
      <c r="D607" s="1501"/>
      <c r="E607" s="1511"/>
      <c r="F607" s="2171"/>
      <c r="G607" s="2171"/>
      <c r="H607" s="2171"/>
      <c r="I607" s="2171"/>
      <c r="J607" s="4685"/>
      <c r="K607" s="2171"/>
      <c r="L607" s="2171"/>
      <c r="M607" s="2171"/>
      <c r="N607" s="2171"/>
      <c r="O607" s="2171"/>
      <c r="P607" s="2171"/>
      <c r="Q607" s="4685"/>
      <c r="R607" s="2171"/>
      <c r="S607" s="2171"/>
      <c r="T607" s="2171"/>
      <c r="U607" s="2171"/>
      <c r="V607" s="2171"/>
      <c r="W607" s="2171"/>
      <c r="X607" s="2171"/>
      <c r="Y607" s="2171"/>
      <c r="Z607" s="4557" t="s">
        <v>684</v>
      </c>
      <c r="AA607" s="2155" t="s">
        <v>107</v>
      </c>
      <c r="AB607" s="1520" t="s">
        <v>1036</v>
      </c>
      <c r="AC607" s="1510">
        <v>3498.61454</v>
      </c>
      <c r="AD607" s="1520" t="str">
        <f>AB607</f>
        <v>  Прочие собственные средства</v>
      </c>
      <c r="AE607" s="1510"/>
      <c r="AF607" s="2172"/>
      <c r="AG607" s="2100"/>
      <c r="AH607" s="2100"/>
      <c r="AI607" s="2172"/>
      <c r="AJ607" s="2100"/>
      <c r="AK607" s="2328"/>
      <c r="AL607" s="2329"/>
      <c r="AM607" s="2164"/>
      <c r="AN607" s="2164"/>
      <c r="AO607" s="2164"/>
      <c r="AP607" s="2164"/>
      <c r="AQ607" s="2164"/>
      <c r="AR607" s="2164"/>
      <c r="AS607" s="2164"/>
      <c r="AT607" s="2164"/>
      <c r="AU607" s="2164"/>
      <c r="AV607" s="2164"/>
      <c r="AW607" s="2164"/>
      <c r="AX607" s="2164"/>
      <c r="AY607" s="2164"/>
      <c r="AZ607" s="2164"/>
      <c r="BA607" s="2164"/>
      <c r="BB607" s="2164"/>
      <c r="BC607" s="2164"/>
      <c r="BD607" s="2164"/>
      <c r="BE607" s="2164"/>
      <c r="BF607" s="2164"/>
      <c r="BG607" s="4573"/>
    </row>
    <row customHeight="1" ht="11.25">
      <c r="A608" s="1507" t="s">
        <v>990</v>
      </c>
      <c r="B608" s="1507"/>
      <c r="C608" s="1507"/>
      <c r="D608" s="1501"/>
      <c r="E608" s="1511"/>
      <c r="F608" s="2170"/>
      <c r="G608" s="2171"/>
      <c r="H608" s="2856" t="s">
        <v>108</v>
      </c>
      <c r="I608" s="2857"/>
      <c r="J608" s="2826"/>
      <c r="K608" s="2858"/>
      <c r="L608" s="2448"/>
      <c r="M608" s="2449"/>
      <c r="N608" s="2849"/>
      <c r="O608" s="2850"/>
      <c r="P608" s="2853"/>
      <c r="Q608" s="4672"/>
      <c r="R608" s="2854"/>
      <c r="S608" s="2855"/>
      <c r="T608" s="2854"/>
      <c r="U608" s="2854"/>
      <c r="V608" s="2854"/>
      <c r="W608" s="2854"/>
      <c r="X608" s="2854"/>
      <c r="Y608" s="2854"/>
      <c r="Z608" s="1516"/>
      <c r="AA608" s="1517"/>
      <c r="AB608" s="1582" t="s">
        <v>1037</v>
      </c>
      <c r="AC608" s="1521"/>
      <c r="AD608" s="1521"/>
      <c r="AE608" s="1523"/>
      <c r="AF608" s="2847"/>
      <c r="AG608" s="2848"/>
      <c r="AH608" s="2848"/>
      <c r="AI608" s="2847"/>
      <c r="AJ608" s="2848"/>
      <c r="AK608" s="2848"/>
      <c r="AL608" s="2329"/>
      <c r="AM608" s="2164"/>
      <c r="AN608" s="2164"/>
      <c r="AO608" s="2164"/>
      <c r="AP608" s="2164"/>
      <c r="AQ608" s="2164"/>
      <c r="AR608" s="2164"/>
      <c r="AS608" s="2164"/>
      <c r="AT608" s="2164"/>
      <c r="AU608" s="2164"/>
      <c r="AV608" s="2164"/>
      <c r="AW608" s="2164"/>
      <c r="AX608" s="2164"/>
      <c r="AY608" s="2164"/>
      <c r="AZ608" s="2164"/>
      <c r="BA608" s="2164"/>
      <c r="BB608" s="2164"/>
      <c r="BC608" s="2164"/>
      <c r="BD608" s="2164"/>
      <c r="BE608" s="2164"/>
      <c r="BF608" s="2164"/>
      <c r="BG608" s="4573"/>
    </row>
    <row customHeight="1" ht="11.25">
      <c r="A609" s="1507" t="s">
        <v>990</v>
      </c>
      <c r="B609" s="1507"/>
      <c r="C609" s="1507"/>
      <c r="D609" s="1501"/>
      <c r="E609" s="1511"/>
      <c r="F609" s="2170"/>
      <c r="G609" s="2171"/>
      <c r="H609" s="2856" t="s">
        <v>108</v>
      </c>
      <c r="I609" s="2857"/>
      <c r="J609" s="2826"/>
      <c r="K609" s="2858"/>
      <c r="L609" s="2448"/>
      <c r="M609" s="2449"/>
      <c r="N609" s="1516"/>
      <c r="O609" s="1517"/>
      <c r="P609" s="1509" t="s">
        <v>1038</v>
      </c>
      <c r="Q609" s="1517"/>
      <c r="R609" s="1517"/>
      <c r="S609" s="1517"/>
      <c r="T609" s="1517"/>
      <c r="U609" s="1517"/>
      <c r="V609" s="1517"/>
      <c r="W609" s="1517"/>
      <c r="X609" s="1517"/>
      <c r="Y609" s="1517"/>
      <c r="Z609" s="1517"/>
      <c r="AA609" s="1517"/>
      <c r="AB609" s="1517"/>
      <c r="AC609" s="1517"/>
      <c r="AD609" s="1517"/>
      <c r="AE609" s="1524"/>
      <c r="AF609" s="2847"/>
      <c r="AG609" s="2848"/>
      <c r="AH609" s="2848"/>
      <c r="AI609" s="2847"/>
      <c r="AJ609" s="2848"/>
      <c r="AK609" s="2848"/>
      <c r="AL609" s="2329"/>
      <c r="AM609" s="2164"/>
      <c r="AN609" s="2164"/>
      <c r="AO609" s="2164"/>
      <c r="AP609" s="2164"/>
      <c r="AQ609" s="2164"/>
      <c r="AR609" s="2164"/>
      <c r="AS609" s="2164"/>
      <c r="AT609" s="2164"/>
      <c r="AU609" s="2164"/>
      <c r="AV609" s="2164"/>
      <c r="AW609" s="2164"/>
      <c r="AX609" s="2164"/>
      <c r="AY609" s="2164"/>
      <c r="AZ609" s="2164"/>
      <c r="BA609" s="2164"/>
      <c r="BB609" s="2164"/>
      <c r="BC609" s="2164"/>
      <c r="BD609" s="2164"/>
      <c r="BE609" s="2164"/>
      <c r="BF609" s="2164"/>
      <c r="BG609" s="4573"/>
    </row>
    <row customHeight="1" ht="11.25">
      <c r="A610" s="1507" t="s">
        <v>990</v>
      </c>
      <c r="B610" s="1507" t="s">
        <v>1022</v>
      </c>
      <c r="C610" s="1507"/>
      <c r="D610" s="1501"/>
      <c r="E610" s="1511"/>
      <c r="F610" s="2170"/>
      <c r="G610" s="4557" t="s">
        <v>684</v>
      </c>
      <c r="H610" s="2856" t="s">
        <v>93</v>
      </c>
      <c r="I610" s="2857" t="s">
        <v>1023</v>
      </c>
      <c r="J610" s="2826" t="s">
        <v>1071</v>
      </c>
      <c r="K610" s="2858" t="s">
        <v>1103</v>
      </c>
      <c r="L610" s="2448" t="s">
        <v>19</v>
      </c>
      <c r="M610" s="2449"/>
      <c r="N610" s="2327"/>
      <c r="O610" s="1518" t="s">
        <v>371</v>
      </c>
      <c r="P610" s="1519"/>
      <c r="Q610" s="1519"/>
      <c r="R610" s="1519"/>
      <c r="S610" s="1519"/>
      <c r="T610" s="1519"/>
      <c r="U610" s="1519"/>
      <c r="V610" s="1519"/>
      <c r="W610" s="1519"/>
      <c r="X610" s="1519"/>
      <c r="Y610" s="1519"/>
      <c r="Z610" s="1519"/>
      <c r="AA610" s="1519"/>
      <c r="AB610" s="1519"/>
      <c r="AC610" s="1519"/>
      <c r="AD610" s="1519"/>
      <c r="AE610" s="1519"/>
      <c r="AF610" s="2847">
        <v>6</v>
      </c>
      <c r="AG610" s="2848" t="s">
        <v>1067</v>
      </c>
      <c r="AH610" s="2848" t="s">
        <v>1104</v>
      </c>
      <c r="AI610" s="2847"/>
      <c r="AJ610" s="2848"/>
      <c r="AK610" s="2848"/>
      <c r="AL610" s="2329"/>
      <c r="AM610" s="2164"/>
      <c r="AN610" s="2164"/>
      <c r="AO610" s="2164"/>
      <c r="AP610" s="2164"/>
      <c r="AQ610" s="2164"/>
      <c r="AR610" s="2164"/>
      <c r="AS610" s="2164"/>
      <c r="AT610" s="2164"/>
      <c r="AU610" s="2164"/>
      <c r="AV610" s="2164"/>
      <c r="AW610" s="2164"/>
      <c r="AX610" s="2164"/>
      <c r="AY610" s="2164"/>
      <c r="AZ610" s="2164"/>
      <c r="BA610" s="2164"/>
      <c r="BB610" s="2164"/>
      <c r="BC610" s="2164"/>
      <c r="BD610" s="2164"/>
      <c r="BE610" s="2164"/>
      <c r="BF610" s="2164"/>
      <c r="BG610" s="4573"/>
    </row>
    <row customHeight="1" ht="11.25">
      <c r="A611" s="1507" t="s">
        <v>990</v>
      </c>
      <c r="B611" s="1507"/>
      <c r="C611" s="1507"/>
      <c r="D611" s="1501"/>
      <c r="E611" s="1511"/>
      <c r="F611" s="2170"/>
      <c r="G611" s="2171"/>
      <c r="H611" s="2856" t="s">
        <v>92</v>
      </c>
      <c r="I611" s="2857"/>
      <c r="J611" s="2826"/>
      <c r="K611" s="2858"/>
      <c r="L611" s="2448"/>
      <c r="M611" s="2449"/>
      <c r="N611" s="2849"/>
      <c r="O611" s="2850">
        <v>1</v>
      </c>
      <c r="P611" s="2851" t="s">
        <v>65</v>
      </c>
      <c r="Q611" s="4672" t="s">
        <v>1105</v>
      </c>
      <c r="R611" s="4673" t="s">
        <v>1083</v>
      </c>
      <c r="S611" s="4673" t="s">
        <v>1030</v>
      </c>
      <c r="T611" s="4673" t="s">
        <v>1030</v>
      </c>
      <c r="U611" s="4673" t="s">
        <v>1031</v>
      </c>
      <c r="V611" s="4673" t="s">
        <v>1032</v>
      </c>
      <c r="W611" s="4673" t="s">
        <v>1033</v>
      </c>
      <c r="X611" s="4673" t="s">
        <v>1106</v>
      </c>
      <c r="Y611" s="4673" t="s">
        <v>1107</v>
      </c>
      <c r="Z611" s="1516"/>
      <c r="AA611" s="1517"/>
      <c r="AB611" s="1517"/>
      <c r="AC611" s="1521"/>
      <c r="AD611" s="1521"/>
      <c r="AE611" s="1522"/>
      <c r="AF611" s="2847"/>
      <c r="AG611" s="2848"/>
      <c r="AH611" s="2848"/>
      <c r="AI611" s="2847"/>
      <c r="AJ611" s="2848"/>
      <c r="AK611" s="2848"/>
      <c r="AL611" s="2329"/>
      <c r="AM611" s="2164"/>
      <c r="AN611" s="2164"/>
      <c r="AO611" s="2164"/>
      <c r="AP611" s="2164"/>
      <c r="AQ611" s="2164"/>
      <c r="AR611" s="2164"/>
      <c r="AS611" s="2164"/>
      <c r="AT611" s="2164"/>
      <c r="AU611" s="2164"/>
      <c r="AV611" s="2164"/>
      <c r="AW611" s="2164"/>
      <c r="AX611" s="2164"/>
      <c r="AY611" s="2164"/>
      <c r="AZ611" s="2164"/>
      <c r="BA611" s="2164"/>
      <c r="BB611" s="2164"/>
      <c r="BC611" s="2164"/>
      <c r="BD611" s="2164"/>
      <c r="BE611" s="2164"/>
      <c r="BF611" s="2164"/>
      <c r="BG611" s="4573"/>
    </row>
    <row customHeight="1" ht="11.25">
      <c r="A612" s="1507" t="s">
        <v>990</v>
      </c>
      <c r="B612" s="1507"/>
      <c r="C612" s="1507"/>
      <c r="D612" s="1501"/>
      <c r="E612" s="1511"/>
      <c r="F612" s="2170"/>
      <c r="G612" s="2171"/>
      <c r="H612" s="2856" t="s">
        <v>92</v>
      </c>
      <c r="I612" s="2857"/>
      <c r="J612" s="2826"/>
      <c r="K612" s="2858"/>
      <c r="L612" s="2448"/>
      <c r="M612" s="2449"/>
      <c r="N612" s="2849"/>
      <c r="O612" s="2850"/>
      <c r="P612" s="2852"/>
      <c r="Q612" s="4672"/>
      <c r="R612" s="2854"/>
      <c r="S612" s="2855"/>
      <c r="T612" s="2854"/>
      <c r="U612" s="2854"/>
      <c r="V612" s="2854"/>
      <c r="W612" s="2854"/>
      <c r="X612" s="2854"/>
      <c r="Y612" s="2854"/>
      <c r="Z612" s="2169"/>
      <c r="AA612" s="2135">
        <v>1</v>
      </c>
      <c r="AB612" s="1520" t="s">
        <v>1035</v>
      </c>
      <c r="AC612" s="1510">
        <v>395950.21858</v>
      </c>
      <c r="AD612" s="1520" t="str">
        <f>AB612</f>
        <v>      Амортизационные отчисления с выделением результатов переоценки основных средств и нематериальных активов</v>
      </c>
      <c r="AE612" s="1510"/>
      <c r="AF612" s="2847"/>
      <c r="AG612" s="2848"/>
      <c r="AH612" s="2848"/>
      <c r="AI612" s="2847"/>
      <c r="AJ612" s="2848"/>
      <c r="AK612" s="2848"/>
      <c r="AL612" s="2329"/>
      <c r="AM612" s="2164"/>
      <c r="AN612" s="2164"/>
      <c r="AO612" s="2164"/>
      <c r="AP612" s="2164"/>
      <c r="AQ612" s="2164"/>
      <c r="AR612" s="2164"/>
      <c r="AS612" s="2164"/>
      <c r="AT612" s="2164"/>
      <c r="AU612" s="2164"/>
      <c r="AV612" s="2164"/>
      <c r="AW612" s="2164"/>
      <c r="AX612" s="2164"/>
      <c r="AY612" s="2164"/>
      <c r="AZ612" s="2164"/>
      <c r="BA612" s="2164"/>
      <c r="BB612" s="2164"/>
      <c r="BC612" s="2164"/>
      <c r="BD612" s="2164"/>
      <c r="BE612" s="2164"/>
      <c r="BF612" s="2164"/>
      <c r="BG612" s="4573"/>
    </row>
    <row customHeight="1" ht="11.25">
      <c r="A613" s="1507" t="s">
        <v>990</v>
      </c>
      <c r="B613" s="1507"/>
      <c r="C613" s="1507"/>
      <c r="D613" s="1501"/>
      <c r="E613" s="1511"/>
      <c r="F613" s="2171"/>
      <c r="G613" s="2171"/>
      <c r="H613" s="2171"/>
      <c r="I613" s="2171"/>
      <c r="J613" s="2171"/>
      <c r="K613" s="2171"/>
      <c r="L613" s="2171"/>
      <c r="M613" s="2171"/>
      <c r="N613" s="2171"/>
      <c r="O613" s="2171"/>
      <c r="P613" s="2171"/>
      <c r="Q613" s="2171"/>
      <c r="R613" s="2171"/>
      <c r="S613" s="2171"/>
      <c r="T613" s="2171"/>
      <c r="U613" s="2171"/>
      <c r="V613" s="2171"/>
      <c r="W613" s="2171"/>
      <c r="X613" s="2171"/>
      <c r="Y613" s="2171"/>
      <c r="Z613" s="4557" t="s">
        <v>684</v>
      </c>
      <c r="AA613" s="2155" t="s">
        <v>107</v>
      </c>
      <c r="AB613" s="1520" t="s">
        <v>1036</v>
      </c>
      <c r="AC613" s="1510">
        <v>77336.59925</v>
      </c>
      <c r="AD613" s="1520" t="str">
        <f>AB613</f>
        <v>  Прочие собственные средства</v>
      </c>
      <c r="AE613" s="1510"/>
      <c r="AF613" s="2172"/>
      <c r="AG613" s="2100"/>
      <c r="AH613" s="2100"/>
      <c r="AI613" s="2172"/>
      <c r="AJ613" s="2100"/>
      <c r="AK613" s="2328"/>
      <c r="AL613" s="2329"/>
      <c r="AM613" s="2164"/>
      <c r="AN613" s="2164"/>
      <c r="AO613" s="2164"/>
      <c r="AP613" s="2164"/>
      <c r="AQ613" s="2164"/>
      <c r="AR613" s="2164"/>
      <c r="AS613" s="2164"/>
      <c r="AT613" s="2164"/>
      <c r="AU613" s="2164"/>
      <c r="AV613" s="2164"/>
      <c r="AW613" s="2164"/>
      <c r="AX613" s="2164"/>
      <c r="AY613" s="2164"/>
      <c r="AZ613" s="2164"/>
      <c r="BA613" s="2164"/>
      <c r="BB613" s="2164"/>
      <c r="BC613" s="2164"/>
      <c r="BD613" s="2164"/>
      <c r="BE613" s="2164"/>
      <c r="BF613" s="2164"/>
      <c r="BG613" s="4573"/>
    </row>
    <row customHeight="1" ht="11.25">
      <c r="A614" s="1507" t="s">
        <v>990</v>
      </c>
      <c r="B614" s="1507"/>
      <c r="C614" s="1507"/>
      <c r="D614" s="1501"/>
      <c r="E614" s="1511"/>
      <c r="F614" s="2170"/>
      <c r="G614" s="2171"/>
      <c r="H614" s="2856" t="s">
        <v>92</v>
      </c>
      <c r="I614" s="2857"/>
      <c r="J614" s="2826"/>
      <c r="K614" s="2858"/>
      <c r="L614" s="2448"/>
      <c r="M614" s="2449"/>
      <c r="N614" s="2849"/>
      <c r="O614" s="2850"/>
      <c r="P614" s="2853"/>
      <c r="Q614" s="4672"/>
      <c r="R614" s="2854"/>
      <c r="S614" s="2855"/>
      <c r="T614" s="2854"/>
      <c r="U614" s="2854"/>
      <c r="V614" s="2854"/>
      <c r="W614" s="2854"/>
      <c r="X614" s="2854"/>
      <c r="Y614" s="2854"/>
      <c r="Z614" s="1516"/>
      <c r="AA614" s="1517"/>
      <c r="AB614" s="1582" t="s">
        <v>1037</v>
      </c>
      <c r="AC614" s="1521"/>
      <c r="AD614" s="1521"/>
      <c r="AE614" s="1523"/>
      <c r="AF614" s="2847"/>
      <c r="AG614" s="2848"/>
      <c r="AH614" s="2848"/>
      <c r="AI614" s="2847"/>
      <c r="AJ614" s="2848"/>
      <c r="AK614" s="2848"/>
      <c r="AL614" s="2329"/>
      <c r="AM614" s="2164"/>
      <c r="AN614" s="2164"/>
      <c r="AO614" s="2164"/>
      <c r="AP614" s="2164"/>
      <c r="AQ614" s="2164"/>
      <c r="AR614" s="2164"/>
      <c r="AS614" s="2164"/>
      <c r="AT614" s="2164"/>
      <c r="AU614" s="2164"/>
      <c r="AV614" s="2164"/>
      <c r="AW614" s="2164"/>
      <c r="AX614" s="2164"/>
      <c r="AY614" s="2164"/>
      <c r="AZ614" s="2164"/>
      <c r="BA614" s="2164"/>
      <c r="BB614" s="2164"/>
      <c r="BC614" s="2164"/>
      <c r="BD614" s="2164"/>
      <c r="BE614" s="2164"/>
      <c r="BF614" s="2164"/>
      <c r="BG614" s="4573"/>
    </row>
    <row customHeight="1" ht="11.25">
      <c r="A615" s="1507" t="s">
        <v>990</v>
      </c>
      <c r="B615" s="1507"/>
      <c r="C615" s="1507"/>
      <c r="D615" s="1501"/>
      <c r="E615" s="1511"/>
      <c r="F615" s="2170"/>
      <c r="G615" s="2171"/>
      <c r="H615" s="2856" t="s">
        <v>92</v>
      </c>
      <c r="I615" s="2857"/>
      <c r="J615" s="2826"/>
      <c r="K615" s="2858"/>
      <c r="L615" s="2448"/>
      <c r="M615" s="2449"/>
      <c r="N615" s="1516"/>
      <c r="O615" s="1517"/>
      <c r="P615" s="1509" t="s">
        <v>1038</v>
      </c>
      <c r="Q615" s="1517"/>
      <c r="R615" s="1517"/>
      <c r="S615" s="1517"/>
      <c r="T615" s="1517"/>
      <c r="U615" s="1517"/>
      <c r="V615" s="1517"/>
      <c r="W615" s="1517"/>
      <c r="X615" s="1517"/>
      <c r="Y615" s="1517"/>
      <c r="Z615" s="1517"/>
      <c r="AA615" s="1517"/>
      <c r="AB615" s="1517"/>
      <c r="AC615" s="1517"/>
      <c r="AD615" s="1517"/>
      <c r="AE615" s="1524"/>
      <c r="AF615" s="2847"/>
      <c r="AG615" s="2848"/>
      <c r="AH615" s="2848"/>
      <c r="AI615" s="2847"/>
      <c r="AJ615" s="2848"/>
      <c r="AK615" s="2848"/>
      <c r="AL615" s="2329"/>
      <c r="AM615" s="2164"/>
      <c r="AN615" s="2164"/>
      <c r="AO615" s="2164"/>
      <c r="AP615" s="2164"/>
      <c r="AQ615" s="2164"/>
      <c r="AR615" s="2164"/>
      <c r="AS615" s="2164"/>
      <c r="AT615" s="2164"/>
      <c r="AU615" s="2164"/>
      <c r="AV615" s="2164"/>
      <c r="AW615" s="2164"/>
      <c r="AX615" s="2164"/>
      <c r="AY615" s="2164"/>
      <c r="AZ615" s="2164"/>
      <c r="BA615" s="2164"/>
      <c r="BB615" s="2164"/>
      <c r="BC615" s="2164"/>
      <c r="BD615" s="2164"/>
      <c r="BE615" s="2164"/>
      <c r="BF615" s="2164"/>
      <c r="BG615" s="4573"/>
    </row>
    <row customHeight="1" ht="11.25">
      <c r="A616" s="1507" t="s">
        <v>990</v>
      </c>
      <c r="B616" s="1507" t="s">
        <v>22</v>
      </c>
      <c r="C616" s="1507"/>
      <c r="D616" s="1501"/>
      <c r="E616" s="1511"/>
      <c r="F616" s="2170"/>
      <c r="G616" s="4557" t="s">
        <v>684</v>
      </c>
      <c r="H616" s="2856" t="s">
        <v>109</v>
      </c>
      <c r="I616" s="2857" t="s">
        <v>1039</v>
      </c>
      <c r="J616" s="4694" t="s">
        <v>22</v>
      </c>
      <c r="K616" s="2858" t="s">
        <v>1109</v>
      </c>
      <c r="L616" s="2448" t="s">
        <v>19</v>
      </c>
      <c r="M616" s="2449"/>
      <c r="N616" s="2327"/>
      <c r="O616" s="1518" t="s">
        <v>371</v>
      </c>
      <c r="P616" s="1519"/>
      <c r="Q616" s="1519"/>
      <c r="R616" s="1519"/>
      <c r="S616" s="1519"/>
      <c r="T616" s="1519"/>
      <c r="U616" s="1519"/>
      <c r="V616" s="1519"/>
      <c r="W616" s="1519"/>
      <c r="X616" s="1519"/>
      <c r="Y616" s="1519"/>
      <c r="Z616" s="1519"/>
      <c r="AA616" s="1519"/>
      <c r="AB616" s="1519"/>
      <c r="AC616" s="1519"/>
      <c r="AD616" s="1519"/>
      <c r="AE616" s="1519"/>
      <c r="AF616" s="2847">
        <v>1</v>
      </c>
      <c r="AG616" s="2848" t="s">
        <v>1026</v>
      </c>
      <c r="AH616" s="2848" t="s">
        <v>1027</v>
      </c>
      <c r="AI616" s="2847"/>
      <c r="AJ616" s="2848"/>
      <c r="AK616" s="2848"/>
      <c r="AL616" s="2329"/>
      <c r="AM616" s="2164"/>
      <c r="AN616" s="2164"/>
      <c r="AO616" s="2164"/>
      <c r="AP616" s="2164"/>
      <c r="AQ616" s="2164"/>
      <c r="AR616" s="2164"/>
      <c r="AS616" s="2164"/>
      <c r="AT616" s="2164"/>
      <c r="AU616" s="2164"/>
      <c r="AV616" s="2164"/>
      <c r="AW616" s="2164"/>
      <c r="AX616" s="2164"/>
      <c r="AY616" s="2164"/>
      <c r="AZ616" s="2164"/>
      <c r="BA616" s="2164"/>
      <c r="BB616" s="2164"/>
      <c r="BC616" s="2164"/>
      <c r="BD616" s="2164"/>
      <c r="BE616" s="2164"/>
      <c r="BF616" s="2164"/>
      <c r="BG616" s="4573"/>
    </row>
    <row customHeight="1" ht="11.25">
      <c r="A617" s="1507" t="s">
        <v>990</v>
      </c>
      <c r="B617" s="1507"/>
      <c r="C617" s="1507"/>
      <c r="D617" s="1501"/>
      <c r="E617" s="1511"/>
      <c r="F617" s="2170"/>
      <c r="G617" s="2171"/>
      <c r="H617" s="2856" t="s">
        <v>93</v>
      </c>
      <c r="I617" s="2857"/>
      <c r="J617" s="4694"/>
      <c r="K617" s="2858"/>
      <c r="L617" s="2448"/>
      <c r="M617" s="2449"/>
      <c r="N617" s="2849"/>
      <c r="O617" s="2850">
        <v>1</v>
      </c>
      <c r="P617" s="2851" t="s">
        <v>19</v>
      </c>
      <c r="Q617" s="7507" t="s">
        <v>22</v>
      </c>
      <c r="R617" s="7508" t="s">
        <v>22</v>
      </c>
      <c r="S617" s="7508" t="s">
        <v>22</v>
      </c>
      <c r="T617" s="7508" t="s">
        <v>22</v>
      </c>
      <c r="U617" s="7508" t="s">
        <v>22</v>
      </c>
      <c r="V617" s="7508" t="s">
        <v>22</v>
      </c>
      <c r="W617" s="7508" t="s">
        <v>22</v>
      </c>
      <c r="X617" s="7508" t="s">
        <v>22</v>
      </c>
      <c r="Y617" s="7508" t="s">
        <v>22</v>
      </c>
      <c r="Z617" s="1516"/>
      <c r="AA617" s="1517"/>
      <c r="AB617" s="1517"/>
      <c r="AC617" s="1521"/>
      <c r="AD617" s="1521"/>
      <c r="AE617" s="1522"/>
      <c r="AF617" s="2847"/>
      <c r="AG617" s="2848"/>
      <c r="AH617" s="2848"/>
      <c r="AI617" s="2847"/>
      <c r="AJ617" s="2848"/>
      <c r="AK617" s="2848"/>
      <c r="AL617" s="2329"/>
      <c r="AM617" s="2164"/>
      <c r="AN617" s="2164"/>
      <c r="AO617" s="2164"/>
      <c r="AP617" s="2164"/>
      <c r="AQ617" s="2164"/>
      <c r="AR617" s="2164"/>
      <c r="AS617" s="2164"/>
      <c r="AT617" s="2164"/>
      <c r="AU617" s="2164"/>
      <c r="AV617" s="2164"/>
      <c r="AW617" s="2164"/>
      <c r="AX617" s="2164"/>
      <c r="AY617" s="2164"/>
      <c r="AZ617" s="2164"/>
      <c r="BA617" s="2164"/>
      <c r="BB617" s="2164"/>
      <c r="BC617" s="2164"/>
      <c r="BD617" s="2164"/>
      <c r="BE617" s="2164"/>
      <c r="BF617" s="2164"/>
      <c r="BG617" s="4573"/>
    </row>
    <row customHeight="1" ht="11.25">
      <c r="A618" s="1507" t="s">
        <v>990</v>
      </c>
      <c r="B618" s="1507"/>
      <c r="C618" s="1507"/>
      <c r="D618" s="1501"/>
      <c r="E618" s="1511"/>
      <c r="F618" s="2170"/>
      <c r="G618" s="2171"/>
      <c r="H618" s="2856" t="s">
        <v>93</v>
      </c>
      <c r="I618" s="2857"/>
      <c r="J618" s="4694"/>
      <c r="K618" s="2858"/>
      <c r="L618" s="2448"/>
      <c r="M618" s="2449"/>
      <c r="N618" s="2849"/>
      <c r="O618" s="2850"/>
      <c r="P618" s="2852"/>
      <c r="Q618" s="4672"/>
      <c r="R618" s="2854"/>
      <c r="S618" s="2855"/>
      <c r="T618" s="2854"/>
      <c r="U618" s="2854"/>
      <c r="V618" s="2854"/>
      <c r="W618" s="2854"/>
      <c r="X618" s="2854"/>
      <c r="Y618" s="2854"/>
      <c r="Z618" s="2169"/>
      <c r="AA618" s="2135">
        <v>1</v>
      </c>
      <c r="AB618" s="1520" t="s">
        <v>1035</v>
      </c>
      <c r="AC618" s="1510">
        <v>6959.91642</v>
      </c>
      <c r="AD618" s="1520" t="str">
        <f>AB618</f>
        <v>      Амортизационные отчисления с выделением результатов переоценки основных средств и нематериальных активов</v>
      </c>
      <c r="AE618" s="1510"/>
      <c r="AF618" s="2847"/>
      <c r="AG618" s="2848"/>
      <c r="AH618" s="2848"/>
      <c r="AI618" s="2847"/>
      <c r="AJ618" s="2848"/>
      <c r="AK618" s="2848"/>
      <c r="AL618" s="2329"/>
      <c r="AM618" s="2164"/>
      <c r="AN618" s="2164"/>
      <c r="AO618" s="2164"/>
      <c r="AP618" s="2164"/>
      <c r="AQ618" s="2164"/>
      <c r="AR618" s="2164"/>
      <c r="AS618" s="2164"/>
      <c r="AT618" s="2164"/>
      <c r="AU618" s="2164"/>
      <c r="AV618" s="2164"/>
      <c r="AW618" s="2164"/>
      <c r="AX618" s="2164"/>
      <c r="AY618" s="2164"/>
      <c r="AZ618" s="2164"/>
      <c r="BA618" s="2164"/>
      <c r="BB618" s="2164"/>
      <c r="BC618" s="2164"/>
      <c r="BD618" s="2164"/>
      <c r="BE618" s="2164"/>
      <c r="BF618" s="2164"/>
      <c r="BG618" s="4573"/>
    </row>
    <row customHeight="1" ht="11.25">
      <c r="A619" s="1507" t="s">
        <v>990</v>
      </c>
      <c r="B619" s="1507"/>
      <c r="C619" s="1507"/>
      <c r="D619" s="1501"/>
      <c r="E619" s="1511"/>
      <c r="F619" s="2171"/>
      <c r="G619" s="2171"/>
      <c r="H619" s="2171"/>
      <c r="I619" s="2171"/>
      <c r="J619" s="2171"/>
      <c r="K619" s="2171"/>
      <c r="L619" s="2171"/>
      <c r="M619" s="2171"/>
      <c r="N619" s="2171"/>
      <c r="O619" s="2171"/>
      <c r="P619" s="2171"/>
      <c r="Q619" s="2171"/>
      <c r="R619" s="2171"/>
      <c r="S619" s="2171"/>
      <c r="T619" s="2171"/>
      <c r="U619" s="2171"/>
      <c r="V619" s="2171"/>
      <c r="W619" s="2171"/>
      <c r="X619" s="2171"/>
      <c r="Y619" s="2171"/>
      <c r="Z619" s="4557" t="s">
        <v>684</v>
      </c>
      <c r="AA619" s="2155" t="s">
        <v>107</v>
      </c>
      <c r="AB619" s="1520" t="s">
        <v>1036</v>
      </c>
      <c r="AC619" s="1510">
        <v>42881.69465</v>
      </c>
      <c r="AD619" s="1520" t="str">
        <f>AB619</f>
        <v>  Прочие собственные средства</v>
      </c>
      <c r="AE619" s="1510"/>
      <c r="AF619" s="2172"/>
      <c r="AG619" s="2100"/>
      <c r="AH619" s="2100"/>
      <c r="AI619" s="2172"/>
      <c r="AJ619" s="2100"/>
      <c r="AK619" s="2328"/>
      <c r="AL619" s="2329"/>
      <c r="AM619" s="2164"/>
      <c r="AN619" s="2164"/>
      <c r="AO619" s="2164"/>
      <c r="AP619" s="2164"/>
      <c r="AQ619" s="2164"/>
      <c r="AR619" s="2164"/>
      <c r="AS619" s="2164"/>
      <c r="AT619" s="2164"/>
      <c r="AU619" s="2164"/>
      <c r="AV619" s="2164"/>
      <c r="AW619" s="2164"/>
      <c r="AX619" s="2164"/>
      <c r="AY619" s="2164"/>
      <c r="AZ619" s="2164"/>
      <c r="BA619" s="2164"/>
      <c r="BB619" s="2164"/>
      <c r="BC619" s="2164"/>
      <c r="BD619" s="2164"/>
      <c r="BE619" s="2164"/>
      <c r="BF619" s="2164"/>
      <c r="BG619" s="4573"/>
    </row>
    <row customHeight="1" ht="11.25">
      <c r="A620" s="1507" t="s">
        <v>990</v>
      </c>
      <c r="B620" s="1507"/>
      <c r="C620" s="1507"/>
      <c r="D620" s="1501"/>
      <c r="E620" s="1511"/>
      <c r="F620" s="2170"/>
      <c r="G620" s="2171"/>
      <c r="H620" s="2856" t="s">
        <v>93</v>
      </c>
      <c r="I620" s="2857"/>
      <c r="J620" s="4694"/>
      <c r="K620" s="2858"/>
      <c r="L620" s="2448"/>
      <c r="M620" s="2449"/>
      <c r="N620" s="2849"/>
      <c r="O620" s="2850"/>
      <c r="P620" s="2853"/>
      <c r="Q620" s="4672"/>
      <c r="R620" s="2854"/>
      <c r="S620" s="2855"/>
      <c r="T620" s="2854"/>
      <c r="U620" s="2854"/>
      <c r="V620" s="2854"/>
      <c r="W620" s="2854"/>
      <c r="X620" s="2854"/>
      <c r="Y620" s="2854"/>
      <c r="Z620" s="1516"/>
      <c r="AA620" s="1517"/>
      <c r="AB620" s="1582" t="s">
        <v>1037</v>
      </c>
      <c r="AC620" s="1521"/>
      <c r="AD620" s="1521"/>
      <c r="AE620" s="1523"/>
      <c r="AF620" s="2847"/>
      <c r="AG620" s="2848"/>
      <c r="AH620" s="2848"/>
      <c r="AI620" s="2847"/>
      <c r="AJ620" s="2848"/>
      <c r="AK620" s="2848"/>
      <c r="AL620" s="2329"/>
      <c r="AM620" s="2164"/>
      <c r="AN620" s="2164"/>
      <c r="AO620" s="2164"/>
      <c r="AP620" s="2164"/>
      <c r="AQ620" s="2164"/>
      <c r="AR620" s="2164"/>
      <c r="AS620" s="2164"/>
      <c r="AT620" s="2164"/>
      <c r="AU620" s="2164"/>
      <c r="AV620" s="2164"/>
      <c r="AW620" s="2164"/>
      <c r="AX620" s="2164"/>
      <c r="AY620" s="2164"/>
      <c r="AZ620" s="2164"/>
      <c r="BA620" s="2164"/>
      <c r="BB620" s="2164"/>
      <c r="BC620" s="2164"/>
      <c r="BD620" s="2164"/>
      <c r="BE620" s="2164"/>
      <c r="BF620" s="2164"/>
      <c r="BG620" s="4573"/>
    </row>
    <row customHeight="1" ht="11.25">
      <c r="A621" s="1507" t="s">
        <v>990</v>
      </c>
      <c r="B621" s="1507"/>
      <c r="C621" s="1507"/>
      <c r="D621" s="1501"/>
      <c r="E621" s="1511"/>
      <c r="F621" s="2170"/>
      <c r="G621" s="2171"/>
      <c r="H621" s="2856" t="s">
        <v>93</v>
      </c>
      <c r="I621" s="2857"/>
      <c r="J621" s="4694"/>
      <c r="K621" s="2858"/>
      <c r="L621" s="2448"/>
      <c r="M621" s="2449"/>
      <c r="N621" s="1516"/>
      <c r="O621" s="1517"/>
      <c r="P621" s="1509" t="s">
        <v>1038</v>
      </c>
      <c r="Q621" s="1517"/>
      <c r="R621" s="1517"/>
      <c r="S621" s="1517"/>
      <c r="T621" s="1517"/>
      <c r="U621" s="1517"/>
      <c r="V621" s="1517"/>
      <c r="W621" s="1517"/>
      <c r="X621" s="1517"/>
      <c r="Y621" s="1517"/>
      <c r="Z621" s="1517"/>
      <c r="AA621" s="1517"/>
      <c r="AB621" s="1517"/>
      <c r="AC621" s="1517"/>
      <c r="AD621" s="1517"/>
      <c r="AE621" s="1524"/>
      <c r="AF621" s="2847"/>
      <c r="AG621" s="2848"/>
      <c r="AH621" s="2848"/>
      <c r="AI621" s="2847"/>
      <c r="AJ621" s="2848"/>
      <c r="AK621" s="2848"/>
      <c r="AL621" s="2329"/>
      <c r="AM621" s="2164"/>
      <c r="AN621" s="2164"/>
      <c r="AO621" s="2164"/>
      <c r="AP621" s="2164"/>
      <c r="AQ621" s="2164"/>
      <c r="AR621" s="2164"/>
      <c r="AS621" s="2164"/>
      <c r="AT621" s="2164"/>
      <c r="AU621" s="2164"/>
      <c r="AV621" s="2164"/>
      <c r="AW621" s="2164"/>
      <c r="AX621" s="2164"/>
      <c r="AY621" s="2164"/>
      <c r="AZ621" s="2164"/>
      <c r="BA621" s="2164"/>
      <c r="BB621" s="2164"/>
      <c r="BC621" s="2164"/>
      <c r="BD621" s="2164"/>
      <c r="BE621" s="2164"/>
      <c r="BF621" s="2164"/>
      <c r="BG621" s="4573"/>
    </row>
    <row customHeight="1" ht="11.25">
      <c r="A622" s="1507" t="s">
        <v>990</v>
      </c>
      <c r="B622" s="1507" t="s">
        <v>22</v>
      </c>
      <c r="C622" s="1507"/>
      <c r="D622" s="1501"/>
      <c r="E622" s="1511"/>
      <c r="F622" s="2170"/>
      <c r="G622" s="7510" t="s">
        <v>684</v>
      </c>
      <c r="H622" s="2856" t="s">
        <v>145</v>
      </c>
      <c r="I622" s="2857" t="s">
        <v>1119</v>
      </c>
      <c r="J622" s="7514" t="s">
        <v>22</v>
      </c>
      <c r="K622" s="2858" t="s">
        <v>1120</v>
      </c>
      <c r="L622" s="2448" t="s">
        <v>19</v>
      </c>
      <c r="M622" s="2449"/>
      <c r="N622" s="2327"/>
      <c r="O622" s="1518" t="s">
        <v>371</v>
      </c>
      <c r="P622" s="1519"/>
      <c r="Q622" s="1519"/>
      <c r="R622" s="1519"/>
      <c r="S622" s="1519"/>
      <c r="T622" s="1519"/>
      <c r="U622" s="1519"/>
      <c r="V622" s="1519"/>
      <c r="W622" s="1519"/>
      <c r="X622" s="1519"/>
      <c r="Y622" s="1519"/>
      <c r="Z622" s="1519"/>
      <c r="AA622" s="1519"/>
      <c r="AB622" s="1519"/>
      <c r="AC622" s="1519"/>
      <c r="AD622" s="1519"/>
      <c r="AE622" s="1519"/>
      <c r="AF622" s="2847">
        <v>6</v>
      </c>
      <c r="AG622" s="2848" t="s">
        <v>1026</v>
      </c>
      <c r="AH622" s="2848" t="s">
        <v>1104</v>
      </c>
      <c r="AI622" s="2847"/>
      <c r="AJ622" s="2848"/>
      <c r="AK622" s="2848"/>
      <c r="AL622" s="2329"/>
      <c r="AM622" s="2164"/>
      <c r="AN622" s="2164"/>
      <c r="AO622" s="2164"/>
      <c r="AP622" s="2164"/>
      <c r="AQ622" s="2164"/>
      <c r="AR622" s="2164"/>
      <c r="AS622" s="2164"/>
      <c r="AT622" s="2164"/>
      <c r="AU622" s="2164"/>
      <c r="AV622" s="2164"/>
      <c r="AW622" s="2164"/>
      <c r="AX622" s="2164"/>
      <c r="AY622" s="2164"/>
      <c r="AZ622" s="2164"/>
      <c r="BA622" s="2164"/>
      <c r="BB622" s="2164"/>
      <c r="BC622" s="2164"/>
      <c r="BD622" s="2164"/>
      <c r="BE622" s="2164"/>
      <c r="BF622" s="2164"/>
      <c r="BG622" s="7511"/>
    </row>
    <row customHeight="1" ht="11.25">
      <c r="A623" s="1507" t="s">
        <v>990</v>
      </c>
      <c r="B623" s="1507"/>
      <c r="C623" s="1507"/>
      <c r="D623" s="1501"/>
      <c r="E623" s="1511"/>
      <c r="F623" s="2170"/>
      <c r="G623" s="2171"/>
      <c r="H623" s="2856" t="s">
        <v>109</v>
      </c>
      <c r="I623" s="2857"/>
      <c r="J623" s="7514"/>
      <c r="K623" s="2858"/>
      <c r="L623" s="2448"/>
      <c r="M623" s="2449"/>
      <c r="N623" s="2849"/>
      <c r="O623" s="2850">
        <v>1</v>
      </c>
      <c r="P623" s="2851" t="s">
        <v>65</v>
      </c>
      <c r="Q623" s="7512" t="s">
        <v>1105</v>
      </c>
      <c r="R623" s="7513" t="s">
        <v>1083</v>
      </c>
      <c r="S623" s="7513" t="s">
        <v>1030</v>
      </c>
      <c r="T623" s="7513" t="s">
        <v>1030</v>
      </c>
      <c r="U623" s="7513" t="s">
        <v>1031</v>
      </c>
      <c r="V623" s="7513" t="s">
        <v>1032</v>
      </c>
      <c r="W623" s="7513" t="s">
        <v>1033</v>
      </c>
      <c r="X623" s="7513" t="s">
        <v>1106</v>
      </c>
      <c r="Y623" s="7513" t="s">
        <v>1107</v>
      </c>
      <c r="Z623" s="1516"/>
      <c r="AA623" s="1517"/>
      <c r="AB623" s="1517"/>
      <c r="AC623" s="1521"/>
      <c r="AD623" s="1521"/>
      <c r="AE623" s="1522"/>
      <c r="AF623" s="2847"/>
      <c r="AG623" s="2848"/>
      <c r="AH623" s="2848"/>
      <c r="AI623" s="2847"/>
      <c r="AJ623" s="2848"/>
      <c r="AK623" s="2848"/>
      <c r="AL623" s="2329"/>
      <c r="AM623" s="2164"/>
      <c r="AN623" s="2164"/>
      <c r="AO623" s="2164"/>
      <c r="AP623" s="2164"/>
      <c r="AQ623" s="2164"/>
      <c r="AR623" s="2164"/>
      <c r="AS623" s="2164"/>
      <c r="AT623" s="2164"/>
      <c r="AU623" s="2164"/>
      <c r="AV623" s="2164"/>
      <c r="AW623" s="2164"/>
      <c r="AX623" s="2164"/>
      <c r="AY623" s="2164"/>
      <c r="AZ623" s="2164"/>
      <c r="BA623" s="2164"/>
      <c r="BB623" s="2164"/>
      <c r="BC623" s="2164"/>
      <c r="BD623" s="2164"/>
      <c r="BE623" s="2164"/>
      <c r="BF623" s="2164"/>
      <c r="BG623" s="7511"/>
    </row>
    <row customHeight="1" ht="11.25">
      <c r="A624" s="1507" t="s">
        <v>990</v>
      </c>
      <c r="B624" s="1507"/>
      <c r="C624" s="1507"/>
      <c r="D624" s="1501"/>
      <c r="E624" s="1511"/>
      <c r="F624" s="2170"/>
      <c r="G624" s="2171"/>
      <c r="H624" s="2856" t="s">
        <v>109</v>
      </c>
      <c r="I624" s="2857"/>
      <c r="J624" s="7514"/>
      <c r="K624" s="2858"/>
      <c r="L624" s="2448"/>
      <c r="M624" s="2449"/>
      <c r="N624" s="2849"/>
      <c r="O624" s="2850"/>
      <c r="P624" s="2852"/>
      <c r="Q624" s="7512"/>
      <c r="R624" s="2854"/>
      <c r="S624" s="2855"/>
      <c r="T624" s="2854"/>
      <c r="U624" s="2854"/>
      <c r="V624" s="2854"/>
      <c r="W624" s="2854"/>
      <c r="X624" s="2854"/>
      <c r="Y624" s="2854"/>
      <c r="Z624" s="2169"/>
      <c r="AA624" s="2135">
        <v>1</v>
      </c>
      <c r="AB624" s="1520" t="s">
        <v>1035</v>
      </c>
      <c r="AC624" s="1510">
        <v>28000</v>
      </c>
      <c r="AD624" s="1520" t="str">
        <f>AB624</f>
        <v>      Амортизационные отчисления с выделением результатов переоценки основных средств и нематериальных активов</v>
      </c>
      <c r="AE624" s="1510"/>
      <c r="AF624" s="2847"/>
      <c r="AG624" s="2848"/>
      <c r="AH624" s="2848"/>
      <c r="AI624" s="2847"/>
      <c r="AJ624" s="2848"/>
      <c r="AK624" s="2848"/>
      <c r="AL624" s="2329"/>
      <c r="AM624" s="2164"/>
      <c r="AN624" s="2164"/>
      <c r="AO624" s="2164"/>
      <c r="AP624" s="2164"/>
      <c r="AQ624" s="2164"/>
      <c r="AR624" s="2164"/>
      <c r="AS624" s="2164"/>
      <c r="AT624" s="2164"/>
      <c r="AU624" s="2164"/>
      <c r="AV624" s="2164"/>
      <c r="AW624" s="2164"/>
      <c r="AX624" s="2164"/>
      <c r="AY624" s="2164"/>
      <c r="AZ624" s="2164"/>
      <c r="BA624" s="2164"/>
      <c r="BB624" s="2164"/>
      <c r="BC624" s="2164"/>
      <c r="BD624" s="2164"/>
      <c r="BE624" s="2164"/>
      <c r="BF624" s="2164"/>
      <c r="BG624" s="7511"/>
    </row>
    <row customHeight="1" ht="11.25">
      <c r="A625" s="1507" t="s">
        <v>990</v>
      </c>
      <c r="B625" s="1507"/>
      <c r="C625" s="1507"/>
      <c r="D625" s="1501"/>
      <c r="E625" s="1511"/>
      <c r="F625" s="2171"/>
      <c r="G625" s="2171"/>
      <c r="H625" s="2171"/>
      <c r="I625" s="2171"/>
      <c r="J625" s="2171"/>
      <c r="K625" s="2171"/>
      <c r="L625" s="2171"/>
      <c r="M625" s="2171"/>
      <c r="N625" s="2171"/>
      <c r="O625" s="2171"/>
      <c r="P625" s="2171"/>
      <c r="Q625" s="2171"/>
      <c r="R625" s="2171"/>
      <c r="S625" s="2171"/>
      <c r="T625" s="2171"/>
      <c r="U625" s="2171"/>
      <c r="V625" s="2171"/>
      <c r="W625" s="2171"/>
      <c r="X625" s="2171"/>
      <c r="Y625" s="2171"/>
      <c r="Z625" s="7510" t="s">
        <v>684</v>
      </c>
      <c r="AA625" s="2155" t="s">
        <v>107</v>
      </c>
      <c r="AB625" s="1520" t="s">
        <v>1036</v>
      </c>
      <c r="AC625" s="1510">
        <v>5600</v>
      </c>
      <c r="AD625" s="1520" t="str">
        <f>AB625</f>
        <v>  Прочие собственные средства</v>
      </c>
      <c r="AE625" s="1510"/>
      <c r="AF625" s="2172"/>
      <c r="AG625" s="2100"/>
      <c r="AH625" s="2100"/>
      <c r="AI625" s="2172"/>
      <c r="AJ625" s="2100"/>
      <c r="AK625" s="2328"/>
      <c r="AL625" s="2329"/>
      <c r="AM625" s="2164"/>
      <c r="AN625" s="2164"/>
      <c r="AO625" s="2164"/>
      <c r="AP625" s="2164"/>
      <c r="AQ625" s="2164"/>
      <c r="AR625" s="2164"/>
      <c r="AS625" s="2164"/>
      <c r="AT625" s="2164"/>
      <c r="AU625" s="2164"/>
      <c r="AV625" s="2164"/>
      <c r="AW625" s="2164"/>
      <c r="AX625" s="2164"/>
      <c r="AY625" s="2164"/>
      <c r="AZ625" s="2164"/>
      <c r="BA625" s="2164"/>
      <c r="BB625" s="2164"/>
      <c r="BC625" s="2164"/>
      <c r="BD625" s="2164"/>
      <c r="BE625" s="2164"/>
      <c r="BF625" s="2164"/>
      <c r="BG625" s="7511"/>
    </row>
    <row customHeight="1" ht="11.25">
      <c r="A626" s="1507" t="s">
        <v>990</v>
      </c>
      <c r="B626" s="1507"/>
      <c r="C626" s="1507"/>
      <c r="D626" s="1501"/>
      <c r="E626" s="1511"/>
      <c r="F626" s="2170"/>
      <c r="G626" s="2171"/>
      <c r="H626" s="2856" t="s">
        <v>109</v>
      </c>
      <c r="I626" s="2857"/>
      <c r="J626" s="7514"/>
      <c r="K626" s="2858"/>
      <c r="L626" s="2448"/>
      <c r="M626" s="2449"/>
      <c r="N626" s="2849"/>
      <c r="O626" s="2850"/>
      <c r="P626" s="2853"/>
      <c r="Q626" s="7512"/>
      <c r="R626" s="2854"/>
      <c r="S626" s="2855"/>
      <c r="T626" s="2854"/>
      <c r="U626" s="2854"/>
      <c r="V626" s="2854"/>
      <c r="W626" s="2854"/>
      <c r="X626" s="2854"/>
      <c r="Y626" s="2854"/>
      <c r="Z626" s="1516"/>
      <c r="AA626" s="1517"/>
      <c r="AB626" s="1582" t="s">
        <v>1037</v>
      </c>
      <c r="AC626" s="1521"/>
      <c r="AD626" s="1521"/>
      <c r="AE626" s="1523"/>
      <c r="AF626" s="2847"/>
      <c r="AG626" s="2848"/>
      <c r="AH626" s="2848"/>
      <c r="AI626" s="2847"/>
      <c r="AJ626" s="2848"/>
      <c r="AK626" s="2848"/>
      <c r="AL626" s="2329"/>
      <c r="AM626" s="2164"/>
      <c r="AN626" s="2164"/>
      <c r="AO626" s="2164"/>
      <c r="AP626" s="2164"/>
      <c r="AQ626" s="2164"/>
      <c r="AR626" s="2164"/>
      <c r="AS626" s="2164"/>
      <c r="AT626" s="2164"/>
      <c r="AU626" s="2164"/>
      <c r="AV626" s="2164"/>
      <c r="AW626" s="2164"/>
      <c r="AX626" s="2164"/>
      <c r="AY626" s="2164"/>
      <c r="AZ626" s="2164"/>
      <c r="BA626" s="2164"/>
      <c r="BB626" s="2164"/>
      <c r="BC626" s="2164"/>
      <c r="BD626" s="2164"/>
      <c r="BE626" s="2164"/>
      <c r="BF626" s="2164"/>
      <c r="BG626" s="7511"/>
    </row>
    <row customHeight="1" ht="11.25">
      <c r="A627" s="1507" t="s">
        <v>990</v>
      </c>
      <c r="B627" s="1507"/>
      <c r="C627" s="1507"/>
      <c r="D627" s="1501"/>
      <c r="E627" s="1511"/>
      <c r="F627" s="2170"/>
      <c r="G627" s="2171"/>
      <c r="H627" s="2856" t="s">
        <v>109</v>
      </c>
      <c r="I627" s="2857"/>
      <c r="J627" s="7514"/>
      <c r="K627" s="2858"/>
      <c r="L627" s="2448"/>
      <c r="M627" s="2449"/>
      <c r="N627" s="1516"/>
      <c r="O627" s="1517"/>
      <c r="P627" s="1509" t="s">
        <v>1038</v>
      </c>
      <c r="Q627" s="1517"/>
      <c r="R627" s="1517"/>
      <c r="S627" s="1517"/>
      <c r="T627" s="1517"/>
      <c r="U627" s="1517"/>
      <c r="V627" s="1517"/>
      <c r="W627" s="1517"/>
      <c r="X627" s="1517"/>
      <c r="Y627" s="1517"/>
      <c r="Z627" s="1517"/>
      <c r="AA627" s="1517"/>
      <c r="AB627" s="1517"/>
      <c r="AC627" s="1517"/>
      <c r="AD627" s="1517"/>
      <c r="AE627" s="1524"/>
      <c r="AF627" s="2847"/>
      <c r="AG627" s="2848"/>
      <c r="AH627" s="2848"/>
      <c r="AI627" s="2847"/>
      <c r="AJ627" s="2848"/>
      <c r="AK627" s="2848"/>
      <c r="AL627" s="2329"/>
      <c r="AM627" s="2164"/>
      <c r="AN627" s="2164"/>
      <c r="AO627" s="2164"/>
      <c r="AP627" s="2164"/>
      <c r="AQ627" s="2164"/>
      <c r="AR627" s="2164"/>
      <c r="AS627" s="2164"/>
      <c r="AT627" s="2164"/>
      <c r="AU627" s="2164"/>
      <c r="AV627" s="2164"/>
      <c r="AW627" s="2164"/>
      <c r="AX627" s="2164"/>
      <c r="AY627" s="2164"/>
      <c r="AZ627" s="2164"/>
      <c r="BA627" s="2164"/>
      <c r="BB627" s="2164"/>
      <c r="BC627" s="2164"/>
      <c r="BD627" s="2164"/>
      <c r="BE627" s="2164"/>
      <c r="BF627" s="2164"/>
      <c r="BG627" s="7511"/>
    </row>
    <row customHeight="1" ht="11.25">
      <c r="A628" s="1507" t="s">
        <v>990</v>
      </c>
      <c r="B628" s="1507" t="s">
        <v>1022</v>
      </c>
      <c r="C628" s="1507"/>
      <c r="D628" s="1501"/>
      <c r="E628" s="1511"/>
      <c r="F628" s="2170"/>
      <c r="G628" s="7510" t="s">
        <v>684</v>
      </c>
      <c r="H628" s="2856" t="s">
        <v>146</v>
      </c>
      <c r="I628" s="2857" t="s">
        <v>1023</v>
      </c>
      <c r="J628" s="2826" t="s">
        <v>1071</v>
      </c>
      <c r="K628" s="2858" t="s">
        <v>1124</v>
      </c>
      <c r="L628" s="2448" t="s">
        <v>19</v>
      </c>
      <c r="M628" s="2449"/>
      <c r="N628" s="2327"/>
      <c r="O628" s="1518" t="s">
        <v>371</v>
      </c>
      <c r="P628" s="1519"/>
      <c r="Q628" s="1519"/>
      <c r="R628" s="1519"/>
      <c r="S628" s="1519"/>
      <c r="T628" s="1519"/>
      <c r="U628" s="1519"/>
      <c r="V628" s="1519"/>
      <c r="W628" s="1519"/>
      <c r="X628" s="1519"/>
      <c r="Y628" s="1519"/>
      <c r="Z628" s="1519"/>
      <c r="AA628" s="1519"/>
      <c r="AB628" s="1519"/>
      <c r="AC628" s="1519"/>
      <c r="AD628" s="1519"/>
      <c r="AE628" s="1519"/>
      <c r="AF628" s="2847">
        <v>6</v>
      </c>
      <c r="AG628" s="2848" t="s">
        <v>1026</v>
      </c>
      <c r="AH628" s="2848" t="s">
        <v>1104</v>
      </c>
      <c r="AI628" s="2847"/>
      <c r="AJ628" s="2848"/>
      <c r="AK628" s="2848"/>
      <c r="AL628" s="2329"/>
      <c r="AM628" s="2164"/>
      <c r="AN628" s="2164"/>
      <c r="AO628" s="2164"/>
      <c r="AP628" s="2164"/>
      <c r="AQ628" s="2164"/>
      <c r="AR628" s="2164"/>
      <c r="AS628" s="2164"/>
      <c r="AT628" s="2164"/>
      <c r="AU628" s="2164"/>
      <c r="AV628" s="2164"/>
      <c r="AW628" s="2164"/>
      <c r="AX628" s="2164"/>
      <c r="AY628" s="2164"/>
      <c r="AZ628" s="2164"/>
      <c r="BA628" s="2164"/>
      <c r="BB628" s="2164"/>
      <c r="BC628" s="2164"/>
      <c r="BD628" s="2164"/>
      <c r="BE628" s="2164"/>
      <c r="BF628" s="2164"/>
      <c r="BG628" s="7511"/>
    </row>
    <row customHeight="1" ht="11.25">
      <c r="A629" s="1507" t="s">
        <v>990</v>
      </c>
      <c r="B629" s="1507"/>
      <c r="C629" s="1507"/>
      <c r="D629" s="1501"/>
      <c r="E629" s="1511"/>
      <c r="F629" s="2170"/>
      <c r="G629" s="2171"/>
      <c r="H629" s="2856" t="s">
        <v>145</v>
      </c>
      <c r="I629" s="2857"/>
      <c r="J629" s="2826"/>
      <c r="K629" s="2858"/>
      <c r="L629" s="2448"/>
      <c r="M629" s="2449"/>
      <c r="N629" s="2849"/>
      <c r="O629" s="2850">
        <v>1</v>
      </c>
      <c r="P629" s="2851" t="s">
        <v>65</v>
      </c>
      <c r="Q629" s="7512" t="s">
        <v>1105</v>
      </c>
      <c r="R629" s="7513" t="s">
        <v>1083</v>
      </c>
      <c r="S629" s="7513" t="s">
        <v>1030</v>
      </c>
      <c r="T629" s="7513" t="s">
        <v>1030</v>
      </c>
      <c r="U629" s="7513" t="s">
        <v>1031</v>
      </c>
      <c r="V629" s="7513" t="s">
        <v>1032</v>
      </c>
      <c r="W629" s="7513" t="s">
        <v>1033</v>
      </c>
      <c r="X629" s="7513" t="s">
        <v>1106</v>
      </c>
      <c r="Y629" s="7513" t="s">
        <v>1107</v>
      </c>
      <c r="Z629" s="1516"/>
      <c r="AA629" s="1517"/>
      <c r="AB629" s="1517"/>
      <c r="AC629" s="1521"/>
      <c r="AD629" s="1521"/>
      <c r="AE629" s="1522"/>
      <c r="AF629" s="2847"/>
      <c r="AG629" s="2848"/>
      <c r="AH629" s="2848"/>
      <c r="AI629" s="2847"/>
      <c r="AJ629" s="2848"/>
      <c r="AK629" s="2848"/>
      <c r="AL629" s="2329"/>
      <c r="AM629" s="2164"/>
      <c r="AN629" s="2164"/>
      <c r="AO629" s="2164"/>
      <c r="AP629" s="2164"/>
      <c r="AQ629" s="2164"/>
      <c r="AR629" s="2164"/>
      <c r="AS629" s="2164"/>
      <c r="AT629" s="2164"/>
      <c r="AU629" s="2164"/>
      <c r="AV629" s="2164"/>
      <c r="AW629" s="2164"/>
      <c r="AX629" s="2164"/>
      <c r="AY629" s="2164"/>
      <c r="AZ629" s="2164"/>
      <c r="BA629" s="2164"/>
      <c r="BB629" s="2164"/>
      <c r="BC629" s="2164"/>
      <c r="BD629" s="2164"/>
      <c r="BE629" s="2164"/>
      <c r="BF629" s="2164"/>
      <c r="BG629" s="7511"/>
    </row>
    <row customHeight="1" ht="11.25">
      <c r="A630" s="1507" t="s">
        <v>990</v>
      </c>
      <c r="B630" s="1507"/>
      <c r="C630" s="1507"/>
      <c r="D630" s="1501"/>
      <c r="E630" s="1511"/>
      <c r="F630" s="2170"/>
      <c r="G630" s="2171"/>
      <c r="H630" s="2856" t="s">
        <v>145</v>
      </c>
      <c r="I630" s="2857"/>
      <c r="J630" s="2826"/>
      <c r="K630" s="2858"/>
      <c r="L630" s="2448"/>
      <c r="M630" s="2449"/>
      <c r="N630" s="2849"/>
      <c r="O630" s="2850"/>
      <c r="P630" s="2852"/>
      <c r="Q630" s="7512"/>
      <c r="R630" s="2854"/>
      <c r="S630" s="2855"/>
      <c r="T630" s="2854"/>
      <c r="U630" s="2854"/>
      <c r="V630" s="2854"/>
      <c r="W630" s="2854"/>
      <c r="X630" s="2854"/>
      <c r="Y630" s="2854"/>
      <c r="Z630" s="2169"/>
      <c r="AA630" s="2135">
        <v>1</v>
      </c>
      <c r="AB630" s="1520" t="s">
        <v>1070</v>
      </c>
      <c r="AC630" s="1510">
        <v>54746.84</v>
      </c>
      <c r="AD630" s="1520" t="str">
        <f>AB630</f>
        <v>  За счет платы за технологическое присоединение</v>
      </c>
      <c r="AE630" s="1510"/>
      <c r="AF630" s="2847"/>
      <c r="AG630" s="2848"/>
      <c r="AH630" s="2848"/>
      <c r="AI630" s="2847"/>
      <c r="AJ630" s="2848"/>
      <c r="AK630" s="2848"/>
      <c r="AL630" s="2329"/>
      <c r="AM630" s="2164"/>
      <c r="AN630" s="2164"/>
      <c r="AO630" s="2164"/>
      <c r="AP630" s="2164"/>
      <c r="AQ630" s="2164"/>
      <c r="AR630" s="2164"/>
      <c r="AS630" s="2164"/>
      <c r="AT630" s="2164"/>
      <c r="AU630" s="2164"/>
      <c r="AV630" s="2164"/>
      <c r="AW630" s="2164"/>
      <c r="AX630" s="2164"/>
      <c r="AY630" s="2164"/>
      <c r="AZ630" s="2164"/>
      <c r="BA630" s="2164"/>
      <c r="BB630" s="2164"/>
      <c r="BC630" s="2164"/>
      <c r="BD630" s="2164"/>
      <c r="BE630" s="2164"/>
      <c r="BF630" s="2164"/>
      <c r="BG630" s="7511"/>
    </row>
    <row customHeight="1" ht="11.25">
      <c r="A631" s="1507" t="s">
        <v>990</v>
      </c>
      <c r="B631" s="1507"/>
      <c r="C631" s="1507"/>
      <c r="D631" s="1501"/>
      <c r="E631" s="1511"/>
      <c r="F631" s="2171"/>
      <c r="G631" s="2171"/>
      <c r="H631" s="2171"/>
      <c r="I631" s="2171"/>
      <c r="J631" s="7515"/>
      <c r="K631" s="2171"/>
      <c r="L631" s="2171"/>
      <c r="M631" s="2171"/>
      <c r="N631" s="2171"/>
      <c r="O631" s="2171"/>
      <c r="P631" s="2171"/>
      <c r="Q631" s="7515"/>
      <c r="R631" s="2171"/>
      <c r="S631" s="2171"/>
      <c r="T631" s="2171"/>
      <c r="U631" s="2171"/>
      <c r="V631" s="2171"/>
      <c r="W631" s="2171"/>
      <c r="X631" s="2171"/>
      <c r="Y631" s="2171"/>
      <c r="Z631" s="7510" t="s">
        <v>684</v>
      </c>
      <c r="AA631" s="2155" t="s">
        <v>107</v>
      </c>
      <c r="AB631" s="1520" t="s">
        <v>1036</v>
      </c>
      <c r="AC631" s="1510">
        <v>10949.368</v>
      </c>
      <c r="AD631" s="1520" t="str">
        <f>AB631</f>
        <v>  Прочие собственные средства</v>
      </c>
      <c r="AE631" s="1510"/>
      <c r="AF631" s="2172"/>
      <c r="AG631" s="2100"/>
      <c r="AH631" s="2100"/>
      <c r="AI631" s="2172"/>
      <c r="AJ631" s="2100"/>
      <c r="AK631" s="2328"/>
      <c r="AL631" s="2329"/>
      <c r="AM631" s="2164"/>
      <c r="AN631" s="2164"/>
      <c r="AO631" s="2164"/>
      <c r="AP631" s="2164"/>
      <c r="AQ631" s="2164"/>
      <c r="AR631" s="2164"/>
      <c r="AS631" s="2164"/>
      <c r="AT631" s="2164"/>
      <c r="AU631" s="2164"/>
      <c r="AV631" s="2164"/>
      <c r="AW631" s="2164"/>
      <c r="AX631" s="2164"/>
      <c r="AY631" s="2164"/>
      <c r="AZ631" s="2164"/>
      <c r="BA631" s="2164"/>
      <c r="BB631" s="2164"/>
      <c r="BC631" s="2164"/>
      <c r="BD631" s="2164"/>
      <c r="BE631" s="2164"/>
      <c r="BF631" s="2164"/>
      <c r="BG631" s="7511"/>
    </row>
    <row customHeight="1" ht="11.25">
      <c r="A632" s="1507" t="s">
        <v>990</v>
      </c>
      <c r="B632" s="1507"/>
      <c r="C632" s="1507"/>
      <c r="D632" s="1501"/>
      <c r="E632" s="1511"/>
      <c r="F632" s="2170"/>
      <c r="G632" s="2171"/>
      <c r="H632" s="2856" t="s">
        <v>145</v>
      </c>
      <c r="I632" s="2857"/>
      <c r="J632" s="2826"/>
      <c r="K632" s="2858"/>
      <c r="L632" s="2448"/>
      <c r="M632" s="2449"/>
      <c r="N632" s="2849"/>
      <c r="O632" s="2850"/>
      <c r="P632" s="2853"/>
      <c r="Q632" s="7512"/>
      <c r="R632" s="2854"/>
      <c r="S632" s="2855"/>
      <c r="T632" s="2854"/>
      <c r="U632" s="2854"/>
      <c r="V632" s="2854"/>
      <c r="W632" s="2854"/>
      <c r="X632" s="2854"/>
      <c r="Y632" s="2854"/>
      <c r="Z632" s="1516"/>
      <c r="AA632" s="1517"/>
      <c r="AB632" s="1582" t="s">
        <v>1037</v>
      </c>
      <c r="AC632" s="1521"/>
      <c r="AD632" s="1521"/>
      <c r="AE632" s="1523"/>
      <c r="AF632" s="2847"/>
      <c r="AG632" s="2848"/>
      <c r="AH632" s="2848"/>
      <c r="AI632" s="2847"/>
      <c r="AJ632" s="2848"/>
      <c r="AK632" s="2848"/>
      <c r="AL632" s="2329"/>
      <c r="AM632" s="2164"/>
      <c r="AN632" s="2164"/>
      <c r="AO632" s="2164"/>
      <c r="AP632" s="2164"/>
      <c r="AQ632" s="2164"/>
      <c r="AR632" s="2164"/>
      <c r="AS632" s="2164"/>
      <c r="AT632" s="2164"/>
      <c r="AU632" s="2164"/>
      <c r="AV632" s="2164"/>
      <c r="AW632" s="2164"/>
      <c r="AX632" s="2164"/>
      <c r="AY632" s="2164"/>
      <c r="AZ632" s="2164"/>
      <c r="BA632" s="2164"/>
      <c r="BB632" s="2164"/>
      <c r="BC632" s="2164"/>
      <c r="BD632" s="2164"/>
      <c r="BE632" s="2164"/>
      <c r="BF632" s="2164"/>
      <c r="BG632" s="7511"/>
    </row>
    <row customHeight="1" ht="11.25">
      <c r="A633" s="1507" t="s">
        <v>990</v>
      </c>
      <c r="B633" s="1507"/>
      <c r="C633" s="1507"/>
      <c r="D633" s="1501"/>
      <c r="E633" s="1511"/>
      <c r="F633" s="2170"/>
      <c r="G633" s="2171"/>
      <c r="H633" s="2856" t="s">
        <v>145</v>
      </c>
      <c r="I633" s="2857"/>
      <c r="J633" s="2826"/>
      <c r="K633" s="2858"/>
      <c r="L633" s="2448"/>
      <c r="M633" s="2449"/>
      <c r="N633" s="1516"/>
      <c r="O633" s="1517"/>
      <c r="P633" s="1509" t="s">
        <v>1038</v>
      </c>
      <c r="Q633" s="1517"/>
      <c r="R633" s="1517"/>
      <c r="S633" s="1517"/>
      <c r="T633" s="1517"/>
      <c r="U633" s="1517"/>
      <c r="V633" s="1517"/>
      <c r="W633" s="1517"/>
      <c r="X633" s="1517"/>
      <c r="Y633" s="1517"/>
      <c r="Z633" s="1517"/>
      <c r="AA633" s="1517"/>
      <c r="AB633" s="1517"/>
      <c r="AC633" s="1517"/>
      <c r="AD633" s="1517"/>
      <c r="AE633" s="1524"/>
      <c r="AF633" s="2847"/>
      <c r="AG633" s="2848"/>
      <c r="AH633" s="2848"/>
      <c r="AI633" s="2847"/>
      <c r="AJ633" s="2848"/>
      <c r="AK633" s="2848"/>
      <c r="AL633" s="2329"/>
      <c r="AM633" s="2164"/>
      <c r="AN633" s="2164"/>
      <c r="AO633" s="2164"/>
      <c r="AP633" s="2164"/>
      <c r="AQ633" s="2164"/>
      <c r="AR633" s="2164"/>
      <c r="AS633" s="2164"/>
      <c r="AT633" s="2164"/>
      <c r="AU633" s="2164"/>
      <c r="AV633" s="2164"/>
      <c r="AW633" s="2164"/>
      <c r="AX633" s="2164"/>
      <c r="AY633" s="2164"/>
      <c r="AZ633" s="2164"/>
      <c r="BA633" s="2164"/>
      <c r="BB633" s="2164"/>
      <c r="BC633" s="2164"/>
      <c r="BD633" s="2164"/>
      <c r="BE633" s="2164"/>
      <c r="BF633" s="2164"/>
      <c r="BG633" s="7511"/>
    </row>
    <row customHeight="1" ht="11.25">
      <c r="A634" s="1507" t="s">
        <v>990</v>
      </c>
      <c r="B634" s="1507" t="s">
        <v>1139</v>
      </c>
      <c r="C634" s="1507"/>
      <c r="D634" s="1501"/>
      <c r="E634" s="1511"/>
      <c r="F634" s="2170"/>
      <c r="G634" s="7510" t="s">
        <v>684</v>
      </c>
      <c r="H634" s="2856" t="s">
        <v>147</v>
      </c>
      <c r="I634" s="2857" t="s">
        <v>1141</v>
      </c>
      <c r="J634" s="2826" t="s">
        <v>1142</v>
      </c>
      <c r="K634" s="2858" t="s">
        <v>1150</v>
      </c>
      <c r="L634" s="2448" t="s">
        <v>19</v>
      </c>
      <c r="M634" s="2449"/>
      <c r="N634" s="2327"/>
      <c r="O634" s="1518" t="s">
        <v>371</v>
      </c>
      <c r="P634" s="1519"/>
      <c r="Q634" s="1519"/>
      <c r="R634" s="1519"/>
      <c r="S634" s="1519"/>
      <c r="T634" s="1519"/>
      <c r="U634" s="1519"/>
      <c r="V634" s="1519"/>
      <c r="W634" s="1519"/>
      <c r="X634" s="1519"/>
      <c r="Y634" s="1519"/>
      <c r="Z634" s="1519"/>
      <c r="AA634" s="1519"/>
      <c r="AB634" s="1519"/>
      <c r="AC634" s="1519"/>
      <c r="AD634" s="1519"/>
      <c r="AE634" s="1519"/>
      <c r="AF634" s="2847">
        <v>6</v>
      </c>
      <c r="AG634" s="2848" t="s">
        <v>1067</v>
      </c>
      <c r="AH634" s="2848" t="s">
        <v>1104</v>
      </c>
      <c r="AI634" s="2847"/>
      <c r="AJ634" s="2848"/>
      <c r="AK634" s="2848"/>
      <c r="AL634" s="2329"/>
      <c r="AM634" s="2164"/>
      <c r="AN634" s="2164"/>
      <c r="AO634" s="2164"/>
      <c r="AP634" s="2164"/>
      <c r="AQ634" s="2164"/>
      <c r="AR634" s="2164"/>
      <c r="AS634" s="2164"/>
      <c r="AT634" s="2164"/>
      <c r="AU634" s="2164"/>
      <c r="AV634" s="2164"/>
      <c r="AW634" s="2164"/>
      <c r="AX634" s="2164"/>
      <c r="AY634" s="2164"/>
      <c r="AZ634" s="2164"/>
      <c r="BA634" s="2164"/>
      <c r="BB634" s="2164"/>
      <c r="BC634" s="2164"/>
      <c r="BD634" s="2164"/>
      <c r="BE634" s="2164"/>
      <c r="BF634" s="2164"/>
      <c r="BG634" s="7511"/>
    </row>
    <row customHeight="1" ht="11.25">
      <c r="A635" s="1507" t="s">
        <v>990</v>
      </c>
      <c r="B635" s="1507"/>
      <c r="C635" s="1507"/>
      <c r="D635" s="1501"/>
      <c r="E635" s="1511"/>
      <c r="F635" s="2170"/>
      <c r="G635" s="2171"/>
      <c r="H635" s="2856" t="s">
        <v>146</v>
      </c>
      <c r="I635" s="2857"/>
      <c r="J635" s="2826"/>
      <c r="K635" s="2858"/>
      <c r="L635" s="2448"/>
      <c r="M635" s="2449"/>
      <c r="N635" s="2849"/>
      <c r="O635" s="2850">
        <v>1</v>
      </c>
      <c r="P635" s="2851" t="s">
        <v>65</v>
      </c>
      <c r="Q635" s="7512" t="s">
        <v>1105</v>
      </c>
      <c r="R635" s="7513" t="s">
        <v>1083</v>
      </c>
      <c r="S635" s="7513" t="s">
        <v>1030</v>
      </c>
      <c r="T635" s="7513" t="s">
        <v>1030</v>
      </c>
      <c r="U635" s="7513" t="s">
        <v>1031</v>
      </c>
      <c r="V635" s="7513" t="s">
        <v>1032</v>
      </c>
      <c r="W635" s="7513" t="s">
        <v>1033</v>
      </c>
      <c r="X635" s="7513" t="s">
        <v>1106</v>
      </c>
      <c r="Y635" s="7513" t="s">
        <v>1107</v>
      </c>
      <c r="Z635" s="1516"/>
      <c r="AA635" s="1517"/>
      <c r="AB635" s="1517"/>
      <c r="AC635" s="1521"/>
      <c r="AD635" s="1521"/>
      <c r="AE635" s="1522"/>
      <c r="AF635" s="2847"/>
      <c r="AG635" s="2848"/>
      <c r="AH635" s="2848"/>
      <c r="AI635" s="2847"/>
      <c r="AJ635" s="2848"/>
      <c r="AK635" s="2848"/>
      <c r="AL635" s="2329"/>
      <c r="AM635" s="2164"/>
      <c r="AN635" s="2164"/>
      <c r="AO635" s="2164"/>
      <c r="AP635" s="2164"/>
      <c r="AQ635" s="2164"/>
      <c r="AR635" s="2164"/>
      <c r="AS635" s="2164"/>
      <c r="AT635" s="2164"/>
      <c r="AU635" s="2164"/>
      <c r="AV635" s="2164"/>
      <c r="AW635" s="2164"/>
      <c r="AX635" s="2164"/>
      <c r="AY635" s="2164"/>
      <c r="AZ635" s="2164"/>
      <c r="BA635" s="2164"/>
      <c r="BB635" s="2164"/>
      <c r="BC635" s="2164"/>
      <c r="BD635" s="2164"/>
      <c r="BE635" s="2164"/>
      <c r="BF635" s="2164"/>
      <c r="BG635" s="7511"/>
    </row>
    <row customHeight="1" ht="11.25">
      <c r="A636" s="1507" t="s">
        <v>990</v>
      </c>
      <c r="B636" s="1507"/>
      <c r="C636" s="1507"/>
      <c r="D636" s="1501"/>
      <c r="E636" s="1511"/>
      <c r="F636" s="2170"/>
      <c r="G636" s="2171"/>
      <c r="H636" s="2856" t="s">
        <v>146</v>
      </c>
      <c r="I636" s="2857"/>
      <c r="J636" s="2826"/>
      <c r="K636" s="2858"/>
      <c r="L636" s="2448"/>
      <c r="M636" s="2449"/>
      <c r="N636" s="2849"/>
      <c r="O636" s="2850"/>
      <c r="P636" s="2852"/>
      <c r="Q636" s="7512"/>
      <c r="R636" s="2854"/>
      <c r="S636" s="2855"/>
      <c r="T636" s="2854"/>
      <c r="U636" s="2854"/>
      <c r="V636" s="2854"/>
      <c r="W636" s="2854"/>
      <c r="X636" s="2854"/>
      <c r="Y636" s="2854"/>
      <c r="Z636" s="2169"/>
      <c r="AA636" s="2135">
        <v>1</v>
      </c>
      <c r="AB636" s="1520" t="s">
        <v>1070</v>
      </c>
      <c r="AC636" s="1510">
        <v>57529.985</v>
      </c>
      <c r="AD636" s="1520" t="str">
        <f>AB636</f>
        <v>  За счет платы за технологическое присоединение</v>
      </c>
      <c r="AE636" s="1510"/>
      <c r="AF636" s="2847"/>
      <c r="AG636" s="2848"/>
      <c r="AH636" s="2848"/>
      <c r="AI636" s="2847"/>
      <c r="AJ636" s="2848"/>
      <c r="AK636" s="2848"/>
      <c r="AL636" s="2329"/>
      <c r="AM636" s="2164"/>
      <c r="AN636" s="2164"/>
      <c r="AO636" s="2164"/>
      <c r="AP636" s="2164"/>
      <c r="AQ636" s="2164"/>
      <c r="AR636" s="2164"/>
      <c r="AS636" s="2164"/>
      <c r="AT636" s="2164"/>
      <c r="AU636" s="2164"/>
      <c r="AV636" s="2164"/>
      <c r="AW636" s="2164"/>
      <c r="AX636" s="2164"/>
      <c r="AY636" s="2164"/>
      <c r="AZ636" s="2164"/>
      <c r="BA636" s="2164"/>
      <c r="BB636" s="2164"/>
      <c r="BC636" s="2164"/>
      <c r="BD636" s="2164"/>
      <c r="BE636" s="2164"/>
      <c r="BF636" s="2164"/>
      <c r="BG636" s="7511"/>
    </row>
    <row customHeight="1" ht="11.25">
      <c r="A637" s="1507" t="s">
        <v>990</v>
      </c>
      <c r="B637" s="1507"/>
      <c r="C637" s="1507"/>
      <c r="D637" s="1501"/>
      <c r="E637" s="1511"/>
      <c r="F637" s="2171"/>
      <c r="G637" s="2171"/>
      <c r="H637" s="2171"/>
      <c r="I637" s="2171"/>
      <c r="J637" s="2171"/>
      <c r="K637" s="2171"/>
      <c r="L637" s="2171"/>
      <c r="M637" s="2171"/>
      <c r="N637" s="2171"/>
      <c r="O637" s="2171"/>
      <c r="P637" s="2171"/>
      <c r="Q637" s="2171"/>
      <c r="R637" s="2171"/>
      <c r="S637" s="2171"/>
      <c r="T637" s="2171"/>
      <c r="U637" s="2171"/>
      <c r="V637" s="2171"/>
      <c r="W637" s="2171"/>
      <c r="X637" s="2171"/>
      <c r="Y637" s="2171"/>
      <c r="Z637" s="7510" t="s">
        <v>684</v>
      </c>
      <c r="AA637" s="2155" t="s">
        <v>107</v>
      </c>
      <c r="AB637" s="1520" t="s">
        <v>1036</v>
      </c>
      <c r="AC637" s="1510">
        <v>11505.997</v>
      </c>
      <c r="AD637" s="1520" t="str">
        <f>AB637</f>
        <v>  Прочие собственные средства</v>
      </c>
      <c r="AE637" s="1510"/>
      <c r="AF637" s="2172"/>
      <c r="AG637" s="2100"/>
      <c r="AH637" s="2100"/>
      <c r="AI637" s="2172"/>
      <c r="AJ637" s="2100"/>
      <c r="AK637" s="2328"/>
      <c r="AL637" s="2329"/>
      <c r="AM637" s="2164"/>
      <c r="AN637" s="2164"/>
      <c r="AO637" s="2164"/>
      <c r="AP637" s="2164"/>
      <c r="AQ637" s="2164"/>
      <c r="AR637" s="2164"/>
      <c r="AS637" s="2164"/>
      <c r="AT637" s="2164"/>
      <c r="AU637" s="2164"/>
      <c r="AV637" s="2164"/>
      <c r="AW637" s="2164"/>
      <c r="AX637" s="2164"/>
      <c r="AY637" s="2164"/>
      <c r="AZ637" s="2164"/>
      <c r="BA637" s="2164"/>
      <c r="BB637" s="2164"/>
      <c r="BC637" s="2164"/>
      <c r="BD637" s="2164"/>
      <c r="BE637" s="2164"/>
      <c r="BF637" s="2164"/>
      <c r="BG637" s="7511"/>
    </row>
    <row customHeight="1" ht="11.25">
      <c r="A638" s="1507" t="s">
        <v>990</v>
      </c>
      <c r="B638" s="1507"/>
      <c r="C638" s="1507"/>
      <c r="D638" s="1501"/>
      <c r="E638" s="1511"/>
      <c r="F638" s="2170"/>
      <c r="G638" s="2171"/>
      <c r="H638" s="2856" t="s">
        <v>146</v>
      </c>
      <c r="I638" s="2857"/>
      <c r="J638" s="2826"/>
      <c r="K638" s="2858"/>
      <c r="L638" s="2448"/>
      <c r="M638" s="2449"/>
      <c r="N638" s="2849"/>
      <c r="O638" s="2850"/>
      <c r="P638" s="2853"/>
      <c r="Q638" s="7512"/>
      <c r="R638" s="2854"/>
      <c r="S638" s="2855"/>
      <c r="T638" s="2854"/>
      <c r="U638" s="2854"/>
      <c r="V638" s="2854"/>
      <c r="W638" s="2854"/>
      <c r="X638" s="2854"/>
      <c r="Y638" s="2854"/>
      <c r="Z638" s="1516"/>
      <c r="AA638" s="1517"/>
      <c r="AB638" s="1582" t="s">
        <v>1037</v>
      </c>
      <c r="AC638" s="1521"/>
      <c r="AD638" s="1521"/>
      <c r="AE638" s="1523"/>
      <c r="AF638" s="2847"/>
      <c r="AG638" s="2848"/>
      <c r="AH638" s="2848"/>
      <c r="AI638" s="2847"/>
      <c r="AJ638" s="2848"/>
      <c r="AK638" s="2848"/>
      <c r="AL638" s="2329"/>
      <c r="AM638" s="2164"/>
      <c r="AN638" s="2164"/>
      <c r="AO638" s="2164"/>
      <c r="AP638" s="2164"/>
      <c r="AQ638" s="2164"/>
      <c r="AR638" s="2164"/>
      <c r="AS638" s="2164"/>
      <c r="AT638" s="2164"/>
      <c r="AU638" s="2164"/>
      <c r="AV638" s="2164"/>
      <c r="AW638" s="2164"/>
      <c r="AX638" s="2164"/>
      <c r="AY638" s="2164"/>
      <c r="AZ638" s="2164"/>
      <c r="BA638" s="2164"/>
      <c r="BB638" s="2164"/>
      <c r="BC638" s="2164"/>
      <c r="BD638" s="2164"/>
      <c r="BE638" s="2164"/>
      <c r="BF638" s="2164"/>
      <c r="BG638" s="7511"/>
    </row>
    <row customHeight="1" ht="11.25">
      <c r="A639" s="1507" t="s">
        <v>990</v>
      </c>
      <c r="B639" s="1507"/>
      <c r="C639" s="1507"/>
      <c r="D639" s="1501"/>
      <c r="E639" s="1511"/>
      <c r="F639" s="2170"/>
      <c r="G639" s="2171"/>
      <c r="H639" s="2856" t="s">
        <v>146</v>
      </c>
      <c r="I639" s="2857"/>
      <c r="J639" s="2826"/>
      <c r="K639" s="2858"/>
      <c r="L639" s="2448"/>
      <c r="M639" s="2449"/>
      <c r="N639" s="1516"/>
      <c r="O639" s="1517"/>
      <c r="P639" s="1509" t="s">
        <v>1038</v>
      </c>
      <c r="Q639" s="1517"/>
      <c r="R639" s="1517"/>
      <c r="S639" s="1517"/>
      <c r="T639" s="1517"/>
      <c r="U639" s="1517"/>
      <c r="V639" s="1517"/>
      <c r="W639" s="1517"/>
      <c r="X639" s="1517"/>
      <c r="Y639" s="1517"/>
      <c r="Z639" s="1517"/>
      <c r="AA639" s="1517"/>
      <c r="AB639" s="1517"/>
      <c r="AC639" s="1517"/>
      <c r="AD639" s="1517"/>
      <c r="AE639" s="1524"/>
      <c r="AF639" s="2847"/>
      <c r="AG639" s="2848"/>
      <c r="AH639" s="2848"/>
      <c r="AI639" s="2847"/>
      <c r="AJ639" s="2848"/>
      <c r="AK639" s="2848"/>
      <c r="AL639" s="2329"/>
      <c r="AM639" s="2164"/>
      <c r="AN639" s="2164"/>
      <c r="AO639" s="2164"/>
      <c r="AP639" s="2164"/>
      <c r="AQ639" s="2164"/>
      <c r="AR639" s="2164"/>
      <c r="AS639" s="2164"/>
      <c r="AT639" s="2164"/>
      <c r="AU639" s="2164"/>
      <c r="AV639" s="2164"/>
      <c r="AW639" s="2164"/>
      <c r="AX639" s="2164"/>
      <c r="AY639" s="2164"/>
      <c r="AZ639" s="2164"/>
      <c r="BA639" s="2164"/>
      <c r="BB639" s="2164"/>
      <c r="BC639" s="2164"/>
      <c r="BD639" s="2164"/>
      <c r="BE639" s="2164"/>
      <c r="BF639" s="2164"/>
      <c r="BG639" s="7511"/>
    </row>
    <row customHeight="1" ht="11.25">
      <c r="A640" s="1507" t="s">
        <v>990</v>
      </c>
      <c r="B640" s="1507" t="s">
        <v>1022</v>
      </c>
      <c r="C640" s="1507"/>
      <c r="D640" s="1501"/>
      <c r="E640" s="1511"/>
      <c r="F640" s="2170"/>
      <c r="G640" s="7510" t="s">
        <v>684</v>
      </c>
      <c r="H640" s="2856" t="s">
        <v>148</v>
      </c>
      <c r="I640" s="2857" t="s">
        <v>1023</v>
      </c>
      <c r="J640" s="2826" t="s">
        <v>1071</v>
      </c>
      <c r="K640" s="2858" t="s">
        <v>1152</v>
      </c>
      <c r="L640" s="2448" t="s">
        <v>19</v>
      </c>
      <c r="M640" s="2449"/>
      <c r="N640" s="2327"/>
      <c r="O640" s="1518" t="s">
        <v>371</v>
      </c>
      <c r="P640" s="1519"/>
      <c r="Q640" s="1519"/>
      <c r="R640" s="1519"/>
      <c r="S640" s="1519"/>
      <c r="T640" s="1519"/>
      <c r="U640" s="1519"/>
      <c r="V640" s="1519"/>
      <c r="W640" s="1519"/>
      <c r="X640" s="1519"/>
      <c r="Y640" s="1519"/>
      <c r="Z640" s="1519"/>
      <c r="AA640" s="1519"/>
      <c r="AB640" s="1519"/>
      <c r="AC640" s="1519"/>
      <c r="AD640" s="1519"/>
      <c r="AE640" s="1519"/>
      <c r="AF640" s="2847">
        <v>6</v>
      </c>
      <c r="AG640" s="2848" t="s">
        <v>1067</v>
      </c>
      <c r="AH640" s="2848" t="s">
        <v>1104</v>
      </c>
      <c r="AI640" s="2847"/>
      <c r="AJ640" s="2848"/>
      <c r="AK640" s="2848"/>
      <c r="AL640" s="2329"/>
      <c r="AM640" s="2164"/>
      <c r="AN640" s="2164"/>
      <c r="AO640" s="2164"/>
      <c r="AP640" s="2164"/>
      <c r="AQ640" s="2164"/>
      <c r="AR640" s="2164"/>
      <c r="AS640" s="2164"/>
      <c r="AT640" s="2164"/>
      <c r="AU640" s="2164"/>
      <c r="AV640" s="2164"/>
      <c r="AW640" s="2164"/>
      <c r="AX640" s="2164"/>
      <c r="AY640" s="2164"/>
      <c r="AZ640" s="2164"/>
      <c r="BA640" s="2164"/>
      <c r="BB640" s="2164"/>
      <c r="BC640" s="2164"/>
      <c r="BD640" s="2164"/>
      <c r="BE640" s="2164"/>
      <c r="BF640" s="2164"/>
      <c r="BG640" s="7511"/>
    </row>
    <row customHeight="1" ht="11.25">
      <c r="A641" s="1507" t="s">
        <v>990</v>
      </c>
      <c r="B641" s="1507"/>
      <c r="C641" s="1507"/>
      <c r="D641" s="1501"/>
      <c r="E641" s="1511"/>
      <c r="F641" s="2170"/>
      <c r="G641" s="2171"/>
      <c r="H641" s="2856" t="s">
        <v>147</v>
      </c>
      <c r="I641" s="2857"/>
      <c r="J641" s="2826"/>
      <c r="K641" s="2858"/>
      <c r="L641" s="2448"/>
      <c r="M641" s="2449"/>
      <c r="N641" s="2849"/>
      <c r="O641" s="2850">
        <v>1</v>
      </c>
      <c r="P641" s="2851" t="s">
        <v>65</v>
      </c>
      <c r="Q641" s="7512" t="s">
        <v>1153</v>
      </c>
      <c r="R641" s="7513" t="s">
        <v>1083</v>
      </c>
      <c r="S641" s="7513" t="s">
        <v>1154</v>
      </c>
      <c r="T641" s="7513" t="s">
        <v>1154</v>
      </c>
      <c r="U641" s="7513" t="s">
        <v>1155</v>
      </c>
      <c r="V641" s="7513" t="s">
        <v>1156</v>
      </c>
      <c r="W641" s="7513" t="s">
        <v>1157</v>
      </c>
      <c r="X641" s="7513" t="s">
        <v>1158</v>
      </c>
      <c r="Y641" s="7513" t="s">
        <v>92</v>
      </c>
      <c r="Z641" s="1516"/>
      <c r="AA641" s="1517"/>
      <c r="AB641" s="1517"/>
      <c r="AC641" s="1521"/>
      <c r="AD641" s="1521"/>
      <c r="AE641" s="1522"/>
      <c r="AF641" s="2847"/>
      <c r="AG641" s="2848"/>
      <c r="AH641" s="2848"/>
      <c r="AI641" s="2847"/>
      <c r="AJ641" s="2848"/>
      <c r="AK641" s="2848"/>
      <c r="AL641" s="2329"/>
      <c r="AM641" s="2164"/>
      <c r="AN641" s="2164"/>
      <c r="AO641" s="2164"/>
      <c r="AP641" s="2164"/>
      <c r="AQ641" s="2164"/>
      <c r="AR641" s="2164"/>
      <c r="AS641" s="2164"/>
      <c r="AT641" s="2164"/>
      <c r="AU641" s="2164"/>
      <c r="AV641" s="2164"/>
      <c r="AW641" s="2164"/>
      <c r="AX641" s="2164"/>
      <c r="AY641" s="2164"/>
      <c r="AZ641" s="2164"/>
      <c r="BA641" s="2164"/>
      <c r="BB641" s="2164"/>
      <c r="BC641" s="2164"/>
      <c r="BD641" s="2164"/>
      <c r="BE641" s="2164"/>
      <c r="BF641" s="2164"/>
      <c r="BG641" s="7511"/>
    </row>
    <row customHeight="1" ht="11.25">
      <c r="A642" s="1507" t="s">
        <v>990</v>
      </c>
      <c r="B642" s="1507"/>
      <c r="C642" s="1507"/>
      <c r="D642" s="1501"/>
      <c r="E642" s="1511"/>
      <c r="F642" s="2170"/>
      <c r="G642" s="2171"/>
      <c r="H642" s="2856" t="s">
        <v>147</v>
      </c>
      <c r="I642" s="2857"/>
      <c r="J642" s="2826"/>
      <c r="K642" s="2858"/>
      <c r="L642" s="2448"/>
      <c r="M642" s="2449"/>
      <c r="N642" s="2849"/>
      <c r="O642" s="2850"/>
      <c r="P642" s="2852"/>
      <c r="Q642" s="7512"/>
      <c r="R642" s="2854"/>
      <c r="S642" s="2855"/>
      <c r="T642" s="2854"/>
      <c r="U642" s="2854"/>
      <c r="V642" s="2854"/>
      <c r="W642" s="2854"/>
      <c r="X642" s="2854"/>
      <c r="Y642" s="2854"/>
      <c r="Z642" s="2169"/>
      <c r="AA642" s="2135">
        <v>1</v>
      </c>
      <c r="AB642" s="1520" t="s">
        <v>1035</v>
      </c>
      <c r="AC642" s="1510">
        <v>81738</v>
      </c>
      <c r="AD642" s="1520" t="str">
        <f>AB642</f>
        <v>      Амортизационные отчисления с выделением результатов переоценки основных средств и нематериальных активов</v>
      </c>
      <c r="AE642" s="1510"/>
      <c r="AF642" s="2847"/>
      <c r="AG642" s="2848"/>
      <c r="AH642" s="2848"/>
      <c r="AI642" s="2847"/>
      <c r="AJ642" s="2848"/>
      <c r="AK642" s="2848"/>
      <c r="AL642" s="2329"/>
      <c r="AM642" s="2164"/>
      <c r="AN642" s="2164"/>
      <c r="AO642" s="2164"/>
      <c r="AP642" s="2164"/>
      <c r="AQ642" s="2164"/>
      <c r="AR642" s="2164"/>
      <c r="AS642" s="2164"/>
      <c r="AT642" s="2164"/>
      <c r="AU642" s="2164"/>
      <c r="AV642" s="2164"/>
      <c r="AW642" s="2164"/>
      <c r="AX642" s="2164"/>
      <c r="AY642" s="2164"/>
      <c r="AZ642" s="2164"/>
      <c r="BA642" s="2164"/>
      <c r="BB642" s="2164"/>
      <c r="BC642" s="2164"/>
      <c r="BD642" s="2164"/>
      <c r="BE642" s="2164"/>
      <c r="BF642" s="2164"/>
      <c r="BG642" s="7511"/>
    </row>
    <row customHeight="1" ht="11.25">
      <c r="A643" s="1507" t="s">
        <v>990</v>
      </c>
      <c r="B643" s="1507"/>
      <c r="C643" s="1507"/>
      <c r="D643" s="1501"/>
      <c r="E643" s="1511"/>
      <c r="F643" s="2171"/>
      <c r="G643" s="2171"/>
      <c r="H643" s="2171"/>
      <c r="I643" s="2171"/>
      <c r="J643" s="2171"/>
      <c r="K643" s="2171"/>
      <c r="L643" s="2171"/>
      <c r="M643" s="2171"/>
      <c r="N643" s="2171"/>
      <c r="O643" s="2171"/>
      <c r="P643" s="2171"/>
      <c r="Q643" s="2171"/>
      <c r="R643" s="2171"/>
      <c r="S643" s="2171"/>
      <c r="T643" s="2171"/>
      <c r="U643" s="2171"/>
      <c r="V643" s="2171"/>
      <c r="W643" s="2171"/>
      <c r="X643" s="2171"/>
      <c r="Y643" s="2171"/>
      <c r="Z643" s="7510" t="s">
        <v>684</v>
      </c>
      <c r="AA643" s="2155" t="s">
        <v>107</v>
      </c>
      <c r="AB643" s="1520" t="s">
        <v>1036</v>
      </c>
      <c r="AC643" s="1510">
        <v>14731.8116</v>
      </c>
      <c r="AD643" s="1520" t="str">
        <f>AB643</f>
        <v>  Прочие собственные средства</v>
      </c>
      <c r="AE643" s="1510"/>
      <c r="AF643" s="2172"/>
      <c r="AG643" s="2100"/>
      <c r="AH643" s="2100"/>
      <c r="AI643" s="2172"/>
      <c r="AJ643" s="2100"/>
      <c r="AK643" s="2328"/>
      <c r="AL643" s="2329"/>
      <c r="AM643" s="2164"/>
      <c r="AN643" s="2164"/>
      <c r="AO643" s="2164"/>
      <c r="AP643" s="2164"/>
      <c r="AQ643" s="2164"/>
      <c r="AR643" s="2164"/>
      <c r="AS643" s="2164"/>
      <c r="AT643" s="2164"/>
      <c r="AU643" s="2164"/>
      <c r="AV643" s="2164"/>
      <c r="AW643" s="2164"/>
      <c r="AX643" s="2164"/>
      <c r="AY643" s="2164"/>
      <c r="AZ643" s="2164"/>
      <c r="BA643" s="2164"/>
      <c r="BB643" s="2164"/>
      <c r="BC643" s="2164"/>
      <c r="BD643" s="2164"/>
      <c r="BE643" s="2164"/>
      <c r="BF643" s="2164"/>
      <c r="BG643" s="7511"/>
    </row>
    <row customHeight="1" ht="11.25">
      <c r="A644" s="1507" t="s">
        <v>990</v>
      </c>
      <c r="B644" s="1507"/>
      <c r="C644" s="1507"/>
      <c r="D644" s="1501"/>
      <c r="E644" s="1511"/>
      <c r="F644" s="2170"/>
      <c r="G644" s="2171"/>
      <c r="H644" s="2856" t="s">
        <v>147</v>
      </c>
      <c r="I644" s="2857"/>
      <c r="J644" s="2826"/>
      <c r="K644" s="2858"/>
      <c r="L644" s="2448"/>
      <c r="M644" s="2449"/>
      <c r="N644" s="2849"/>
      <c r="O644" s="2850"/>
      <c r="P644" s="2853"/>
      <c r="Q644" s="7512"/>
      <c r="R644" s="2854"/>
      <c r="S644" s="2855"/>
      <c r="T644" s="2854"/>
      <c r="U644" s="2854"/>
      <c r="V644" s="2854"/>
      <c r="W644" s="2854"/>
      <c r="X644" s="2854"/>
      <c r="Y644" s="2854"/>
      <c r="Z644" s="1516"/>
      <c r="AA644" s="1517"/>
      <c r="AB644" s="1582" t="s">
        <v>1037</v>
      </c>
      <c r="AC644" s="1521"/>
      <c r="AD644" s="1521"/>
      <c r="AE644" s="1523"/>
      <c r="AF644" s="2847"/>
      <c r="AG644" s="2848"/>
      <c r="AH644" s="2848"/>
      <c r="AI644" s="2847"/>
      <c r="AJ644" s="2848"/>
      <c r="AK644" s="2848"/>
      <c r="AL644" s="2329"/>
      <c r="AM644" s="2164"/>
      <c r="AN644" s="2164"/>
      <c r="AO644" s="2164"/>
      <c r="AP644" s="2164"/>
      <c r="AQ644" s="2164"/>
      <c r="AR644" s="2164"/>
      <c r="AS644" s="2164"/>
      <c r="AT644" s="2164"/>
      <c r="AU644" s="2164"/>
      <c r="AV644" s="2164"/>
      <c r="AW644" s="2164"/>
      <c r="AX644" s="2164"/>
      <c r="AY644" s="2164"/>
      <c r="AZ644" s="2164"/>
      <c r="BA644" s="2164"/>
      <c r="BB644" s="2164"/>
      <c r="BC644" s="2164"/>
      <c r="BD644" s="2164"/>
      <c r="BE644" s="2164"/>
      <c r="BF644" s="2164"/>
      <c r="BG644" s="7511"/>
    </row>
    <row customHeight="1" ht="11.25">
      <c r="A645" s="1507" t="s">
        <v>990</v>
      </c>
      <c r="B645" s="1507"/>
      <c r="C645" s="1507"/>
      <c r="D645" s="1501"/>
      <c r="E645" s="1511"/>
      <c r="F645" s="2170"/>
      <c r="G645" s="2171"/>
      <c r="H645" s="2856" t="s">
        <v>147</v>
      </c>
      <c r="I645" s="2857"/>
      <c r="J645" s="2826"/>
      <c r="K645" s="2858"/>
      <c r="L645" s="2448"/>
      <c r="M645" s="2449"/>
      <c r="N645" s="1516"/>
      <c r="O645" s="1517"/>
      <c r="P645" s="1509" t="s">
        <v>1038</v>
      </c>
      <c r="Q645" s="1517"/>
      <c r="R645" s="1517"/>
      <c r="S645" s="1517"/>
      <c r="T645" s="1517"/>
      <c r="U645" s="1517"/>
      <c r="V645" s="1517"/>
      <c r="W645" s="1517"/>
      <c r="X645" s="1517"/>
      <c r="Y645" s="1517"/>
      <c r="Z645" s="1517"/>
      <c r="AA645" s="1517"/>
      <c r="AB645" s="1517"/>
      <c r="AC645" s="1517"/>
      <c r="AD645" s="1517"/>
      <c r="AE645" s="1524"/>
      <c r="AF645" s="2847"/>
      <c r="AG645" s="2848"/>
      <c r="AH645" s="2848"/>
      <c r="AI645" s="2847"/>
      <c r="AJ645" s="2848"/>
      <c r="AK645" s="2848"/>
      <c r="AL645" s="2329"/>
      <c r="AM645" s="2164"/>
      <c r="AN645" s="2164"/>
      <c r="AO645" s="2164"/>
      <c r="AP645" s="2164"/>
      <c r="AQ645" s="2164"/>
      <c r="AR645" s="2164"/>
      <c r="AS645" s="2164"/>
      <c r="AT645" s="2164"/>
      <c r="AU645" s="2164"/>
      <c r="AV645" s="2164"/>
      <c r="AW645" s="2164"/>
      <c r="AX645" s="2164"/>
      <c r="AY645" s="2164"/>
      <c r="AZ645" s="2164"/>
      <c r="BA645" s="2164"/>
      <c r="BB645" s="2164"/>
      <c r="BC645" s="2164"/>
      <c r="BD645" s="2164"/>
      <c r="BE645" s="2164"/>
      <c r="BF645" s="2164"/>
      <c r="BG645" s="7511"/>
    </row>
    <row customHeight="1" ht="11.25">
      <c r="A646" s="1507" t="s">
        <v>990</v>
      </c>
      <c r="B646" s="1507" t="s">
        <v>1022</v>
      </c>
      <c r="C646" s="1507"/>
      <c r="D646" s="1501"/>
      <c r="E646" s="1511"/>
      <c r="F646" s="2170"/>
      <c r="G646" s="7510" t="s">
        <v>684</v>
      </c>
      <c r="H646" s="2856" t="s">
        <v>149</v>
      </c>
      <c r="I646" s="2857" t="s">
        <v>1023</v>
      </c>
      <c r="J646" s="2826" t="s">
        <v>1071</v>
      </c>
      <c r="K646" s="2858" t="s">
        <v>1160</v>
      </c>
      <c r="L646" s="2448" t="s">
        <v>19</v>
      </c>
      <c r="M646" s="2449"/>
      <c r="N646" s="2327"/>
      <c r="O646" s="1518" t="s">
        <v>371</v>
      </c>
      <c r="P646" s="1519"/>
      <c r="Q646" s="1519"/>
      <c r="R646" s="1519"/>
      <c r="S646" s="1519"/>
      <c r="T646" s="1519"/>
      <c r="U646" s="1519"/>
      <c r="V646" s="1519"/>
      <c r="W646" s="1519"/>
      <c r="X646" s="1519"/>
      <c r="Y646" s="1519"/>
      <c r="Z646" s="1519"/>
      <c r="AA646" s="1519"/>
      <c r="AB646" s="1519"/>
      <c r="AC646" s="1519"/>
      <c r="AD646" s="1519"/>
      <c r="AE646" s="1519"/>
      <c r="AF646" s="2847">
        <v>6</v>
      </c>
      <c r="AG646" s="2848" t="s">
        <v>1067</v>
      </c>
      <c r="AH646" s="2848" t="s">
        <v>1104</v>
      </c>
      <c r="AI646" s="2847"/>
      <c r="AJ646" s="2848"/>
      <c r="AK646" s="2848"/>
      <c r="AL646" s="2329"/>
      <c r="AM646" s="2164"/>
      <c r="AN646" s="2164"/>
      <c r="AO646" s="2164"/>
      <c r="AP646" s="2164"/>
      <c r="AQ646" s="2164"/>
      <c r="AR646" s="2164"/>
      <c r="AS646" s="2164"/>
      <c r="AT646" s="2164"/>
      <c r="AU646" s="2164"/>
      <c r="AV646" s="2164"/>
      <c r="AW646" s="2164"/>
      <c r="AX646" s="2164"/>
      <c r="AY646" s="2164"/>
      <c r="AZ646" s="2164"/>
      <c r="BA646" s="2164"/>
      <c r="BB646" s="2164"/>
      <c r="BC646" s="2164"/>
      <c r="BD646" s="2164"/>
      <c r="BE646" s="2164"/>
      <c r="BF646" s="2164"/>
      <c r="BG646" s="7511"/>
    </row>
    <row customHeight="1" ht="11.25">
      <c r="A647" s="1507" t="s">
        <v>990</v>
      </c>
      <c r="B647" s="1507"/>
      <c r="C647" s="1507"/>
      <c r="D647" s="1501"/>
      <c r="E647" s="1511"/>
      <c r="F647" s="2170"/>
      <c r="G647" s="2171"/>
      <c r="H647" s="2856" t="s">
        <v>148</v>
      </c>
      <c r="I647" s="2857"/>
      <c r="J647" s="2826"/>
      <c r="K647" s="2858"/>
      <c r="L647" s="2448"/>
      <c r="M647" s="2449"/>
      <c r="N647" s="2849"/>
      <c r="O647" s="2850">
        <v>1</v>
      </c>
      <c r="P647" s="2851" t="s">
        <v>65</v>
      </c>
      <c r="Q647" s="7512" t="s">
        <v>1161</v>
      </c>
      <c r="R647" s="7513" t="s">
        <v>1083</v>
      </c>
      <c r="S647" s="7513" t="s">
        <v>1162</v>
      </c>
      <c r="T647" s="7513" t="s">
        <v>1163</v>
      </c>
      <c r="U647" s="7513" t="s">
        <v>1164</v>
      </c>
      <c r="V647" s="7513" t="s">
        <v>1165</v>
      </c>
      <c r="W647" s="7513" t="s">
        <v>1166</v>
      </c>
      <c r="X647" s="7513" t="s">
        <v>1167</v>
      </c>
      <c r="Y647" s="7513" t="s">
        <v>1168</v>
      </c>
      <c r="Z647" s="1516"/>
      <c r="AA647" s="1517"/>
      <c r="AB647" s="1517"/>
      <c r="AC647" s="1521"/>
      <c r="AD647" s="1521"/>
      <c r="AE647" s="1522"/>
      <c r="AF647" s="2847"/>
      <c r="AG647" s="2848"/>
      <c r="AH647" s="2848"/>
      <c r="AI647" s="2847"/>
      <c r="AJ647" s="2848"/>
      <c r="AK647" s="2848"/>
      <c r="AL647" s="2329"/>
      <c r="AM647" s="2164"/>
      <c r="AN647" s="2164"/>
      <c r="AO647" s="2164"/>
      <c r="AP647" s="2164"/>
      <c r="AQ647" s="2164"/>
      <c r="AR647" s="2164"/>
      <c r="AS647" s="2164"/>
      <c r="AT647" s="2164"/>
      <c r="AU647" s="2164"/>
      <c r="AV647" s="2164"/>
      <c r="AW647" s="2164"/>
      <c r="AX647" s="2164"/>
      <c r="AY647" s="2164"/>
      <c r="AZ647" s="2164"/>
      <c r="BA647" s="2164"/>
      <c r="BB647" s="2164"/>
      <c r="BC647" s="2164"/>
      <c r="BD647" s="2164"/>
      <c r="BE647" s="2164"/>
      <c r="BF647" s="2164"/>
      <c r="BG647" s="7511"/>
    </row>
    <row customHeight="1" ht="11.25">
      <c r="A648" s="1507" t="s">
        <v>990</v>
      </c>
      <c r="B648" s="1507"/>
      <c r="C648" s="1507"/>
      <c r="D648" s="1501"/>
      <c r="E648" s="1511"/>
      <c r="F648" s="2170"/>
      <c r="G648" s="2171"/>
      <c r="H648" s="2856" t="s">
        <v>148</v>
      </c>
      <c r="I648" s="2857"/>
      <c r="J648" s="2826"/>
      <c r="K648" s="2858"/>
      <c r="L648" s="2448"/>
      <c r="M648" s="2449"/>
      <c r="N648" s="2849"/>
      <c r="O648" s="2850"/>
      <c r="P648" s="2852"/>
      <c r="Q648" s="7512"/>
      <c r="R648" s="2854"/>
      <c r="S648" s="2855"/>
      <c r="T648" s="2854"/>
      <c r="U648" s="2854"/>
      <c r="V648" s="2854"/>
      <c r="W648" s="2854"/>
      <c r="X648" s="2854"/>
      <c r="Y648" s="2854"/>
      <c r="Z648" s="2169"/>
      <c r="AA648" s="2135">
        <v>1</v>
      </c>
      <c r="AB648" s="1520" t="s">
        <v>1035</v>
      </c>
      <c r="AC648" s="1510">
        <v>22904.48</v>
      </c>
      <c r="AD648" s="1520" t="str">
        <f>AB648</f>
        <v>      Амортизационные отчисления с выделением результатов переоценки основных средств и нематериальных активов</v>
      </c>
      <c r="AE648" s="1510"/>
      <c r="AF648" s="2847"/>
      <c r="AG648" s="2848"/>
      <c r="AH648" s="2848"/>
      <c r="AI648" s="2847"/>
      <c r="AJ648" s="2848"/>
      <c r="AK648" s="2848"/>
      <c r="AL648" s="2329"/>
      <c r="AM648" s="2164"/>
      <c r="AN648" s="2164"/>
      <c r="AO648" s="2164"/>
      <c r="AP648" s="2164"/>
      <c r="AQ648" s="2164"/>
      <c r="AR648" s="2164"/>
      <c r="AS648" s="2164"/>
      <c r="AT648" s="2164"/>
      <c r="AU648" s="2164"/>
      <c r="AV648" s="2164"/>
      <c r="AW648" s="2164"/>
      <c r="AX648" s="2164"/>
      <c r="AY648" s="2164"/>
      <c r="AZ648" s="2164"/>
      <c r="BA648" s="2164"/>
      <c r="BB648" s="2164"/>
      <c r="BC648" s="2164"/>
      <c r="BD648" s="2164"/>
      <c r="BE648" s="2164"/>
      <c r="BF648" s="2164"/>
      <c r="BG648" s="7511"/>
    </row>
    <row customHeight="1" ht="11.25">
      <c r="A649" s="1507" t="s">
        <v>990</v>
      </c>
      <c r="B649" s="1507"/>
      <c r="C649" s="1507"/>
      <c r="D649" s="1501"/>
      <c r="E649" s="1511"/>
      <c r="F649" s="2171"/>
      <c r="G649" s="2171"/>
      <c r="H649" s="2171"/>
      <c r="I649" s="2171"/>
      <c r="J649" s="2171"/>
      <c r="K649" s="2171"/>
      <c r="L649" s="2171"/>
      <c r="M649" s="2171"/>
      <c r="N649" s="2171"/>
      <c r="O649" s="2171"/>
      <c r="P649" s="2171"/>
      <c r="Q649" s="2171"/>
      <c r="R649" s="2171"/>
      <c r="S649" s="2171"/>
      <c r="T649" s="2171"/>
      <c r="U649" s="2171"/>
      <c r="V649" s="2171"/>
      <c r="W649" s="2171"/>
      <c r="X649" s="2171"/>
      <c r="Y649" s="2171"/>
      <c r="Z649" s="7510" t="s">
        <v>684</v>
      </c>
      <c r="AA649" s="2155" t="s">
        <v>107</v>
      </c>
      <c r="AB649" s="1520" t="s">
        <v>1036</v>
      </c>
      <c r="AC649" s="1510">
        <v>4122.8064</v>
      </c>
      <c r="AD649" s="1520" t="str">
        <f>AB649</f>
        <v>  Прочие собственные средства</v>
      </c>
      <c r="AE649" s="1510"/>
      <c r="AF649" s="2172"/>
      <c r="AG649" s="2100"/>
      <c r="AH649" s="2100"/>
      <c r="AI649" s="2172"/>
      <c r="AJ649" s="2100"/>
      <c r="AK649" s="2328"/>
      <c r="AL649" s="2329"/>
      <c r="AM649" s="2164"/>
      <c r="AN649" s="2164"/>
      <c r="AO649" s="2164"/>
      <c r="AP649" s="2164"/>
      <c r="AQ649" s="2164"/>
      <c r="AR649" s="2164"/>
      <c r="AS649" s="2164"/>
      <c r="AT649" s="2164"/>
      <c r="AU649" s="2164"/>
      <c r="AV649" s="2164"/>
      <c r="AW649" s="2164"/>
      <c r="AX649" s="2164"/>
      <c r="AY649" s="2164"/>
      <c r="AZ649" s="2164"/>
      <c r="BA649" s="2164"/>
      <c r="BB649" s="2164"/>
      <c r="BC649" s="2164"/>
      <c r="BD649" s="2164"/>
      <c r="BE649" s="2164"/>
      <c r="BF649" s="2164"/>
      <c r="BG649" s="7511"/>
    </row>
    <row customHeight="1" ht="11.25">
      <c r="A650" s="1507" t="s">
        <v>990</v>
      </c>
      <c r="B650" s="1507"/>
      <c r="C650" s="1507"/>
      <c r="D650" s="1501"/>
      <c r="E650" s="1511"/>
      <c r="F650" s="2170"/>
      <c r="G650" s="2171"/>
      <c r="H650" s="2856" t="s">
        <v>148</v>
      </c>
      <c r="I650" s="2857"/>
      <c r="J650" s="2826"/>
      <c r="K650" s="2858"/>
      <c r="L650" s="2448"/>
      <c r="M650" s="2449"/>
      <c r="N650" s="2849"/>
      <c r="O650" s="2850"/>
      <c r="P650" s="2853"/>
      <c r="Q650" s="7512"/>
      <c r="R650" s="2854"/>
      <c r="S650" s="2855"/>
      <c r="T650" s="2854"/>
      <c r="U650" s="2854"/>
      <c r="V650" s="2854"/>
      <c r="W650" s="2854"/>
      <c r="X650" s="2854"/>
      <c r="Y650" s="2854"/>
      <c r="Z650" s="1516"/>
      <c r="AA650" s="1517"/>
      <c r="AB650" s="1582" t="s">
        <v>1037</v>
      </c>
      <c r="AC650" s="1521"/>
      <c r="AD650" s="1521"/>
      <c r="AE650" s="1523"/>
      <c r="AF650" s="2847"/>
      <c r="AG650" s="2848"/>
      <c r="AH650" s="2848"/>
      <c r="AI650" s="2847"/>
      <c r="AJ650" s="2848"/>
      <c r="AK650" s="2848"/>
      <c r="AL650" s="2329"/>
      <c r="AM650" s="2164"/>
      <c r="AN650" s="2164"/>
      <c r="AO650" s="2164"/>
      <c r="AP650" s="2164"/>
      <c r="AQ650" s="2164"/>
      <c r="AR650" s="2164"/>
      <c r="AS650" s="2164"/>
      <c r="AT650" s="2164"/>
      <c r="AU650" s="2164"/>
      <c r="AV650" s="2164"/>
      <c r="AW650" s="2164"/>
      <c r="AX650" s="2164"/>
      <c r="AY650" s="2164"/>
      <c r="AZ650" s="2164"/>
      <c r="BA650" s="2164"/>
      <c r="BB650" s="2164"/>
      <c r="BC650" s="2164"/>
      <c r="BD650" s="2164"/>
      <c r="BE650" s="2164"/>
      <c r="BF650" s="2164"/>
      <c r="BG650" s="7511"/>
    </row>
    <row customHeight="1" ht="11.25">
      <c r="A651" s="1507" t="s">
        <v>990</v>
      </c>
      <c r="B651" s="1507"/>
      <c r="C651" s="1507"/>
      <c r="D651" s="1501"/>
      <c r="E651" s="1511"/>
      <c r="F651" s="2170"/>
      <c r="G651" s="2171"/>
      <c r="H651" s="2856" t="s">
        <v>148</v>
      </c>
      <c r="I651" s="2857"/>
      <c r="J651" s="2826"/>
      <c r="K651" s="2858"/>
      <c r="L651" s="2448"/>
      <c r="M651" s="2449"/>
      <c r="N651" s="1516"/>
      <c r="O651" s="1517"/>
      <c r="P651" s="1509" t="s">
        <v>1038</v>
      </c>
      <c r="Q651" s="1517"/>
      <c r="R651" s="1517"/>
      <c r="S651" s="1517"/>
      <c r="T651" s="1517"/>
      <c r="U651" s="1517"/>
      <c r="V651" s="1517"/>
      <c r="W651" s="1517"/>
      <c r="X651" s="1517"/>
      <c r="Y651" s="1517"/>
      <c r="Z651" s="1517"/>
      <c r="AA651" s="1517"/>
      <c r="AB651" s="1517"/>
      <c r="AC651" s="1517"/>
      <c r="AD651" s="1517"/>
      <c r="AE651" s="1524"/>
      <c r="AF651" s="2847"/>
      <c r="AG651" s="2848"/>
      <c r="AH651" s="2848"/>
      <c r="AI651" s="2847"/>
      <c r="AJ651" s="2848"/>
      <c r="AK651" s="2848"/>
      <c r="AL651" s="2329"/>
      <c r="AM651" s="2164"/>
      <c r="AN651" s="2164"/>
      <c r="AO651" s="2164"/>
      <c r="AP651" s="2164"/>
      <c r="AQ651" s="2164"/>
      <c r="AR651" s="2164"/>
      <c r="AS651" s="2164"/>
      <c r="AT651" s="2164"/>
      <c r="AU651" s="2164"/>
      <c r="AV651" s="2164"/>
      <c r="AW651" s="2164"/>
      <c r="AX651" s="2164"/>
      <c r="AY651" s="2164"/>
      <c r="AZ651" s="2164"/>
      <c r="BA651" s="2164"/>
      <c r="BB651" s="2164"/>
      <c r="BC651" s="2164"/>
      <c r="BD651" s="2164"/>
      <c r="BE651" s="2164"/>
      <c r="BF651" s="2164"/>
      <c r="BG651" s="7511"/>
    </row>
    <row customHeight="1" ht="11.25">
      <c r="A652" s="1507" t="s">
        <v>990</v>
      </c>
      <c r="B652" s="1507" t="s">
        <v>22</v>
      </c>
      <c r="C652" s="1507"/>
      <c r="D652" s="1501"/>
      <c r="E652" s="1511"/>
      <c r="F652" s="2170"/>
      <c r="G652" s="7510" t="s">
        <v>684</v>
      </c>
      <c r="H652" s="2856" t="s">
        <v>150</v>
      </c>
      <c r="I652" s="2857" t="s">
        <v>1039</v>
      </c>
      <c r="J652" s="7514" t="s">
        <v>22</v>
      </c>
      <c r="K652" s="2858" t="s">
        <v>1174</v>
      </c>
      <c r="L652" s="2448" t="s">
        <v>19</v>
      </c>
      <c r="M652" s="2449"/>
      <c r="N652" s="2327"/>
      <c r="O652" s="1518" t="s">
        <v>371</v>
      </c>
      <c r="P652" s="1519"/>
      <c r="Q652" s="1519"/>
      <c r="R652" s="1519"/>
      <c r="S652" s="1519"/>
      <c r="T652" s="1519"/>
      <c r="U652" s="1519"/>
      <c r="V652" s="1519"/>
      <c r="W652" s="1519"/>
      <c r="X652" s="1519"/>
      <c r="Y652" s="1519"/>
      <c r="Z652" s="1519"/>
      <c r="AA652" s="1519"/>
      <c r="AB652" s="1519"/>
      <c r="AC652" s="1519"/>
      <c r="AD652" s="1519"/>
      <c r="AE652" s="1519"/>
      <c r="AF652" s="2847">
        <v>1</v>
      </c>
      <c r="AG652" s="2848" t="s">
        <v>1026</v>
      </c>
      <c r="AH652" s="2848" t="s">
        <v>1027</v>
      </c>
      <c r="AI652" s="2847"/>
      <c r="AJ652" s="2848"/>
      <c r="AK652" s="2848"/>
      <c r="AL652" s="2329"/>
      <c r="AM652" s="2164"/>
      <c r="AN652" s="2164"/>
      <c r="AO652" s="2164"/>
      <c r="AP652" s="2164"/>
      <c r="AQ652" s="2164"/>
      <c r="AR652" s="2164"/>
      <c r="AS652" s="2164"/>
      <c r="AT652" s="2164"/>
      <c r="AU652" s="2164"/>
      <c r="AV652" s="2164"/>
      <c r="AW652" s="2164"/>
      <c r="AX652" s="2164"/>
      <c r="AY652" s="2164"/>
      <c r="AZ652" s="2164"/>
      <c r="BA652" s="2164"/>
      <c r="BB652" s="2164"/>
      <c r="BC652" s="2164"/>
      <c r="BD652" s="2164"/>
      <c r="BE652" s="2164"/>
      <c r="BF652" s="2164"/>
      <c r="BG652" s="7511"/>
    </row>
    <row customHeight="1" ht="11.25">
      <c r="A653" s="1507" t="s">
        <v>990</v>
      </c>
      <c r="B653" s="1507"/>
      <c r="C653" s="1507"/>
      <c r="D653" s="1501"/>
      <c r="E653" s="1511"/>
      <c r="F653" s="2170"/>
      <c r="G653" s="2171"/>
      <c r="H653" s="2856" t="s">
        <v>149</v>
      </c>
      <c r="I653" s="2857"/>
      <c r="J653" s="7514"/>
      <c r="K653" s="2858"/>
      <c r="L653" s="2448"/>
      <c r="M653" s="2449"/>
      <c r="N653" s="2849"/>
      <c r="O653" s="2850">
        <v>1</v>
      </c>
      <c r="P653" s="2851" t="s">
        <v>19</v>
      </c>
      <c r="Q653" s="2854" t="s">
        <v>22</v>
      </c>
      <c r="R653" s="2854" t="s">
        <v>22</v>
      </c>
      <c r="S653" s="2854" t="s">
        <v>22</v>
      </c>
      <c r="T653" s="2854" t="s">
        <v>22</v>
      </c>
      <c r="U653" s="2854" t="s">
        <v>22</v>
      </c>
      <c r="V653" s="2854" t="s">
        <v>22</v>
      </c>
      <c r="W653" s="2854" t="s">
        <v>22</v>
      </c>
      <c r="X653" s="2854" t="s">
        <v>22</v>
      </c>
      <c r="Y653" s="2854"/>
      <c r="Z653" s="1516"/>
      <c r="AA653" s="1517"/>
      <c r="AB653" s="1517"/>
      <c r="AC653" s="1521"/>
      <c r="AD653" s="1521"/>
      <c r="AE653" s="1522"/>
      <c r="AF653" s="2847"/>
      <c r="AG653" s="2848"/>
      <c r="AH653" s="2848"/>
      <c r="AI653" s="2847"/>
      <c r="AJ653" s="2848"/>
      <c r="AK653" s="2848"/>
      <c r="AL653" s="2329"/>
      <c r="AM653" s="2164"/>
      <c r="AN653" s="2164"/>
      <c r="AO653" s="2164"/>
      <c r="AP653" s="2164"/>
      <c r="AQ653" s="2164"/>
      <c r="AR653" s="2164"/>
      <c r="AS653" s="2164"/>
      <c r="AT653" s="2164"/>
      <c r="AU653" s="2164"/>
      <c r="AV653" s="2164"/>
      <c r="AW653" s="2164"/>
      <c r="AX653" s="2164"/>
      <c r="AY653" s="2164"/>
      <c r="AZ653" s="2164"/>
      <c r="BA653" s="2164"/>
      <c r="BB653" s="2164"/>
      <c r="BC653" s="2164"/>
      <c r="BD653" s="2164"/>
      <c r="BE653" s="2164"/>
      <c r="BF653" s="2164"/>
      <c r="BG653" s="7511"/>
    </row>
    <row customHeight="1" ht="11.25">
      <c r="A654" s="1507" t="s">
        <v>990</v>
      </c>
      <c r="B654" s="1507"/>
      <c r="C654" s="1507"/>
      <c r="D654" s="1501"/>
      <c r="E654" s="1511"/>
      <c r="F654" s="2170"/>
      <c r="G654" s="2171"/>
      <c r="H654" s="2856" t="s">
        <v>149</v>
      </c>
      <c r="I654" s="2857"/>
      <c r="J654" s="7514"/>
      <c r="K654" s="2858"/>
      <c r="L654" s="2448"/>
      <c r="M654" s="2449"/>
      <c r="N654" s="2849"/>
      <c r="O654" s="2850"/>
      <c r="P654" s="2852"/>
      <c r="Q654" s="2854"/>
      <c r="R654" s="2854"/>
      <c r="S654" s="2855"/>
      <c r="T654" s="2854"/>
      <c r="U654" s="2854"/>
      <c r="V654" s="2854"/>
      <c r="W654" s="2854"/>
      <c r="X654" s="2854"/>
      <c r="Y654" s="2854"/>
      <c r="Z654" s="2169"/>
      <c r="AA654" s="2135">
        <v>1</v>
      </c>
      <c r="AB654" s="1520" t="s">
        <v>1035</v>
      </c>
      <c r="AC654" s="1510">
        <v>9176.51822</v>
      </c>
      <c r="AD654" s="1520" t="str">
        <f>AB654</f>
        <v>      Амортизационные отчисления с выделением результатов переоценки основных средств и нематериальных активов</v>
      </c>
      <c r="AE654" s="1510"/>
      <c r="AF654" s="2847"/>
      <c r="AG654" s="2848"/>
      <c r="AH654" s="2848"/>
      <c r="AI654" s="2847"/>
      <c r="AJ654" s="2848"/>
      <c r="AK654" s="2848"/>
      <c r="AL654" s="2329"/>
      <c r="AM654" s="2164"/>
      <c r="AN654" s="2164"/>
      <c r="AO654" s="2164"/>
      <c r="AP654" s="2164"/>
      <c r="AQ654" s="2164"/>
      <c r="AR654" s="2164"/>
      <c r="AS654" s="2164"/>
      <c r="AT654" s="2164"/>
      <c r="AU654" s="2164"/>
      <c r="AV654" s="2164"/>
      <c r="AW654" s="2164"/>
      <c r="AX654" s="2164"/>
      <c r="AY654" s="2164"/>
      <c r="AZ654" s="2164"/>
      <c r="BA654" s="2164"/>
      <c r="BB654" s="2164"/>
      <c r="BC654" s="2164"/>
      <c r="BD654" s="2164"/>
      <c r="BE654" s="2164"/>
      <c r="BF654" s="2164"/>
      <c r="BG654" s="7511"/>
    </row>
    <row customHeight="1" ht="11.25">
      <c r="A655" s="1507" t="s">
        <v>990</v>
      </c>
      <c r="B655" s="1507"/>
      <c r="C655" s="1507"/>
      <c r="D655" s="1501"/>
      <c r="E655" s="1511"/>
      <c r="F655" s="2171"/>
      <c r="G655" s="2171"/>
      <c r="H655" s="2171"/>
      <c r="I655" s="2171"/>
      <c r="J655" s="2171"/>
      <c r="K655" s="2171"/>
      <c r="L655" s="2171"/>
      <c r="M655" s="2171"/>
      <c r="N655" s="2171"/>
      <c r="O655" s="2171"/>
      <c r="P655" s="2171"/>
      <c r="Q655" s="2171"/>
      <c r="R655" s="2171"/>
      <c r="S655" s="2171"/>
      <c r="T655" s="2171"/>
      <c r="U655" s="2171"/>
      <c r="V655" s="2171"/>
      <c r="W655" s="2171"/>
      <c r="X655" s="2171"/>
      <c r="Y655" s="2171"/>
      <c r="Z655" s="7510" t="s">
        <v>684</v>
      </c>
      <c r="AA655" s="2155" t="s">
        <v>107</v>
      </c>
      <c r="AB655" s="1520" t="s">
        <v>1036</v>
      </c>
      <c r="AC655" s="1510">
        <v>1835.30364</v>
      </c>
      <c r="AD655" s="1520" t="str">
        <f>AB655</f>
        <v>  Прочие собственные средства</v>
      </c>
      <c r="AE655" s="1510"/>
      <c r="AF655" s="2172"/>
      <c r="AG655" s="2100"/>
      <c r="AH655" s="2100"/>
      <c r="AI655" s="2172"/>
      <c r="AJ655" s="2100"/>
      <c r="AK655" s="2328"/>
      <c r="AL655" s="2329"/>
      <c r="AM655" s="2164"/>
      <c r="AN655" s="2164"/>
      <c r="AO655" s="2164"/>
      <c r="AP655" s="2164"/>
      <c r="AQ655" s="2164"/>
      <c r="AR655" s="2164"/>
      <c r="AS655" s="2164"/>
      <c r="AT655" s="2164"/>
      <c r="AU655" s="2164"/>
      <c r="AV655" s="2164"/>
      <c r="AW655" s="2164"/>
      <c r="AX655" s="2164"/>
      <c r="AY655" s="2164"/>
      <c r="AZ655" s="2164"/>
      <c r="BA655" s="2164"/>
      <c r="BB655" s="2164"/>
      <c r="BC655" s="2164"/>
      <c r="BD655" s="2164"/>
      <c r="BE655" s="2164"/>
      <c r="BF655" s="2164"/>
      <c r="BG655" s="7511"/>
    </row>
    <row customHeight="1" ht="11.25">
      <c r="A656" s="1507" t="s">
        <v>990</v>
      </c>
      <c r="B656" s="1507"/>
      <c r="C656" s="1507"/>
      <c r="D656" s="1501"/>
      <c r="E656" s="1511"/>
      <c r="F656" s="2170"/>
      <c r="G656" s="2171"/>
      <c r="H656" s="2856" t="s">
        <v>149</v>
      </c>
      <c r="I656" s="2857"/>
      <c r="J656" s="7514"/>
      <c r="K656" s="2858"/>
      <c r="L656" s="2448"/>
      <c r="M656" s="2449"/>
      <c r="N656" s="2849"/>
      <c r="O656" s="2850"/>
      <c r="P656" s="2853"/>
      <c r="Q656" s="2854"/>
      <c r="R656" s="2854"/>
      <c r="S656" s="2855"/>
      <c r="T656" s="2854"/>
      <c r="U656" s="2854"/>
      <c r="V656" s="2854"/>
      <c r="W656" s="2854"/>
      <c r="X656" s="2854"/>
      <c r="Y656" s="2854"/>
      <c r="Z656" s="1516"/>
      <c r="AA656" s="1517"/>
      <c r="AB656" s="1582" t="s">
        <v>1037</v>
      </c>
      <c r="AC656" s="1521"/>
      <c r="AD656" s="1521"/>
      <c r="AE656" s="1523"/>
      <c r="AF656" s="2847"/>
      <c r="AG656" s="2848"/>
      <c r="AH656" s="2848"/>
      <c r="AI656" s="2847"/>
      <c r="AJ656" s="2848"/>
      <c r="AK656" s="2848"/>
      <c r="AL656" s="2329"/>
      <c r="AM656" s="2164"/>
      <c r="AN656" s="2164"/>
      <c r="AO656" s="2164"/>
      <c r="AP656" s="2164"/>
      <c r="AQ656" s="2164"/>
      <c r="AR656" s="2164"/>
      <c r="AS656" s="2164"/>
      <c r="AT656" s="2164"/>
      <c r="AU656" s="2164"/>
      <c r="AV656" s="2164"/>
      <c r="AW656" s="2164"/>
      <c r="AX656" s="2164"/>
      <c r="AY656" s="2164"/>
      <c r="AZ656" s="2164"/>
      <c r="BA656" s="2164"/>
      <c r="BB656" s="2164"/>
      <c r="BC656" s="2164"/>
      <c r="BD656" s="2164"/>
      <c r="BE656" s="2164"/>
      <c r="BF656" s="2164"/>
      <c r="BG656" s="7511"/>
    </row>
    <row customHeight="1" ht="11.25">
      <c r="A657" s="1507" t="s">
        <v>990</v>
      </c>
      <c r="B657" s="1507"/>
      <c r="C657" s="1507"/>
      <c r="D657" s="1501"/>
      <c r="E657" s="1511"/>
      <c r="F657" s="2170"/>
      <c r="G657" s="2171"/>
      <c r="H657" s="2856" t="s">
        <v>149</v>
      </c>
      <c r="I657" s="2857"/>
      <c r="J657" s="7514"/>
      <c r="K657" s="2858"/>
      <c r="L657" s="2448"/>
      <c r="M657" s="2449"/>
      <c r="N657" s="1516"/>
      <c r="O657" s="1517"/>
      <c r="P657" s="1509" t="s">
        <v>1038</v>
      </c>
      <c r="Q657" s="1517"/>
      <c r="R657" s="1517"/>
      <c r="S657" s="1517"/>
      <c r="T657" s="1517"/>
      <c r="U657" s="1517"/>
      <c r="V657" s="1517"/>
      <c r="W657" s="1517"/>
      <c r="X657" s="1517"/>
      <c r="Y657" s="1517"/>
      <c r="Z657" s="1517"/>
      <c r="AA657" s="1517"/>
      <c r="AB657" s="1517"/>
      <c r="AC657" s="1517"/>
      <c r="AD657" s="1517"/>
      <c r="AE657" s="1524"/>
      <c r="AF657" s="2847"/>
      <c r="AG657" s="2848"/>
      <c r="AH657" s="2848"/>
      <c r="AI657" s="2847"/>
      <c r="AJ657" s="2848"/>
      <c r="AK657" s="2848"/>
      <c r="AL657" s="2329"/>
      <c r="AM657" s="2164"/>
      <c r="AN657" s="2164"/>
      <c r="AO657" s="2164"/>
      <c r="AP657" s="2164"/>
      <c r="AQ657" s="2164"/>
      <c r="AR657" s="2164"/>
      <c r="AS657" s="2164"/>
      <c r="AT657" s="2164"/>
      <c r="AU657" s="2164"/>
      <c r="AV657" s="2164"/>
      <c r="AW657" s="2164"/>
      <c r="AX657" s="2164"/>
      <c r="AY657" s="2164"/>
      <c r="AZ657" s="2164"/>
      <c r="BA657" s="2164"/>
      <c r="BB657" s="2164"/>
      <c r="BC657" s="2164"/>
      <c r="BD657" s="2164"/>
      <c r="BE657" s="2164"/>
      <c r="BF657" s="2164"/>
      <c r="BG657" s="7511"/>
    </row>
    <row customHeight="1" ht="12">
      <c r="A658" s="1507" t="s">
        <v>990</v>
      </c>
      <c r="B658" s="1507"/>
      <c r="C658" s="1507"/>
      <c r="D658" s="1501"/>
      <c r="E658" s="1511"/>
      <c r="F658" s="2878"/>
      <c r="G658" s="1531"/>
      <c r="H658" s="1531"/>
      <c r="I658" s="2876" t="s">
        <v>1179</v>
      </c>
      <c r="J658" s="2876"/>
      <c r="K658" s="2876"/>
      <c r="L658" s="1514"/>
      <c r="M658" s="1514"/>
      <c r="N658" s="1515"/>
      <c r="O658" s="1515"/>
      <c r="P658" s="1515"/>
      <c r="Q658" s="1515"/>
      <c r="R658" s="1515"/>
      <c r="S658" s="1515"/>
      <c r="T658" s="1515"/>
      <c r="U658" s="1515"/>
      <c r="V658" s="1515"/>
      <c r="W658" s="1515"/>
      <c r="X658" s="1515"/>
      <c r="Y658" s="1515"/>
      <c r="Z658" s="1515"/>
      <c r="AA658" s="1515"/>
      <c r="AB658" s="1515"/>
      <c r="AC658" s="1515"/>
      <c r="AD658" s="1515"/>
      <c r="AE658" s="1515"/>
      <c r="AF658" s="1515"/>
      <c r="AG658" s="1514"/>
      <c r="AH658" s="1514"/>
      <c r="AI658" s="1515"/>
      <c r="AJ658" s="1514"/>
      <c r="AK658" s="1515"/>
      <c r="AL658" s="2329"/>
      <c r="AM658" s="2164"/>
      <c r="AN658" s="2164"/>
      <c r="AO658" s="2164"/>
      <c r="AP658" s="2164"/>
      <c r="AQ658" s="2164"/>
      <c r="AR658" s="2164"/>
      <c r="AS658" s="2164"/>
      <c r="AT658" s="2164"/>
      <c r="AU658" s="2164"/>
      <c r="AV658" s="2164"/>
      <c r="AW658" s="2164"/>
      <c r="AX658" s="2164"/>
      <c r="AY658" s="2164"/>
      <c r="AZ658" s="2164"/>
      <c r="BA658" s="2164"/>
      <c r="BB658" s="2164"/>
      <c r="BC658" s="2164"/>
      <c r="BD658" s="2164"/>
      <c r="BE658" s="2164"/>
      <c r="BF658" s="2164"/>
      <c r="BG658" s="4573"/>
    </row>
    <row customHeight="1" ht="0.75">
      <c r="A659" s="1507" t="s">
        <v>990</v>
      </c>
      <c r="B659" s="1507"/>
      <c r="C659" s="1507"/>
      <c r="D659" s="1501"/>
      <c r="E659" s="1511"/>
      <c r="F659" s="2877">
        <v>2028</v>
      </c>
      <c r="G659" s="2856"/>
      <c r="H659" s="2881" t="s">
        <v>371</v>
      </c>
      <c r="I659" s="2882"/>
      <c r="J659" s="2883"/>
      <c r="K659" s="2883"/>
      <c r="L659" s="2875"/>
      <c r="M659" s="2609"/>
      <c r="N659" s="2377"/>
      <c r="O659" s="2376"/>
      <c r="P659" s="2377"/>
      <c r="Q659" s="2377"/>
      <c r="R659" s="2377"/>
      <c r="S659" s="2377"/>
      <c r="T659" s="2377"/>
      <c r="U659" s="2377"/>
      <c r="V659" s="2377"/>
      <c r="W659" s="2377"/>
      <c r="X659" s="2377"/>
      <c r="Y659" s="2377"/>
      <c r="Z659" s="2377"/>
      <c r="AA659" s="2377"/>
      <c r="AB659" s="2377"/>
      <c r="AC659" s="2377"/>
      <c r="AD659" s="2377"/>
      <c r="AE659" s="2377"/>
      <c r="AF659" s="2879"/>
      <c r="AG659" s="2875"/>
      <c r="AH659" s="2875"/>
      <c r="AI659" s="2879"/>
      <c r="AJ659" s="2875"/>
      <c r="AK659" s="2875"/>
      <c r="AL659" s="2329"/>
      <c r="AM659" s="2164"/>
      <c r="AN659" s="2164"/>
      <c r="AO659" s="2164"/>
      <c r="AP659" s="2164"/>
      <c r="AQ659" s="2164"/>
      <c r="AR659" s="2164"/>
      <c r="AS659" s="2164"/>
      <c r="AT659" s="2164"/>
      <c r="AU659" s="2164"/>
      <c r="AV659" s="2164"/>
      <c r="AW659" s="2164"/>
      <c r="AX659" s="2164"/>
      <c r="AY659" s="2164"/>
      <c r="AZ659" s="2164"/>
      <c r="BA659" s="2164"/>
      <c r="BB659" s="2164"/>
      <c r="BC659" s="2164"/>
      <c r="BD659" s="2164"/>
      <c r="BE659" s="2164"/>
      <c r="BF659" s="2164"/>
      <c r="BG659" s="4573"/>
    </row>
    <row customHeight="1" ht="0.75">
      <c r="A660" s="1507" t="s">
        <v>990</v>
      </c>
      <c r="B660" s="1507"/>
      <c r="C660" s="1507"/>
      <c r="D660" s="1501"/>
      <c r="E660" s="1511"/>
      <c r="F660" s="2877"/>
      <c r="G660" s="2856"/>
      <c r="H660" s="2881"/>
      <c r="I660" s="2882"/>
      <c r="J660" s="2883"/>
      <c r="K660" s="2883"/>
      <c r="L660" s="2875"/>
      <c r="M660" s="2609"/>
      <c r="N660" s="2884"/>
      <c r="O660" s="2885"/>
      <c r="P660" s="2929"/>
      <c r="Q660" s="2880"/>
      <c r="R660" s="2880"/>
      <c r="S660" s="2880"/>
      <c r="T660" s="2880"/>
      <c r="U660" s="2880"/>
      <c r="V660" s="2880"/>
      <c r="W660" s="2880"/>
      <c r="X660" s="2880"/>
      <c r="Y660" s="2880"/>
      <c r="Z660" s="2378"/>
      <c r="AA660" s="2379"/>
      <c r="AB660" s="2379"/>
      <c r="AC660" s="2380"/>
      <c r="AD660" s="2380"/>
      <c r="AE660" s="2381"/>
      <c r="AF660" s="2879"/>
      <c r="AG660" s="2875"/>
      <c r="AH660" s="2875"/>
      <c r="AI660" s="2879"/>
      <c r="AJ660" s="2875"/>
      <c r="AK660" s="2875"/>
      <c r="AL660" s="2329"/>
      <c r="AM660" s="2164"/>
      <c r="AN660" s="2164"/>
      <c r="AO660" s="2164"/>
      <c r="AP660" s="2164"/>
      <c r="AQ660" s="2164"/>
      <c r="AR660" s="2164"/>
      <c r="AS660" s="2164"/>
      <c r="AT660" s="2164"/>
      <c r="AU660" s="2164"/>
      <c r="AV660" s="2164"/>
      <c r="AW660" s="2164"/>
      <c r="AX660" s="2164"/>
      <c r="AY660" s="2164"/>
      <c r="AZ660" s="2164"/>
      <c r="BA660" s="2164"/>
      <c r="BB660" s="2164"/>
      <c r="BC660" s="2164"/>
      <c r="BD660" s="2164"/>
      <c r="BE660" s="2164"/>
      <c r="BF660" s="2164"/>
      <c r="BG660" s="4573"/>
    </row>
    <row customHeight="1" ht="0.75">
      <c r="A661" s="1507" t="s">
        <v>990</v>
      </c>
      <c r="B661" s="1507"/>
      <c r="C661" s="1507"/>
      <c r="D661" s="1501"/>
      <c r="E661" s="1511"/>
      <c r="F661" s="2877"/>
      <c r="G661" s="2856"/>
      <c r="H661" s="2881"/>
      <c r="I661" s="2882"/>
      <c r="J661" s="2883"/>
      <c r="K661" s="2883"/>
      <c r="L661" s="2875"/>
      <c r="M661" s="2609"/>
      <c r="N661" s="2884"/>
      <c r="O661" s="2885"/>
      <c r="P661" s="2930"/>
      <c r="Q661" s="2880"/>
      <c r="R661" s="2880"/>
      <c r="S661" s="2880"/>
      <c r="T661" s="2880"/>
      <c r="U661" s="2880"/>
      <c r="V661" s="2880"/>
      <c r="W661" s="2880"/>
      <c r="X661" s="2880"/>
      <c r="Y661" s="2880"/>
      <c r="Z661" s="2382"/>
      <c r="AA661" s="2383"/>
      <c r="AB661" s="2384"/>
      <c r="AC661" s="2385"/>
      <c r="AD661" s="2384"/>
      <c r="AE661" s="2385"/>
      <c r="AF661" s="2879"/>
      <c r="AG661" s="2875"/>
      <c r="AH661" s="2875"/>
      <c r="AI661" s="2879"/>
      <c r="AJ661" s="2875"/>
      <c r="AK661" s="2875"/>
      <c r="AL661" s="2329"/>
      <c r="AM661" s="2164"/>
      <c r="AN661" s="2164"/>
      <c r="AO661" s="2164"/>
      <c r="AP661" s="2164"/>
      <c r="AQ661" s="2164"/>
      <c r="AR661" s="2164"/>
      <c r="AS661" s="2164"/>
      <c r="AT661" s="2164"/>
      <c r="AU661" s="2164"/>
      <c r="AV661" s="2164"/>
      <c r="AW661" s="2164"/>
      <c r="AX661" s="2164"/>
      <c r="AY661" s="2164"/>
      <c r="AZ661" s="2164"/>
      <c r="BA661" s="2164"/>
      <c r="BB661" s="2164"/>
      <c r="BC661" s="2164"/>
      <c r="BD661" s="2164"/>
      <c r="BE661" s="2164"/>
      <c r="BF661" s="2164"/>
      <c r="BG661" s="4573"/>
    </row>
    <row customHeight="1" ht="0.75">
      <c r="A662" s="1507" t="s">
        <v>990</v>
      </c>
      <c r="B662" s="1507"/>
      <c r="C662" s="1507"/>
      <c r="D662" s="1501"/>
      <c r="E662" s="1511"/>
      <c r="F662" s="2877"/>
      <c r="G662" s="2856"/>
      <c r="H662" s="2881"/>
      <c r="I662" s="2882"/>
      <c r="J662" s="2883"/>
      <c r="K662" s="2883"/>
      <c r="L662" s="2875"/>
      <c r="M662" s="2609"/>
      <c r="N662" s="2884"/>
      <c r="O662" s="2885"/>
      <c r="P662" s="2931"/>
      <c r="Q662" s="2880"/>
      <c r="R662" s="2880"/>
      <c r="S662" s="2880"/>
      <c r="T662" s="2880"/>
      <c r="U662" s="2880"/>
      <c r="V662" s="2880"/>
      <c r="W662" s="2880"/>
      <c r="X662" s="2880"/>
      <c r="Y662" s="2880"/>
      <c r="Z662" s="2378"/>
      <c r="AA662" s="2379"/>
      <c r="AB662" s="2386"/>
      <c r="AC662" s="2380"/>
      <c r="AD662" s="2380"/>
      <c r="AE662" s="2387"/>
      <c r="AF662" s="2879"/>
      <c r="AG662" s="2875"/>
      <c r="AH662" s="2875"/>
      <c r="AI662" s="2879"/>
      <c r="AJ662" s="2875"/>
      <c r="AK662" s="2875"/>
      <c r="AL662" s="2329"/>
      <c r="AM662" s="2164"/>
      <c r="AN662" s="2164"/>
      <c r="AO662" s="2164"/>
      <c r="AP662" s="2164"/>
      <c r="AQ662" s="2164"/>
      <c r="AR662" s="2164"/>
      <c r="AS662" s="2164"/>
      <c r="AT662" s="2164"/>
      <c r="AU662" s="2164"/>
      <c r="AV662" s="2164"/>
      <c r="AW662" s="2164"/>
      <c r="AX662" s="2164"/>
      <c r="AY662" s="2164"/>
      <c r="AZ662" s="2164"/>
      <c r="BA662" s="2164"/>
      <c r="BB662" s="2164"/>
      <c r="BC662" s="2164"/>
      <c r="BD662" s="2164"/>
      <c r="BE662" s="2164"/>
      <c r="BF662" s="2164"/>
      <c r="BG662" s="4573"/>
    </row>
    <row customHeight="1" ht="0.75">
      <c r="A663" s="1507" t="s">
        <v>990</v>
      </c>
      <c r="B663" s="1507"/>
      <c r="C663" s="1507"/>
      <c r="D663" s="1501"/>
      <c r="E663" s="1511"/>
      <c r="F663" s="2877"/>
      <c r="G663" s="2856"/>
      <c r="H663" s="2881"/>
      <c r="I663" s="2882"/>
      <c r="J663" s="2883"/>
      <c r="K663" s="2883"/>
      <c r="L663" s="2875"/>
      <c r="M663" s="2609"/>
      <c r="N663" s="2379"/>
      <c r="O663" s="2379"/>
      <c r="P663" s="2386"/>
      <c r="Q663" s="2379"/>
      <c r="R663" s="2379"/>
      <c r="S663" s="2379"/>
      <c r="T663" s="2379"/>
      <c r="U663" s="2379"/>
      <c r="V663" s="2379"/>
      <c r="W663" s="2379"/>
      <c r="X663" s="2379"/>
      <c r="Y663" s="2379"/>
      <c r="Z663" s="2379"/>
      <c r="AA663" s="2379"/>
      <c r="AB663" s="2379"/>
      <c r="AC663" s="2379"/>
      <c r="AD663" s="2379"/>
      <c r="AE663" s="2388"/>
      <c r="AF663" s="2879"/>
      <c r="AG663" s="2875"/>
      <c r="AH663" s="2875"/>
      <c r="AI663" s="2879"/>
      <c r="AJ663" s="2875"/>
      <c r="AK663" s="2875"/>
      <c r="AL663" s="2329"/>
      <c r="AM663" s="2164"/>
      <c r="AN663" s="2164"/>
      <c r="AO663" s="2164"/>
      <c r="AP663" s="2164"/>
      <c r="AQ663" s="2164"/>
      <c r="AR663" s="2164"/>
      <c r="AS663" s="2164"/>
      <c r="AT663" s="2164"/>
      <c r="AU663" s="2164"/>
      <c r="AV663" s="2164"/>
      <c r="AW663" s="2164"/>
      <c r="AX663" s="2164"/>
      <c r="AY663" s="2164"/>
      <c r="AZ663" s="2164"/>
      <c r="BA663" s="2164"/>
      <c r="BB663" s="2164"/>
      <c r="BC663" s="2164"/>
      <c r="BD663" s="2164"/>
      <c r="BE663" s="2164"/>
      <c r="BF663" s="2164"/>
      <c r="BG663" s="4573"/>
    </row>
    <row customHeight="1" ht="11.25">
      <c r="A664" s="1507" t="s">
        <v>990</v>
      </c>
      <c r="B664" s="1507" t="s">
        <v>1022</v>
      </c>
      <c r="C664" s="1507"/>
      <c r="D664" s="1501"/>
      <c r="E664" s="1511"/>
      <c r="F664" s="2170"/>
      <c r="G664" s="4557" t="s">
        <v>684</v>
      </c>
      <c r="H664" s="2856" t="s">
        <v>106</v>
      </c>
      <c r="I664" s="2857" t="s">
        <v>1023</v>
      </c>
      <c r="J664" s="2826" t="s">
        <v>1024</v>
      </c>
      <c r="K664" s="2858" t="s">
        <v>1186</v>
      </c>
      <c r="L664" s="2448" t="s">
        <v>19</v>
      </c>
      <c r="M664" s="2449"/>
      <c r="N664" s="2327"/>
      <c r="O664" s="1518" t="s">
        <v>371</v>
      </c>
      <c r="P664" s="1519"/>
      <c r="Q664" s="1519"/>
      <c r="R664" s="1519"/>
      <c r="S664" s="1519"/>
      <c r="T664" s="1519"/>
      <c r="U664" s="1519"/>
      <c r="V664" s="1519"/>
      <c r="W664" s="1519"/>
      <c r="X664" s="1519"/>
      <c r="Y664" s="1519"/>
      <c r="Z664" s="1519"/>
      <c r="AA664" s="1519"/>
      <c r="AB664" s="1519"/>
      <c r="AC664" s="1519"/>
      <c r="AD664" s="1519"/>
      <c r="AE664" s="1519"/>
      <c r="AF664" s="2847">
        <v>6</v>
      </c>
      <c r="AG664" s="2848" t="s">
        <v>1026</v>
      </c>
      <c r="AH664" s="2848" t="s">
        <v>1104</v>
      </c>
      <c r="AI664" s="2847"/>
      <c r="AJ664" s="2848"/>
      <c r="AK664" s="2848"/>
      <c r="AL664" s="2329"/>
      <c r="AM664" s="2164"/>
      <c r="AN664" s="2164"/>
      <c r="AO664" s="2164"/>
      <c r="AP664" s="2164"/>
      <c r="AQ664" s="2164"/>
      <c r="AR664" s="2164"/>
      <c r="AS664" s="2164"/>
      <c r="AT664" s="2164"/>
      <c r="AU664" s="2164"/>
      <c r="AV664" s="2164"/>
      <c r="AW664" s="2164"/>
      <c r="AX664" s="2164"/>
      <c r="AY664" s="2164"/>
      <c r="AZ664" s="2164"/>
      <c r="BA664" s="2164"/>
      <c r="BB664" s="2164"/>
      <c r="BC664" s="2164"/>
      <c r="BD664" s="2164"/>
      <c r="BE664" s="2164"/>
      <c r="BF664" s="2164"/>
      <c r="BG664" s="4573"/>
    </row>
    <row customHeight="1" ht="11.25">
      <c r="A665" s="1507" t="s">
        <v>990</v>
      </c>
      <c r="B665" s="1507"/>
      <c r="C665" s="1507"/>
      <c r="D665" s="1501"/>
      <c r="E665" s="1511"/>
      <c r="F665" s="2170"/>
      <c r="G665" s="2171"/>
      <c r="H665" s="2856" t="s">
        <v>371</v>
      </c>
      <c r="I665" s="2857"/>
      <c r="J665" s="2826"/>
      <c r="K665" s="2858"/>
      <c r="L665" s="2448"/>
      <c r="M665" s="2449"/>
      <c r="N665" s="2849"/>
      <c r="O665" s="2850">
        <v>1</v>
      </c>
      <c r="P665" s="2851" t="s">
        <v>65</v>
      </c>
      <c r="Q665" s="4672" t="s">
        <v>1028</v>
      </c>
      <c r="R665" s="4673" t="s">
        <v>1029</v>
      </c>
      <c r="S665" s="4673" t="s">
        <v>1030</v>
      </c>
      <c r="T665" s="4673" t="s">
        <v>1030</v>
      </c>
      <c r="U665" s="4673" t="s">
        <v>1031</v>
      </c>
      <c r="V665" s="4673" t="s">
        <v>1032</v>
      </c>
      <c r="W665" s="4673" t="s">
        <v>1033</v>
      </c>
      <c r="X665" s="4673" t="s">
        <v>1034</v>
      </c>
      <c r="Y665" s="4673" t="s">
        <v>106</v>
      </c>
      <c r="Z665" s="1516"/>
      <c r="AA665" s="1517"/>
      <c r="AB665" s="1517"/>
      <c r="AC665" s="1521"/>
      <c r="AD665" s="1521"/>
      <c r="AE665" s="1522"/>
      <c r="AF665" s="2847"/>
      <c r="AG665" s="2848"/>
      <c r="AH665" s="2848"/>
      <c r="AI665" s="2847"/>
      <c r="AJ665" s="2848"/>
      <c r="AK665" s="2848"/>
      <c r="AL665" s="2329"/>
      <c r="AM665" s="2164"/>
      <c r="AN665" s="2164"/>
      <c r="AO665" s="2164"/>
      <c r="AP665" s="2164"/>
      <c r="AQ665" s="2164"/>
      <c r="AR665" s="2164"/>
      <c r="AS665" s="2164"/>
      <c r="AT665" s="2164"/>
      <c r="AU665" s="2164"/>
      <c r="AV665" s="2164"/>
      <c r="AW665" s="2164"/>
      <c r="AX665" s="2164"/>
      <c r="AY665" s="2164"/>
      <c r="AZ665" s="2164"/>
      <c r="BA665" s="2164"/>
      <c r="BB665" s="2164"/>
      <c r="BC665" s="2164"/>
      <c r="BD665" s="2164"/>
      <c r="BE665" s="2164"/>
      <c r="BF665" s="2164"/>
      <c r="BG665" s="4573"/>
    </row>
    <row customHeight="1" ht="11.25">
      <c r="A666" s="1507" t="s">
        <v>990</v>
      </c>
      <c r="B666" s="1507"/>
      <c r="C666" s="1507"/>
      <c r="D666" s="1501"/>
      <c r="E666" s="1511"/>
      <c r="F666" s="2170"/>
      <c r="G666" s="2171"/>
      <c r="H666" s="2856" t="s">
        <v>371</v>
      </c>
      <c r="I666" s="2857"/>
      <c r="J666" s="2826"/>
      <c r="K666" s="2858"/>
      <c r="L666" s="2448"/>
      <c r="M666" s="2449"/>
      <c r="N666" s="2849"/>
      <c r="O666" s="2850"/>
      <c r="P666" s="2852"/>
      <c r="Q666" s="4672"/>
      <c r="R666" s="2854"/>
      <c r="S666" s="2855"/>
      <c r="T666" s="2854"/>
      <c r="U666" s="2854"/>
      <c r="V666" s="2854"/>
      <c r="W666" s="2854"/>
      <c r="X666" s="2854"/>
      <c r="Y666" s="2854"/>
      <c r="Z666" s="2169"/>
      <c r="AA666" s="2135">
        <v>1</v>
      </c>
      <c r="AB666" s="1520" t="s">
        <v>1035</v>
      </c>
      <c r="AC666" s="1510">
        <v>85108.66515</v>
      </c>
      <c r="AD666" s="1520" t="str">
        <f>AB666</f>
        <v>      Амортизационные отчисления с выделением результатов переоценки основных средств и нематериальных активов</v>
      </c>
      <c r="AE666" s="1510"/>
      <c r="AF666" s="2847"/>
      <c r="AG666" s="2848"/>
      <c r="AH666" s="2848"/>
      <c r="AI666" s="2847"/>
      <c r="AJ666" s="2848"/>
      <c r="AK666" s="2848"/>
      <c r="AL666" s="2329"/>
      <c r="AM666" s="2164"/>
      <c r="AN666" s="2164"/>
      <c r="AO666" s="2164"/>
      <c r="AP666" s="2164"/>
      <c r="AQ666" s="2164"/>
      <c r="AR666" s="2164"/>
      <c r="AS666" s="2164"/>
      <c r="AT666" s="2164"/>
      <c r="AU666" s="2164"/>
      <c r="AV666" s="2164"/>
      <c r="AW666" s="2164"/>
      <c r="AX666" s="2164"/>
      <c r="AY666" s="2164"/>
      <c r="AZ666" s="2164"/>
      <c r="BA666" s="2164"/>
      <c r="BB666" s="2164"/>
      <c r="BC666" s="2164"/>
      <c r="BD666" s="2164"/>
      <c r="BE666" s="2164"/>
      <c r="BF666" s="2164"/>
      <c r="BG666" s="4573"/>
    </row>
    <row customHeight="1" ht="11.25">
      <c r="A667" s="1507" t="s">
        <v>990</v>
      </c>
      <c r="B667" s="1507"/>
      <c r="C667" s="1507"/>
      <c r="D667" s="1501"/>
      <c r="E667" s="1511"/>
      <c r="F667" s="2171"/>
      <c r="G667" s="2171"/>
      <c r="H667" s="2171"/>
      <c r="I667" s="2171"/>
      <c r="J667" s="2171"/>
      <c r="K667" s="2171"/>
      <c r="L667" s="2171"/>
      <c r="M667" s="2171"/>
      <c r="N667" s="2171"/>
      <c r="O667" s="2171"/>
      <c r="P667" s="2171"/>
      <c r="Q667" s="2171"/>
      <c r="R667" s="2171"/>
      <c r="S667" s="2171"/>
      <c r="T667" s="2171"/>
      <c r="U667" s="2171"/>
      <c r="V667" s="2171"/>
      <c r="W667" s="2171"/>
      <c r="X667" s="2171"/>
      <c r="Y667" s="2171"/>
      <c r="Z667" s="4557" t="s">
        <v>684</v>
      </c>
      <c r="AA667" s="2155" t="s">
        <v>107</v>
      </c>
      <c r="AB667" s="1520" t="s">
        <v>1036</v>
      </c>
      <c r="AC667" s="1510">
        <v>15849.65545</v>
      </c>
      <c r="AD667" s="1520" t="str">
        <f>AB667</f>
        <v>  Прочие собственные средства</v>
      </c>
      <c r="AE667" s="1510"/>
      <c r="AF667" s="2172"/>
      <c r="AG667" s="2100"/>
      <c r="AH667" s="2100"/>
      <c r="AI667" s="2172"/>
      <c r="AJ667" s="2100"/>
      <c r="AK667" s="2328"/>
      <c r="AL667" s="2329"/>
      <c r="AM667" s="2164"/>
      <c r="AN667" s="2164"/>
      <c r="AO667" s="2164"/>
      <c r="AP667" s="2164"/>
      <c r="AQ667" s="2164"/>
      <c r="AR667" s="2164"/>
      <c r="AS667" s="2164"/>
      <c r="AT667" s="2164"/>
      <c r="AU667" s="2164"/>
      <c r="AV667" s="2164"/>
      <c r="AW667" s="2164"/>
      <c r="AX667" s="2164"/>
      <c r="AY667" s="2164"/>
      <c r="AZ667" s="2164"/>
      <c r="BA667" s="2164"/>
      <c r="BB667" s="2164"/>
      <c r="BC667" s="2164"/>
      <c r="BD667" s="2164"/>
      <c r="BE667" s="2164"/>
      <c r="BF667" s="2164"/>
      <c r="BG667" s="4573"/>
    </row>
    <row customHeight="1" ht="11.25">
      <c r="A668" s="1507" t="s">
        <v>990</v>
      </c>
      <c r="B668" s="1507"/>
      <c r="C668" s="1507"/>
      <c r="D668" s="1501"/>
      <c r="E668" s="1511"/>
      <c r="F668" s="2170"/>
      <c r="G668" s="2171"/>
      <c r="H668" s="2856" t="s">
        <v>371</v>
      </c>
      <c r="I668" s="2857"/>
      <c r="J668" s="2826"/>
      <c r="K668" s="2858"/>
      <c r="L668" s="2448"/>
      <c r="M668" s="2449"/>
      <c r="N668" s="2849"/>
      <c r="O668" s="2850"/>
      <c r="P668" s="2853"/>
      <c r="Q668" s="4672"/>
      <c r="R668" s="2854"/>
      <c r="S668" s="2855"/>
      <c r="T668" s="2854"/>
      <c r="U668" s="2854"/>
      <c r="V668" s="2854"/>
      <c r="W668" s="2854"/>
      <c r="X668" s="2854"/>
      <c r="Y668" s="2854"/>
      <c r="Z668" s="1516"/>
      <c r="AA668" s="1517"/>
      <c r="AB668" s="1582" t="s">
        <v>1037</v>
      </c>
      <c r="AC668" s="1521"/>
      <c r="AD668" s="1521"/>
      <c r="AE668" s="1523"/>
      <c r="AF668" s="2847"/>
      <c r="AG668" s="2848"/>
      <c r="AH668" s="2848"/>
      <c r="AI668" s="2847"/>
      <c r="AJ668" s="2848"/>
      <c r="AK668" s="2848"/>
      <c r="AL668" s="2329"/>
      <c r="AM668" s="2164"/>
      <c r="AN668" s="2164"/>
      <c r="AO668" s="2164"/>
      <c r="AP668" s="2164"/>
      <c r="AQ668" s="2164"/>
      <c r="AR668" s="2164"/>
      <c r="AS668" s="2164"/>
      <c r="AT668" s="2164"/>
      <c r="AU668" s="2164"/>
      <c r="AV668" s="2164"/>
      <c r="AW668" s="2164"/>
      <c r="AX668" s="2164"/>
      <c r="AY668" s="2164"/>
      <c r="AZ668" s="2164"/>
      <c r="BA668" s="2164"/>
      <c r="BB668" s="2164"/>
      <c r="BC668" s="2164"/>
      <c r="BD668" s="2164"/>
      <c r="BE668" s="2164"/>
      <c r="BF668" s="2164"/>
      <c r="BG668" s="4573"/>
    </row>
    <row customHeight="1" ht="11.25">
      <c r="A669" s="1507" t="s">
        <v>990</v>
      </c>
      <c r="B669" s="1507"/>
      <c r="C669" s="1507"/>
      <c r="D669" s="1501"/>
      <c r="E669" s="1511"/>
      <c r="F669" s="2170"/>
      <c r="G669" s="2171"/>
      <c r="H669" s="2856" t="s">
        <v>371</v>
      </c>
      <c r="I669" s="2857"/>
      <c r="J669" s="2826"/>
      <c r="K669" s="2858"/>
      <c r="L669" s="2448"/>
      <c r="M669" s="2449"/>
      <c r="N669" s="1516"/>
      <c r="O669" s="1517"/>
      <c r="P669" s="1509" t="s">
        <v>1038</v>
      </c>
      <c r="Q669" s="1517"/>
      <c r="R669" s="1517"/>
      <c r="S669" s="1517"/>
      <c r="T669" s="1517"/>
      <c r="U669" s="1517"/>
      <c r="V669" s="1517"/>
      <c r="W669" s="1517"/>
      <c r="X669" s="1517"/>
      <c r="Y669" s="1517"/>
      <c r="Z669" s="1517"/>
      <c r="AA669" s="1517"/>
      <c r="AB669" s="1517"/>
      <c r="AC669" s="1517"/>
      <c r="AD669" s="1517"/>
      <c r="AE669" s="1524"/>
      <c r="AF669" s="2847"/>
      <c r="AG669" s="2848"/>
      <c r="AH669" s="2848"/>
      <c r="AI669" s="2847"/>
      <c r="AJ669" s="2848"/>
      <c r="AK669" s="2848"/>
      <c r="AL669" s="2329"/>
      <c r="AM669" s="2164"/>
      <c r="AN669" s="2164"/>
      <c r="AO669" s="2164"/>
      <c r="AP669" s="2164"/>
      <c r="AQ669" s="2164"/>
      <c r="AR669" s="2164"/>
      <c r="AS669" s="2164"/>
      <c r="AT669" s="2164"/>
      <c r="AU669" s="2164"/>
      <c r="AV669" s="2164"/>
      <c r="AW669" s="2164"/>
      <c r="AX669" s="2164"/>
      <c r="AY669" s="2164"/>
      <c r="AZ669" s="2164"/>
      <c r="BA669" s="2164"/>
      <c r="BB669" s="2164"/>
      <c r="BC669" s="2164"/>
      <c r="BD669" s="2164"/>
      <c r="BE669" s="2164"/>
      <c r="BF669" s="2164"/>
      <c r="BG669" s="4573"/>
    </row>
    <row customHeight="1" ht="11.25">
      <c r="A670" s="1507" t="s">
        <v>990</v>
      </c>
      <c r="B670" s="1507" t="s">
        <v>1022</v>
      </c>
      <c r="C670" s="1507"/>
      <c r="D670" s="1501"/>
      <c r="E670" s="1511"/>
      <c r="F670" s="2170"/>
      <c r="G670" s="4557" t="s">
        <v>684</v>
      </c>
      <c r="H670" s="2856" t="s">
        <v>107</v>
      </c>
      <c r="I670" s="2857" t="s">
        <v>1023</v>
      </c>
      <c r="J670" s="2826" t="s">
        <v>1024</v>
      </c>
      <c r="K670" s="2858" t="s">
        <v>1189</v>
      </c>
      <c r="L670" s="2448" t="s">
        <v>19</v>
      </c>
      <c r="M670" s="2449"/>
      <c r="N670" s="2327"/>
      <c r="O670" s="1518" t="s">
        <v>371</v>
      </c>
      <c r="P670" s="1519"/>
      <c r="Q670" s="1519"/>
      <c r="R670" s="1519"/>
      <c r="S670" s="1519"/>
      <c r="T670" s="1519"/>
      <c r="U670" s="1519"/>
      <c r="V670" s="1519"/>
      <c r="W670" s="1519"/>
      <c r="X670" s="1519"/>
      <c r="Y670" s="1519"/>
      <c r="Z670" s="1519"/>
      <c r="AA670" s="1519"/>
      <c r="AB670" s="1519"/>
      <c r="AC670" s="1519"/>
      <c r="AD670" s="1519"/>
      <c r="AE670" s="1519"/>
      <c r="AF670" s="2847">
        <v>3</v>
      </c>
      <c r="AG670" s="2848" t="s">
        <v>1026</v>
      </c>
      <c r="AH670" s="2848" t="s">
        <v>1190</v>
      </c>
      <c r="AI670" s="2847"/>
      <c r="AJ670" s="2848"/>
      <c r="AK670" s="2848"/>
      <c r="AL670" s="2329"/>
      <c r="AM670" s="2164"/>
      <c r="AN670" s="2164"/>
      <c r="AO670" s="2164"/>
      <c r="AP670" s="2164"/>
      <c r="AQ670" s="2164"/>
      <c r="AR670" s="2164"/>
      <c r="AS670" s="2164"/>
      <c r="AT670" s="2164"/>
      <c r="AU670" s="2164"/>
      <c r="AV670" s="2164"/>
      <c r="AW670" s="2164"/>
      <c r="AX670" s="2164"/>
      <c r="AY670" s="2164"/>
      <c r="AZ670" s="2164"/>
      <c r="BA670" s="2164"/>
      <c r="BB670" s="2164"/>
      <c r="BC670" s="2164"/>
      <c r="BD670" s="2164"/>
      <c r="BE670" s="2164"/>
      <c r="BF670" s="2164"/>
      <c r="BG670" s="4573"/>
    </row>
    <row customHeight="1" ht="11.25">
      <c r="A671" s="1507" t="s">
        <v>990</v>
      </c>
      <c r="B671" s="1507"/>
      <c r="C671" s="1507"/>
      <c r="D671" s="1501"/>
      <c r="E671" s="1511"/>
      <c r="F671" s="2170"/>
      <c r="G671" s="2171"/>
      <c r="H671" s="2856" t="s">
        <v>106</v>
      </c>
      <c r="I671" s="2857"/>
      <c r="J671" s="2826"/>
      <c r="K671" s="2858"/>
      <c r="L671" s="2448"/>
      <c r="M671" s="2449"/>
      <c r="N671" s="2849"/>
      <c r="O671" s="2850">
        <v>1</v>
      </c>
      <c r="P671" s="2851" t="s">
        <v>65</v>
      </c>
      <c r="Q671" s="4672" t="s">
        <v>1028</v>
      </c>
      <c r="R671" s="4673" t="s">
        <v>1029</v>
      </c>
      <c r="S671" s="4673" t="s">
        <v>1030</v>
      </c>
      <c r="T671" s="4673" t="s">
        <v>1030</v>
      </c>
      <c r="U671" s="4673" t="s">
        <v>1031</v>
      </c>
      <c r="V671" s="4673" t="s">
        <v>1032</v>
      </c>
      <c r="W671" s="4673" t="s">
        <v>1033</v>
      </c>
      <c r="X671" s="4673" t="s">
        <v>1034</v>
      </c>
      <c r="Y671" s="4673" t="s">
        <v>106</v>
      </c>
      <c r="Z671" s="1516"/>
      <c r="AA671" s="1517"/>
      <c r="AB671" s="1517"/>
      <c r="AC671" s="1521"/>
      <c r="AD671" s="1521"/>
      <c r="AE671" s="1522"/>
      <c r="AF671" s="2847"/>
      <c r="AG671" s="2848"/>
      <c r="AH671" s="2848"/>
      <c r="AI671" s="2847"/>
      <c r="AJ671" s="2848"/>
      <c r="AK671" s="2848"/>
      <c r="AL671" s="2329"/>
      <c r="AM671" s="2164"/>
      <c r="AN671" s="2164"/>
      <c r="AO671" s="2164"/>
      <c r="AP671" s="2164"/>
      <c r="AQ671" s="2164"/>
      <c r="AR671" s="2164"/>
      <c r="AS671" s="2164"/>
      <c r="AT671" s="2164"/>
      <c r="AU671" s="2164"/>
      <c r="AV671" s="2164"/>
      <c r="AW671" s="2164"/>
      <c r="AX671" s="2164"/>
      <c r="AY671" s="2164"/>
      <c r="AZ671" s="2164"/>
      <c r="BA671" s="2164"/>
      <c r="BB671" s="2164"/>
      <c r="BC671" s="2164"/>
      <c r="BD671" s="2164"/>
      <c r="BE671" s="2164"/>
      <c r="BF671" s="2164"/>
      <c r="BG671" s="4573"/>
    </row>
    <row customHeight="1" ht="11.25">
      <c r="A672" s="1507" t="s">
        <v>990</v>
      </c>
      <c r="B672" s="1507"/>
      <c r="C672" s="1507"/>
      <c r="D672" s="1501"/>
      <c r="E672" s="1511"/>
      <c r="F672" s="2170"/>
      <c r="G672" s="2171"/>
      <c r="H672" s="2856" t="s">
        <v>106</v>
      </c>
      <c r="I672" s="2857"/>
      <c r="J672" s="2826"/>
      <c r="K672" s="2858"/>
      <c r="L672" s="2448"/>
      <c r="M672" s="2449"/>
      <c r="N672" s="2849"/>
      <c r="O672" s="2850"/>
      <c r="P672" s="2852"/>
      <c r="Q672" s="4672"/>
      <c r="R672" s="2854"/>
      <c r="S672" s="2855"/>
      <c r="T672" s="2854"/>
      <c r="U672" s="2854"/>
      <c r="V672" s="2854"/>
      <c r="W672" s="2854"/>
      <c r="X672" s="2854"/>
      <c r="Y672" s="2854"/>
      <c r="Z672" s="2169"/>
      <c r="AA672" s="2135">
        <v>1</v>
      </c>
      <c r="AB672" s="1520" t="s">
        <v>1035</v>
      </c>
      <c r="AC672" s="1510">
        <v>3332.56363</v>
      </c>
      <c r="AD672" s="1520" t="str">
        <f>AB672</f>
        <v>      Амортизационные отчисления с выделением результатов переоценки основных средств и нематериальных активов</v>
      </c>
      <c r="AE672" s="1510"/>
      <c r="AF672" s="2847"/>
      <c r="AG672" s="2848"/>
      <c r="AH672" s="2848"/>
      <c r="AI672" s="2847"/>
      <c r="AJ672" s="2848"/>
      <c r="AK672" s="2848"/>
      <c r="AL672" s="2329"/>
      <c r="AM672" s="2164"/>
      <c r="AN672" s="2164"/>
      <c r="AO672" s="2164"/>
      <c r="AP672" s="2164"/>
      <c r="AQ672" s="2164"/>
      <c r="AR672" s="2164"/>
      <c r="AS672" s="2164"/>
      <c r="AT672" s="2164"/>
      <c r="AU672" s="2164"/>
      <c r="AV672" s="2164"/>
      <c r="AW672" s="2164"/>
      <c r="AX672" s="2164"/>
      <c r="AY672" s="2164"/>
      <c r="AZ672" s="2164"/>
      <c r="BA672" s="2164"/>
      <c r="BB672" s="2164"/>
      <c r="BC672" s="2164"/>
      <c r="BD672" s="2164"/>
      <c r="BE672" s="2164"/>
      <c r="BF672" s="2164"/>
      <c r="BG672" s="4573"/>
    </row>
    <row customHeight="1" ht="11.25">
      <c r="A673" s="1507" t="s">
        <v>990</v>
      </c>
      <c r="B673" s="1507"/>
      <c r="C673" s="1507"/>
      <c r="D673" s="1501"/>
      <c r="E673" s="1511"/>
      <c r="F673" s="2171"/>
      <c r="G673" s="2171"/>
      <c r="H673" s="2171"/>
      <c r="I673" s="2171"/>
      <c r="J673" s="4685"/>
      <c r="K673" s="2171"/>
      <c r="L673" s="2171"/>
      <c r="M673" s="2171"/>
      <c r="N673" s="2171"/>
      <c r="O673" s="2171"/>
      <c r="P673" s="2171"/>
      <c r="Q673" s="4685"/>
      <c r="R673" s="2171"/>
      <c r="S673" s="2171"/>
      <c r="T673" s="2171"/>
      <c r="U673" s="2171"/>
      <c r="V673" s="2171"/>
      <c r="W673" s="2171"/>
      <c r="X673" s="2171"/>
      <c r="Y673" s="2171"/>
      <c r="Z673" s="4557" t="s">
        <v>684</v>
      </c>
      <c r="AA673" s="2155" t="s">
        <v>107</v>
      </c>
      <c r="AB673" s="1520" t="s">
        <v>1036</v>
      </c>
      <c r="AC673" s="1510">
        <v>666.51273</v>
      </c>
      <c r="AD673" s="1520" t="str">
        <f>AB673</f>
        <v>  Прочие собственные средства</v>
      </c>
      <c r="AE673" s="1510"/>
      <c r="AF673" s="2172"/>
      <c r="AG673" s="2100"/>
      <c r="AH673" s="2100"/>
      <c r="AI673" s="2172"/>
      <c r="AJ673" s="2100"/>
      <c r="AK673" s="2328"/>
      <c r="AL673" s="2329"/>
      <c r="AM673" s="2164"/>
      <c r="AN673" s="2164"/>
      <c r="AO673" s="2164"/>
      <c r="AP673" s="2164"/>
      <c r="AQ673" s="2164"/>
      <c r="AR673" s="2164"/>
      <c r="AS673" s="2164"/>
      <c r="AT673" s="2164"/>
      <c r="AU673" s="2164"/>
      <c r="AV673" s="2164"/>
      <c r="AW673" s="2164"/>
      <c r="AX673" s="2164"/>
      <c r="AY673" s="2164"/>
      <c r="AZ673" s="2164"/>
      <c r="BA673" s="2164"/>
      <c r="BB673" s="2164"/>
      <c r="BC673" s="2164"/>
      <c r="BD673" s="2164"/>
      <c r="BE673" s="2164"/>
      <c r="BF673" s="2164"/>
      <c r="BG673" s="4573"/>
    </row>
    <row customHeight="1" ht="11.25">
      <c r="A674" s="1507" t="s">
        <v>990</v>
      </c>
      <c r="B674" s="1507"/>
      <c r="C674" s="1507"/>
      <c r="D674" s="1501"/>
      <c r="E674" s="1511"/>
      <c r="F674" s="2170"/>
      <c r="G674" s="2171"/>
      <c r="H674" s="2856" t="s">
        <v>106</v>
      </c>
      <c r="I674" s="2857"/>
      <c r="J674" s="2826"/>
      <c r="K674" s="2858"/>
      <c r="L674" s="2448"/>
      <c r="M674" s="2449"/>
      <c r="N674" s="2849"/>
      <c r="O674" s="2850"/>
      <c r="P674" s="2853"/>
      <c r="Q674" s="4672"/>
      <c r="R674" s="2854"/>
      <c r="S674" s="2855"/>
      <c r="T674" s="2854"/>
      <c r="U674" s="2854"/>
      <c r="V674" s="2854"/>
      <c r="W674" s="2854"/>
      <c r="X674" s="2854"/>
      <c r="Y674" s="2854"/>
      <c r="Z674" s="1516"/>
      <c r="AA674" s="1517"/>
      <c r="AB674" s="1582" t="s">
        <v>1037</v>
      </c>
      <c r="AC674" s="1521"/>
      <c r="AD674" s="1521"/>
      <c r="AE674" s="1523"/>
      <c r="AF674" s="2847"/>
      <c r="AG674" s="2848"/>
      <c r="AH674" s="2848"/>
      <c r="AI674" s="2847"/>
      <c r="AJ674" s="2848"/>
      <c r="AK674" s="2848"/>
      <c r="AL674" s="2329"/>
      <c r="AM674" s="2164"/>
      <c r="AN674" s="2164"/>
      <c r="AO674" s="2164"/>
      <c r="AP674" s="2164"/>
      <c r="AQ674" s="2164"/>
      <c r="AR674" s="2164"/>
      <c r="AS674" s="2164"/>
      <c r="AT674" s="2164"/>
      <c r="AU674" s="2164"/>
      <c r="AV674" s="2164"/>
      <c r="AW674" s="2164"/>
      <c r="AX674" s="2164"/>
      <c r="AY674" s="2164"/>
      <c r="AZ674" s="2164"/>
      <c r="BA674" s="2164"/>
      <c r="BB674" s="2164"/>
      <c r="BC674" s="2164"/>
      <c r="BD674" s="2164"/>
      <c r="BE674" s="2164"/>
      <c r="BF674" s="2164"/>
      <c r="BG674" s="4573"/>
    </row>
    <row customHeight="1" ht="11.25">
      <c r="A675" s="1507" t="s">
        <v>990</v>
      </c>
      <c r="B675" s="1507"/>
      <c r="C675" s="1507"/>
      <c r="D675" s="1501"/>
      <c r="E675" s="1511"/>
      <c r="F675" s="2170"/>
      <c r="G675" s="2171"/>
      <c r="H675" s="2856" t="s">
        <v>106</v>
      </c>
      <c r="I675" s="2857"/>
      <c r="J675" s="2826"/>
      <c r="K675" s="2858"/>
      <c r="L675" s="2448"/>
      <c r="M675" s="2449"/>
      <c r="N675" s="1516"/>
      <c r="O675" s="1517"/>
      <c r="P675" s="1509" t="s">
        <v>1038</v>
      </c>
      <c r="Q675" s="1517"/>
      <c r="R675" s="1517"/>
      <c r="S675" s="1517"/>
      <c r="T675" s="1517"/>
      <c r="U675" s="1517"/>
      <c r="V675" s="1517"/>
      <c r="W675" s="1517"/>
      <c r="X675" s="1517"/>
      <c r="Y675" s="1517"/>
      <c r="Z675" s="1517"/>
      <c r="AA675" s="1517"/>
      <c r="AB675" s="1517"/>
      <c r="AC675" s="1517"/>
      <c r="AD675" s="1517"/>
      <c r="AE675" s="1524"/>
      <c r="AF675" s="2847"/>
      <c r="AG675" s="2848"/>
      <c r="AH675" s="2848"/>
      <c r="AI675" s="2847"/>
      <c r="AJ675" s="2848"/>
      <c r="AK675" s="2848"/>
      <c r="AL675" s="2329"/>
      <c r="AM675" s="2164"/>
      <c r="AN675" s="2164"/>
      <c r="AO675" s="2164"/>
      <c r="AP675" s="2164"/>
      <c r="AQ675" s="2164"/>
      <c r="AR675" s="2164"/>
      <c r="AS675" s="2164"/>
      <c r="AT675" s="2164"/>
      <c r="AU675" s="2164"/>
      <c r="AV675" s="2164"/>
      <c r="AW675" s="2164"/>
      <c r="AX675" s="2164"/>
      <c r="AY675" s="2164"/>
      <c r="AZ675" s="2164"/>
      <c r="BA675" s="2164"/>
      <c r="BB675" s="2164"/>
      <c r="BC675" s="2164"/>
      <c r="BD675" s="2164"/>
      <c r="BE675" s="2164"/>
      <c r="BF675" s="2164"/>
      <c r="BG675" s="4573"/>
    </row>
    <row customHeight="1" ht="11.25">
      <c r="A676" s="1507" t="s">
        <v>990</v>
      </c>
      <c r="B676" s="1507" t="s">
        <v>1022</v>
      </c>
      <c r="C676" s="1507"/>
      <c r="D676" s="1501"/>
      <c r="E676" s="1511"/>
      <c r="F676" s="2170"/>
      <c r="G676" s="4557" t="s">
        <v>684</v>
      </c>
      <c r="H676" s="2856" t="s">
        <v>90</v>
      </c>
      <c r="I676" s="2857" t="s">
        <v>1023</v>
      </c>
      <c r="J676" s="2826" t="s">
        <v>1071</v>
      </c>
      <c r="K676" s="2858" t="s">
        <v>1103</v>
      </c>
      <c r="L676" s="2448" t="s">
        <v>19</v>
      </c>
      <c r="M676" s="2449"/>
      <c r="N676" s="2327"/>
      <c r="O676" s="1518" t="s">
        <v>371</v>
      </c>
      <c r="P676" s="1519"/>
      <c r="Q676" s="1519"/>
      <c r="R676" s="1519"/>
      <c r="S676" s="1519"/>
      <c r="T676" s="1519"/>
      <c r="U676" s="1519"/>
      <c r="V676" s="1519"/>
      <c r="W676" s="1519"/>
      <c r="X676" s="1519"/>
      <c r="Y676" s="1519"/>
      <c r="Z676" s="1519"/>
      <c r="AA676" s="1519"/>
      <c r="AB676" s="1519"/>
      <c r="AC676" s="1519"/>
      <c r="AD676" s="1519"/>
      <c r="AE676" s="1519"/>
      <c r="AF676" s="2847">
        <v>6</v>
      </c>
      <c r="AG676" s="2848" t="s">
        <v>1067</v>
      </c>
      <c r="AH676" s="2848" t="s">
        <v>1104</v>
      </c>
      <c r="AI676" s="2847"/>
      <c r="AJ676" s="2848"/>
      <c r="AK676" s="2848"/>
      <c r="AL676" s="2329"/>
      <c r="AM676" s="2164"/>
      <c r="AN676" s="2164"/>
      <c r="AO676" s="2164"/>
      <c r="AP676" s="2164"/>
      <c r="AQ676" s="2164"/>
      <c r="AR676" s="2164"/>
      <c r="AS676" s="2164"/>
      <c r="AT676" s="2164"/>
      <c r="AU676" s="2164"/>
      <c r="AV676" s="2164"/>
      <c r="AW676" s="2164"/>
      <c r="AX676" s="2164"/>
      <c r="AY676" s="2164"/>
      <c r="AZ676" s="2164"/>
      <c r="BA676" s="2164"/>
      <c r="BB676" s="2164"/>
      <c r="BC676" s="2164"/>
      <c r="BD676" s="2164"/>
      <c r="BE676" s="2164"/>
      <c r="BF676" s="2164"/>
      <c r="BG676" s="4573"/>
    </row>
    <row customHeight="1" ht="11.25">
      <c r="A677" s="1507" t="s">
        <v>990</v>
      </c>
      <c r="B677" s="1507"/>
      <c r="C677" s="1507"/>
      <c r="D677" s="1501"/>
      <c r="E677" s="1511"/>
      <c r="F677" s="2170"/>
      <c r="G677" s="2171"/>
      <c r="H677" s="2856" t="s">
        <v>107</v>
      </c>
      <c r="I677" s="2857"/>
      <c r="J677" s="2826"/>
      <c r="K677" s="2858"/>
      <c r="L677" s="2448"/>
      <c r="M677" s="2449"/>
      <c r="N677" s="2849"/>
      <c r="O677" s="2850">
        <v>1</v>
      </c>
      <c r="P677" s="2851" t="s">
        <v>65</v>
      </c>
      <c r="Q677" s="4672" t="s">
        <v>1105</v>
      </c>
      <c r="R677" s="4673" t="s">
        <v>1083</v>
      </c>
      <c r="S677" s="4673" t="s">
        <v>1030</v>
      </c>
      <c r="T677" s="4673" t="s">
        <v>1030</v>
      </c>
      <c r="U677" s="4673" t="s">
        <v>1031</v>
      </c>
      <c r="V677" s="4673" t="s">
        <v>1032</v>
      </c>
      <c r="W677" s="4673" t="s">
        <v>1033</v>
      </c>
      <c r="X677" s="4673" t="s">
        <v>1106</v>
      </c>
      <c r="Y677" s="4673" t="s">
        <v>1107</v>
      </c>
      <c r="Z677" s="1516"/>
      <c r="AA677" s="1517"/>
      <c r="AB677" s="1517"/>
      <c r="AC677" s="1521"/>
      <c r="AD677" s="1521"/>
      <c r="AE677" s="1522"/>
      <c r="AF677" s="2847"/>
      <c r="AG677" s="2848"/>
      <c r="AH677" s="2848"/>
      <c r="AI677" s="2847"/>
      <c r="AJ677" s="2848"/>
      <c r="AK677" s="2848"/>
      <c r="AL677" s="2329"/>
      <c r="AM677" s="2164"/>
      <c r="AN677" s="2164"/>
      <c r="AO677" s="2164"/>
      <c r="AP677" s="2164"/>
      <c r="AQ677" s="2164"/>
      <c r="AR677" s="2164"/>
      <c r="AS677" s="2164"/>
      <c r="AT677" s="2164"/>
      <c r="AU677" s="2164"/>
      <c r="AV677" s="2164"/>
      <c r="AW677" s="2164"/>
      <c r="AX677" s="2164"/>
      <c r="AY677" s="2164"/>
      <c r="AZ677" s="2164"/>
      <c r="BA677" s="2164"/>
      <c r="BB677" s="2164"/>
      <c r="BC677" s="2164"/>
      <c r="BD677" s="2164"/>
      <c r="BE677" s="2164"/>
      <c r="BF677" s="2164"/>
      <c r="BG677" s="4573"/>
    </row>
    <row customHeight="1" ht="11.25">
      <c r="A678" s="1507" t="s">
        <v>990</v>
      </c>
      <c r="B678" s="1507"/>
      <c r="C678" s="1507"/>
      <c r="D678" s="1501"/>
      <c r="E678" s="1511"/>
      <c r="F678" s="2170"/>
      <c r="G678" s="2171"/>
      <c r="H678" s="2856" t="s">
        <v>107</v>
      </c>
      <c r="I678" s="2857"/>
      <c r="J678" s="2826"/>
      <c r="K678" s="2858"/>
      <c r="L678" s="2448"/>
      <c r="M678" s="2449"/>
      <c r="N678" s="2849"/>
      <c r="O678" s="2850"/>
      <c r="P678" s="2852"/>
      <c r="Q678" s="4672"/>
      <c r="R678" s="2854"/>
      <c r="S678" s="2855"/>
      <c r="T678" s="2854"/>
      <c r="U678" s="2854"/>
      <c r="V678" s="2854"/>
      <c r="W678" s="2854"/>
      <c r="X678" s="2854"/>
      <c r="Y678" s="2854"/>
      <c r="Z678" s="2169"/>
      <c r="AA678" s="2135">
        <v>1</v>
      </c>
      <c r="AB678" s="1520" t="s">
        <v>1035</v>
      </c>
      <c r="AC678" s="1510">
        <v>444830.05166</v>
      </c>
      <c r="AD678" s="1520" t="str">
        <f>AB678</f>
        <v>      Амортизационные отчисления с выделением результатов переоценки основных средств и нематериальных активов</v>
      </c>
      <c r="AE678" s="1510"/>
      <c r="AF678" s="2847"/>
      <c r="AG678" s="2848"/>
      <c r="AH678" s="2848"/>
      <c r="AI678" s="2847"/>
      <c r="AJ678" s="2848"/>
      <c r="AK678" s="2848"/>
      <c r="AL678" s="2329"/>
      <c r="AM678" s="2164"/>
      <c r="AN678" s="2164"/>
      <c r="AO678" s="2164"/>
      <c r="AP678" s="2164"/>
      <c r="AQ678" s="2164"/>
      <c r="AR678" s="2164"/>
      <c r="AS678" s="2164"/>
      <c r="AT678" s="2164"/>
      <c r="AU678" s="2164"/>
      <c r="AV678" s="2164"/>
      <c r="AW678" s="2164"/>
      <c r="AX678" s="2164"/>
      <c r="AY678" s="2164"/>
      <c r="AZ678" s="2164"/>
      <c r="BA678" s="2164"/>
      <c r="BB678" s="2164"/>
      <c r="BC678" s="2164"/>
      <c r="BD678" s="2164"/>
      <c r="BE678" s="2164"/>
      <c r="BF678" s="2164"/>
      <c r="BG678" s="4573"/>
    </row>
    <row customHeight="1" ht="11.25">
      <c r="A679" s="1507" t="s">
        <v>990</v>
      </c>
      <c r="B679" s="1507"/>
      <c r="C679" s="1507"/>
      <c r="D679" s="1501"/>
      <c r="E679" s="1511"/>
      <c r="F679" s="2171"/>
      <c r="G679" s="2171"/>
      <c r="H679" s="2171"/>
      <c r="I679" s="2171"/>
      <c r="J679" s="2171"/>
      <c r="K679" s="2171"/>
      <c r="L679" s="2171"/>
      <c r="M679" s="2171"/>
      <c r="N679" s="2171"/>
      <c r="O679" s="2171"/>
      <c r="P679" s="2171"/>
      <c r="Q679" s="2171"/>
      <c r="R679" s="2171"/>
      <c r="S679" s="2171"/>
      <c r="T679" s="2171"/>
      <c r="U679" s="2171"/>
      <c r="V679" s="2171"/>
      <c r="W679" s="2171"/>
      <c r="X679" s="2171"/>
      <c r="Y679" s="2171"/>
      <c r="Z679" s="4557" t="s">
        <v>684</v>
      </c>
      <c r="AA679" s="2155" t="s">
        <v>107</v>
      </c>
      <c r="AB679" s="1520" t="s">
        <v>1036</v>
      </c>
      <c r="AC679" s="1510">
        <v>87038.42808</v>
      </c>
      <c r="AD679" s="1520" t="str">
        <f>AB679</f>
        <v>  Прочие собственные средства</v>
      </c>
      <c r="AE679" s="1510"/>
      <c r="AF679" s="2172"/>
      <c r="AG679" s="2100"/>
      <c r="AH679" s="2100"/>
      <c r="AI679" s="2172"/>
      <c r="AJ679" s="2100"/>
      <c r="AK679" s="2328"/>
      <c r="AL679" s="2329"/>
      <c r="AM679" s="2164"/>
      <c r="AN679" s="2164"/>
      <c r="AO679" s="2164"/>
      <c r="AP679" s="2164"/>
      <c r="AQ679" s="2164"/>
      <c r="AR679" s="2164"/>
      <c r="AS679" s="2164"/>
      <c r="AT679" s="2164"/>
      <c r="AU679" s="2164"/>
      <c r="AV679" s="2164"/>
      <c r="AW679" s="2164"/>
      <c r="AX679" s="2164"/>
      <c r="AY679" s="2164"/>
      <c r="AZ679" s="2164"/>
      <c r="BA679" s="2164"/>
      <c r="BB679" s="2164"/>
      <c r="BC679" s="2164"/>
      <c r="BD679" s="2164"/>
      <c r="BE679" s="2164"/>
      <c r="BF679" s="2164"/>
      <c r="BG679" s="4573"/>
    </row>
    <row customHeight="1" ht="11.25">
      <c r="A680" s="1507" t="s">
        <v>990</v>
      </c>
      <c r="B680" s="1507"/>
      <c r="C680" s="1507"/>
      <c r="D680" s="1501"/>
      <c r="E680" s="1511"/>
      <c r="F680" s="2170"/>
      <c r="G680" s="2171"/>
      <c r="H680" s="2856" t="s">
        <v>107</v>
      </c>
      <c r="I680" s="2857"/>
      <c r="J680" s="2826"/>
      <c r="K680" s="2858"/>
      <c r="L680" s="2448"/>
      <c r="M680" s="2449"/>
      <c r="N680" s="2849"/>
      <c r="O680" s="2850"/>
      <c r="P680" s="2853"/>
      <c r="Q680" s="4672"/>
      <c r="R680" s="2854"/>
      <c r="S680" s="2855"/>
      <c r="T680" s="2854"/>
      <c r="U680" s="2854"/>
      <c r="V680" s="2854"/>
      <c r="W680" s="2854"/>
      <c r="X680" s="2854"/>
      <c r="Y680" s="2854"/>
      <c r="Z680" s="1516"/>
      <c r="AA680" s="1517"/>
      <c r="AB680" s="1582" t="s">
        <v>1037</v>
      </c>
      <c r="AC680" s="1521"/>
      <c r="AD680" s="1521"/>
      <c r="AE680" s="1523"/>
      <c r="AF680" s="2847"/>
      <c r="AG680" s="2848"/>
      <c r="AH680" s="2848"/>
      <c r="AI680" s="2847"/>
      <c r="AJ680" s="2848"/>
      <c r="AK680" s="2848"/>
      <c r="AL680" s="2329"/>
      <c r="AM680" s="2164"/>
      <c r="AN680" s="2164"/>
      <c r="AO680" s="2164"/>
      <c r="AP680" s="2164"/>
      <c r="AQ680" s="2164"/>
      <c r="AR680" s="2164"/>
      <c r="AS680" s="2164"/>
      <c r="AT680" s="2164"/>
      <c r="AU680" s="2164"/>
      <c r="AV680" s="2164"/>
      <c r="AW680" s="2164"/>
      <c r="AX680" s="2164"/>
      <c r="AY680" s="2164"/>
      <c r="AZ680" s="2164"/>
      <c r="BA680" s="2164"/>
      <c r="BB680" s="2164"/>
      <c r="BC680" s="2164"/>
      <c r="BD680" s="2164"/>
      <c r="BE680" s="2164"/>
      <c r="BF680" s="2164"/>
      <c r="BG680" s="4573"/>
    </row>
    <row customHeight="1" ht="11.25">
      <c r="A681" s="1507" t="s">
        <v>990</v>
      </c>
      <c r="B681" s="1507"/>
      <c r="C681" s="1507"/>
      <c r="D681" s="1501"/>
      <c r="E681" s="1511"/>
      <c r="F681" s="2170"/>
      <c r="G681" s="2171"/>
      <c r="H681" s="2856" t="s">
        <v>107</v>
      </c>
      <c r="I681" s="2857"/>
      <c r="J681" s="2826"/>
      <c r="K681" s="2858"/>
      <c r="L681" s="2448"/>
      <c r="M681" s="2449"/>
      <c r="N681" s="1516"/>
      <c r="O681" s="1517"/>
      <c r="P681" s="1509" t="s">
        <v>1038</v>
      </c>
      <c r="Q681" s="1517"/>
      <c r="R681" s="1517"/>
      <c r="S681" s="1517"/>
      <c r="T681" s="1517"/>
      <c r="U681" s="1517"/>
      <c r="V681" s="1517"/>
      <c r="W681" s="1517"/>
      <c r="X681" s="1517"/>
      <c r="Y681" s="1517"/>
      <c r="Z681" s="1517"/>
      <c r="AA681" s="1517"/>
      <c r="AB681" s="1517"/>
      <c r="AC681" s="1517"/>
      <c r="AD681" s="1517"/>
      <c r="AE681" s="1524"/>
      <c r="AF681" s="2847"/>
      <c r="AG681" s="2848"/>
      <c r="AH681" s="2848"/>
      <c r="AI681" s="2847"/>
      <c r="AJ681" s="2848"/>
      <c r="AK681" s="2848"/>
      <c r="AL681" s="2329"/>
      <c r="AM681" s="2164"/>
      <c r="AN681" s="2164"/>
      <c r="AO681" s="2164"/>
      <c r="AP681" s="2164"/>
      <c r="AQ681" s="2164"/>
      <c r="AR681" s="2164"/>
      <c r="AS681" s="2164"/>
      <c r="AT681" s="2164"/>
      <c r="AU681" s="2164"/>
      <c r="AV681" s="2164"/>
      <c r="AW681" s="2164"/>
      <c r="AX681" s="2164"/>
      <c r="AY681" s="2164"/>
      <c r="AZ681" s="2164"/>
      <c r="BA681" s="2164"/>
      <c r="BB681" s="2164"/>
      <c r="BC681" s="2164"/>
      <c r="BD681" s="2164"/>
      <c r="BE681" s="2164"/>
      <c r="BF681" s="2164"/>
      <c r="BG681" s="4573"/>
    </row>
    <row customHeight="1" ht="11.25">
      <c r="A682" s="1507" t="s">
        <v>990</v>
      </c>
      <c r="B682" s="1507" t="s">
        <v>22</v>
      </c>
      <c r="C682" s="1507"/>
      <c r="D682" s="1501"/>
      <c r="E682" s="1511"/>
      <c r="F682" s="2170"/>
      <c r="G682" s="4557" t="s">
        <v>684</v>
      </c>
      <c r="H682" s="2856" t="s">
        <v>91</v>
      </c>
      <c r="I682" s="2857" t="s">
        <v>1039</v>
      </c>
      <c r="J682" s="4694" t="s">
        <v>22</v>
      </c>
      <c r="K682" s="2858" t="s">
        <v>1109</v>
      </c>
      <c r="L682" s="2448" t="s">
        <v>19</v>
      </c>
      <c r="M682" s="2449"/>
      <c r="N682" s="2327"/>
      <c r="O682" s="1518" t="s">
        <v>371</v>
      </c>
      <c r="P682" s="1519"/>
      <c r="Q682" s="1519"/>
      <c r="R682" s="1519"/>
      <c r="S682" s="1519"/>
      <c r="T682" s="1519"/>
      <c r="U682" s="1519"/>
      <c r="V682" s="1519"/>
      <c r="W682" s="1519"/>
      <c r="X682" s="1519"/>
      <c r="Y682" s="1519"/>
      <c r="Z682" s="1519"/>
      <c r="AA682" s="1519"/>
      <c r="AB682" s="1519"/>
      <c r="AC682" s="1519"/>
      <c r="AD682" s="1519"/>
      <c r="AE682" s="1519"/>
      <c r="AF682" s="2847">
        <v>1</v>
      </c>
      <c r="AG682" s="2848" t="s">
        <v>1026</v>
      </c>
      <c r="AH682" s="2848" t="s">
        <v>1190</v>
      </c>
      <c r="AI682" s="2847"/>
      <c r="AJ682" s="2848"/>
      <c r="AK682" s="2848"/>
      <c r="AL682" s="2329"/>
      <c r="AM682" s="2164"/>
      <c r="AN682" s="2164"/>
      <c r="AO682" s="2164"/>
      <c r="AP682" s="2164"/>
      <c r="AQ682" s="2164"/>
      <c r="AR682" s="2164"/>
      <c r="AS682" s="2164"/>
      <c r="AT682" s="2164"/>
      <c r="AU682" s="2164"/>
      <c r="AV682" s="2164"/>
      <c r="AW682" s="2164"/>
      <c r="AX682" s="2164"/>
      <c r="AY682" s="2164"/>
      <c r="AZ682" s="2164"/>
      <c r="BA682" s="2164"/>
      <c r="BB682" s="2164"/>
      <c r="BC682" s="2164"/>
      <c r="BD682" s="2164"/>
      <c r="BE682" s="2164"/>
      <c r="BF682" s="2164"/>
      <c r="BG682" s="4573"/>
    </row>
    <row customHeight="1" ht="11.25">
      <c r="A683" s="1507" t="s">
        <v>990</v>
      </c>
      <c r="B683" s="1507"/>
      <c r="C683" s="1507"/>
      <c r="D683" s="1501"/>
      <c r="E683" s="1511"/>
      <c r="F683" s="2170"/>
      <c r="G683" s="2171"/>
      <c r="H683" s="2856" t="s">
        <v>90</v>
      </c>
      <c r="I683" s="2857"/>
      <c r="J683" s="4694"/>
      <c r="K683" s="2858"/>
      <c r="L683" s="2448"/>
      <c r="M683" s="2449"/>
      <c r="N683" s="2849"/>
      <c r="O683" s="2850">
        <v>1</v>
      </c>
      <c r="P683" s="2851" t="s">
        <v>19</v>
      </c>
      <c r="Q683" s="7507" t="s">
        <v>22</v>
      </c>
      <c r="R683" s="7508" t="s">
        <v>22</v>
      </c>
      <c r="S683" s="7508" t="s">
        <v>22</v>
      </c>
      <c r="T683" s="7508" t="s">
        <v>22</v>
      </c>
      <c r="U683" s="7508" t="s">
        <v>22</v>
      </c>
      <c r="V683" s="7508" t="s">
        <v>22</v>
      </c>
      <c r="W683" s="7508" t="s">
        <v>22</v>
      </c>
      <c r="X683" s="7508" t="s">
        <v>22</v>
      </c>
      <c r="Y683" s="7508" t="s">
        <v>22</v>
      </c>
      <c r="Z683" s="1516"/>
      <c r="AA683" s="1517"/>
      <c r="AB683" s="1517"/>
      <c r="AC683" s="1521"/>
      <c r="AD683" s="1521"/>
      <c r="AE683" s="1522"/>
      <c r="AF683" s="2847"/>
      <c r="AG683" s="2848"/>
      <c r="AH683" s="2848"/>
      <c r="AI683" s="2847"/>
      <c r="AJ683" s="2848"/>
      <c r="AK683" s="2848"/>
      <c r="AL683" s="2329"/>
      <c r="AM683" s="2164"/>
      <c r="AN683" s="2164"/>
      <c r="AO683" s="2164"/>
      <c r="AP683" s="2164"/>
      <c r="AQ683" s="2164"/>
      <c r="AR683" s="2164"/>
      <c r="AS683" s="2164"/>
      <c r="AT683" s="2164"/>
      <c r="AU683" s="2164"/>
      <c r="AV683" s="2164"/>
      <c r="AW683" s="2164"/>
      <c r="AX683" s="2164"/>
      <c r="AY683" s="2164"/>
      <c r="AZ683" s="2164"/>
      <c r="BA683" s="2164"/>
      <c r="BB683" s="2164"/>
      <c r="BC683" s="2164"/>
      <c r="BD683" s="2164"/>
      <c r="BE683" s="2164"/>
      <c r="BF683" s="2164"/>
      <c r="BG683" s="4573"/>
    </row>
    <row customHeight="1" ht="11.25">
      <c r="A684" s="1507" t="s">
        <v>990</v>
      </c>
      <c r="B684" s="1507"/>
      <c r="C684" s="1507"/>
      <c r="D684" s="1501"/>
      <c r="E684" s="1511"/>
      <c r="F684" s="2170"/>
      <c r="G684" s="2171"/>
      <c r="H684" s="2856" t="s">
        <v>90</v>
      </c>
      <c r="I684" s="2857"/>
      <c r="J684" s="4694"/>
      <c r="K684" s="2858"/>
      <c r="L684" s="2448"/>
      <c r="M684" s="2449"/>
      <c r="N684" s="2849"/>
      <c r="O684" s="2850"/>
      <c r="P684" s="2852"/>
      <c r="Q684" s="4672"/>
      <c r="R684" s="2854"/>
      <c r="S684" s="2855"/>
      <c r="T684" s="2854"/>
      <c r="U684" s="2854"/>
      <c r="V684" s="2854"/>
      <c r="W684" s="2854"/>
      <c r="X684" s="2854"/>
      <c r="Y684" s="2854"/>
      <c r="Z684" s="2169"/>
      <c r="AA684" s="2135">
        <v>1</v>
      </c>
      <c r="AB684" s="1520" t="s">
        <v>1035</v>
      </c>
      <c r="AC684" s="1510">
        <v>4859.98674</v>
      </c>
      <c r="AD684" s="1520" t="str">
        <f>AB684</f>
        <v>      Амортизационные отчисления с выделением результатов переоценки основных средств и нематериальных активов</v>
      </c>
      <c r="AE684" s="1510"/>
      <c r="AF684" s="2847"/>
      <c r="AG684" s="2848"/>
      <c r="AH684" s="2848"/>
      <c r="AI684" s="2847"/>
      <c r="AJ684" s="2848"/>
      <c r="AK684" s="2848"/>
      <c r="AL684" s="2329"/>
      <c r="AM684" s="2164"/>
      <c r="AN684" s="2164"/>
      <c r="AO684" s="2164"/>
      <c r="AP684" s="2164"/>
      <c r="AQ684" s="2164"/>
      <c r="AR684" s="2164"/>
      <c r="AS684" s="2164"/>
      <c r="AT684" s="2164"/>
      <c r="AU684" s="2164"/>
      <c r="AV684" s="2164"/>
      <c r="AW684" s="2164"/>
      <c r="AX684" s="2164"/>
      <c r="AY684" s="2164"/>
      <c r="AZ684" s="2164"/>
      <c r="BA684" s="2164"/>
      <c r="BB684" s="2164"/>
      <c r="BC684" s="2164"/>
      <c r="BD684" s="2164"/>
      <c r="BE684" s="2164"/>
      <c r="BF684" s="2164"/>
      <c r="BG684" s="4573"/>
    </row>
    <row customHeight="1" ht="11.25">
      <c r="A685" s="1507" t="s">
        <v>990</v>
      </c>
      <c r="B685" s="1507"/>
      <c r="C685" s="1507"/>
      <c r="D685" s="1501"/>
      <c r="E685" s="1511"/>
      <c r="F685" s="2171"/>
      <c r="G685" s="2171"/>
      <c r="H685" s="2171"/>
      <c r="I685" s="2171"/>
      <c r="J685" s="2171"/>
      <c r="K685" s="2171"/>
      <c r="L685" s="2171"/>
      <c r="M685" s="2171"/>
      <c r="N685" s="2171"/>
      <c r="O685" s="2171"/>
      <c r="P685" s="2171"/>
      <c r="Q685" s="2171"/>
      <c r="R685" s="2171"/>
      <c r="S685" s="2171"/>
      <c r="T685" s="2171"/>
      <c r="U685" s="2171"/>
      <c r="V685" s="2171"/>
      <c r="W685" s="2171"/>
      <c r="X685" s="2171"/>
      <c r="Y685" s="2171"/>
      <c r="Z685" s="4557" t="s">
        <v>684</v>
      </c>
      <c r="AA685" s="2155" t="s">
        <v>107</v>
      </c>
      <c r="AB685" s="1520" t="s">
        <v>1036</v>
      </c>
      <c r="AC685" s="1510">
        <v>23048.453172</v>
      </c>
      <c r="AD685" s="1520" t="str">
        <f>AB685</f>
        <v>  Прочие собственные средства</v>
      </c>
      <c r="AE685" s="1510"/>
      <c r="AF685" s="2172"/>
      <c r="AG685" s="2100"/>
      <c r="AH685" s="2100"/>
      <c r="AI685" s="2172"/>
      <c r="AJ685" s="2100"/>
      <c r="AK685" s="2328"/>
      <c r="AL685" s="2329"/>
      <c r="AM685" s="2164"/>
      <c r="AN685" s="2164"/>
      <c r="AO685" s="2164"/>
      <c r="AP685" s="2164"/>
      <c r="AQ685" s="2164"/>
      <c r="AR685" s="2164"/>
      <c r="AS685" s="2164"/>
      <c r="AT685" s="2164"/>
      <c r="AU685" s="2164"/>
      <c r="AV685" s="2164"/>
      <c r="AW685" s="2164"/>
      <c r="AX685" s="2164"/>
      <c r="AY685" s="2164"/>
      <c r="AZ685" s="2164"/>
      <c r="BA685" s="2164"/>
      <c r="BB685" s="2164"/>
      <c r="BC685" s="2164"/>
      <c r="BD685" s="2164"/>
      <c r="BE685" s="2164"/>
      <c r="BF685" s="2164"/>
      <c r="BG685" s="4573"/>
    </row>
    <row customHeight="1" ht="11.25">
      <c r="A686" s="1507" t="s">
        <v>990</v>
      </c>
      <c r="B686" s="1507"/>
      <c r="C686" s="1507"/>
      <c r="D686" s="1501"/>
      <c r="E686" s="1511"/>
      <c r="F686" s="2170"/>
      <c r="G686" s="2171"/>
      <c r="H686" s="2856" t="s">
        <v>90</v>
      </c>
      <c r="I686" s="2857"/>
      <c r="J686" s="4694"/>
      <c r="K686" s="2858"/>
      <c r="L686" s="2448"/>
      <c r="M686" s="2449"/>
      <c r="N686" s="2849"/>
      <c r="O686" s="2850"/>
      <c r="P686" s="2853"/>
      <c r="Q686" s="4672"/>
      <c r="R686" s="2854"/>
      <c r="S686" s="2855"/>
      <c r="T686" s="2854"/>
      <c r="U686" s="2854"/>
      <c r="V686" s="2854"/>
      <c r="W686" s="2854"/>
      <c r="X686" s="2854"/>
      <c r="Y686" s="2854"/>
      <c r="Z686" s="1516"/>
      <c r="AA686" s="1517"/>
      <c r="AB686" s="1582" t="s">
        <v>1037</v>
      </c>
      <c r="AC686" s="1521"/>
      <c r="AD686" s="1521"/>
      <c r="AE686" s="1523"/>
      <c r="AF686" s="2847"/>
      <c r="AG686" s="2848"/>
      <c r="AH686" s="2848"/>
      <c r="AI686" s="2847"/>
      <c r="AJ686" s="2848"/>
      <c r="AK686" s="2848"/>
      <c r="AL686" s="2329"/>
      <c r="AM686" s="2164"/>
      <c r="AN686" s="2164"/>
      <c r="AO686" s="2164"/>
      <c r="AP686" s="2164"/>
      <c r="AQ686" s="2164"/>
      <c r="AR686" s="2164"/>
      <c r="AS686" s="2164"/>
      <c r="AT686" s="2164"/>
      <c r="AU686" s="2164"/>
      <c r="AV686" s="2164"/>
      <c r="AW686" s="2164"/>
      <c r="AX686" s="2164"/>
      <c r="AY686" s="2164"/>
      <c r="AZ686" s="2164"/>
      <c r="BA686" s="2164"/>
      <c r="BB686" s="2164"/>
      <c r="BC686" s="2164"/>
      <c r="BD686" s="2164"/>
      <c r="BE686" s="2164"/>
      <c r="BF686" s="2164"/>
      <c r="BG686" s="4573"/>
    </row>
    <row customHeight="1" ht="11.25">
      <c r="A687" s="1507" t="s">
        <v>990</v>
      </c>
      <c r="B687" s="1507"/>
      <c r="C687" s="1507"/>
      <c r="D687" s="1501"/>
      <c r="E687" s="1511"/>
      <c r="F687" s="2170"/>
      <c r="G687" s="2171"/>
      <c r="H687" s="2856" t="s">
        <v>90</v>
      </c>
      <c r="I687" s="2857"/>
      <c r="J687" s="4694"/>
      <c r="K687" s="2858"/>
      <c r="L687" s="2448"/>
      <c r="M687" s="2449"/>
      <c r="N687" s="1516"/>
      <c r="O687" s="1517"/>
      <c r="P687" s="1509" t="s">
        <v>1038</v>
      </c>
      <c r="Q687" s="1517"/>
      <c r="R687" s="1517"/>
      <c r="S687" s="1517"/>
      <c r="T687" s="1517"/>
      <c r="U687" s="1517"/>
      <c r="V687" s="1517"/>
      <c r="W687" s="1517"/>
      <c r="X687" s="1517"/>
      <c r="Y687" s="1517"/>
      <c r="Z687" s="1517"/>
      <c r="AA687" s="1517"/>
      <c r="AB687" s="1517"/>
      <c r="AC687" s="1517"/>
      <c r="AD687" s="1517"/>
      <c r="AE687" s="1524"/>
      <c r="AF687" s="2847"/>
      <c r="AG687" s="2848"/>
      <c r="AH687" s="2848"/>
      <c r="AI687" s="2847"/>
      <c r="AJ687" s="2848"/>
      <c r="AK687" s="2848"/>
      <c r="AL687" s="2329"/>
      <c r="AM687" s="2164"/>
      <c r="AN687" s="2164"/>
      <c r="AO687" s="2164"/>
      <c r="AP687" s="2164"/>
      <c r="AQ687" s="2164"/>
      <c r="AR687" s="2164"/>
      <c r="AS687" s="2164"/>
      <c r="AT687" s="2164"/>
      <c r="AU687" s="2164"/>
      <c r="AV687" s="2164"/>
      <c r="AW687" s="2164"/>
      <c r="AX687" s="2164"/>
      <c r="AY687" s="2164"/>
      <c r="AZ687" s="2164"/>
      <c r="BA687" s="2164"/>
      <c r="BB687" s="2164"/>
      <c r="BC687" s="2164"/>
      <c r="BD687" s="2164"/>
      <c r="BE687" s="2164"/>
      <c r="BF687" s="2164"/>
      <c r="BG687" s="4573"/>
    </row>
    <row customHeight="1" ht="11.25">
      <c r="A688" s="1507" t="s">
        <v>990</v>
      </c>
      <c r="B688" s="1507" t="s">
        <v>1022</v>
      </c>
      <c r="C688" s="1507"/>
      <c r="D688" s="1501"/>
      <c r="E688" s="1511"/>
      <c r="F688" s="2170"/>
      <c r="G688" s="7510" t="s">
        <v>684</v>
      </c>
      <c r="H688" s="2856" t="s">
        <v>108</v>
      </c>
      <c r="I688" s="2857" t="s">
        <v>1023</v>
      </c>
      <c r="J688" s="2826" t="s">
        <v>1071</v>
      </c>
      <c r="K688" s="2858" t="s">
        <v>1152</v>
      </c>
      <c r="L688" s="2448" t="s">
        <v>19</v>
      </c>
      <c r="M688" s="2449"/>
      <c r="N688" s="2327"/>
      <c r="O688" s="1518" t="s">
        <v>371</v>
      </c>
      <c r="P688" s="1519"/>
      <c r="Q688" s="1519"/>
      <c r="R688" s="1519"/>
      <c r="S688" s="1519"/>
      <c r="T688" s="1519"/>
      <c r="U688" s="1519"/>
      <c r="V688" s="1519"/>
      <c r="W688" s="1519"/>
      <c r="X688" s="1519"/>
      <c r="Y688" s="1519"/>
      <c r="Z688" s="1519"/>
      <c r="AA688" s="1519"/>
      <c r="AB688" s="1519"/>
      <c r="AC688" s="1519"/>
      <c r="AD688" s="1519"/>
      <c r="AE688" s="1519"/>
      <c r="AF688" s="2847">
        <v>6</v>
      </c>
      <c r="AG688" s="2848" t="s">
        <v>1067</v>
      </c>
      <c r="AH688" s="2848" t="s">
        <v>1104</v>
      </c>
      <c r="AI688" s="2847"/>
      <c r="AJ688" s="2848"/>
      <c r="AK688" s="2848"/>
      <c r="AL688" s="2329"/>
      <c r="AM688" s="2164"/>
      <c r="AN688" s="2164"/>
      <c r="AO688" s="2164"/>
      <c r="AP688" s="2164"/>
      <c r="AQ688" s="2164"/>
      <c r="AR688" s="2164"/>
      <c r="AS688" s="2164"/>
      <c r="AT688" s="2164"/>
      <c r="AU688" s="2164"/>
      <c r="AV688" s="2164"/>
      <c r="AW688" s="2164"/>
      <c r="AX688" s="2164"/>
      <c r="AY688" s="2164"/>
      <c r="AZ688" s="2164"/>
      <c r="BA688" s="2164"/>
      <c r="BB688" s="2164"/>
      <c r="BC688" s="2164"/>
      <c r="BD688" s="2164"/>
      <c r="BE688" s="2164"/>
      <c r="BF688" s="2164"/>
      <c r="BG688" s="7511"/>
    </row>
    <row customHeight="1" ht="11.25">
      <c r="A689" s="1507" t="s">
        <v>990</v>
      </c>
      <c r="B689" s="1507"/>
      <c r="C689" s="1507"/>
      <c r="D689" s="1501"/>
      <c r="E689" s="1511"/>
      <c r="F689" s="2170"/>
      <c r="G689" s="2171"/>
      <c r="H689" s="2856" t="s">
        <v>91</v>
      </c>
      <c r="I689" s="2857"/>
      <c r="J689" s="2826"/>
      <c r="K689" s="2858"/>
      <c r="L689" s="2448"/>
      <c r="M689" s="2449"/>
      <c r="N689" s="2849"/>
      <c r="O689" s="2850">
        <v>1</v>
      </c>
      <c r="P689" s="2851" t="s">
        <v>65</v>
      </c>
      <c r="Q689" s="7512" t="s">
        <v>1153</v>
      </c>
      <c r="R689" s="7513" t="s">
        <v>1083</v>
      </c>
      <c r="S689" s="7513" t="s">
        <v>1154</v>
      </c>
      <c r="T689" s="7513" t="s">
        <v>1154</v>
      </c>
      <c r="U689" s="7513" t="s">
        <v>1155</v>
      </c>
      <c r="V689" s="7513" t="s">
        <v>1156</v>
      </c>
      <c r="W689" s="7513" t="s">
        <v>1157</v>
      </c>
      <c r="X689" s="7513" t="s">
        <v>1158</v>
      </c>
      <c r="Y689" s="7513" t="s">
        <v>92</v>
      </c>
      <c r="Z689" s="1516"/>
      <c r="AA689" s="1517"/>
      <c r="AB689" s="1517"/>
      <c r="AC689" s="1521"/>
      <c r="AD689" s="1521"/>
      <c r="AE689" s="1522"/>
      <c r="AF689" s="2847"/>
      <c r="AG689" s="2848"/>
      <c r="AH689" s="2848"/>
      <c r="AI689" s="2847"/>
      <c r="AJ689" s="2848"/>
      <c r="AK689" s="2848"/>
      <c r="AL689" s="2329"/>
      <c r="AM689" s="2164"/>
      <c r="AN689" s="2164"/>
      <c r="AO689" s="2164"/>
      <c r="AP689" s="2164"/>
      <c r="AQ689" s="2164"/>
      <c r="AR689" s="2164"/>
      <c r="AS689" s="2164"/>
      <c r="AT689" s="2164"/>
      <c r="AU689" s="2164"/>
      <c r="AV689" s="2164"/>
      <c r="AW689" s="2164"/>
      <c r="AX689" s="2164"/>
      <c r="AY689" s="2164"/>
      <c r="AZ689" s="2164"/>
      <c r="BA689" s="2164"/>
      <c r="BB689" s="2164"/>
      <c r="BC689" s="2164"/>
      <c r="BD689" s="2164"/>
      <c r="BE689" s="2164"/>
      <c r="BF689" s="2164"/>
      <c r="BG689" s="7511"/>
    </row>
    <row customHeight="1" ht="11.25">
      <c r="A690" s="1507" t="s">
        <v>990</v>
      </c>
      <c r="B690" s="1507"/>
      <c r="C690" s="1507"/>
      <c r="D690" s="1501"/>
      <c r="E690" s="1511"/>
      <c r="F690" s="2170"/>
      <c r="G690" s="2171"/>
      <c r="H690" s="2856" t="s">
        <v>91</v>
      </c>
      <c r="I690" s="2857"/>
      <c r="J690" s="2826"/>
      <c r="K690" s="2858"/>
      <c r="L690" s="2448"/>
      <c r="M690" s="2449"/>
      <c r="N690" s="2849"/>
      <c r="O690" s="2850"/>
      <c r="P690" s="2852"/>
      <c r="Q690" s="7512"/>
      <c r="R690" s="2854"/>
      <c r="S690" s="2855"/>
      <c r="T690" s="2854"/>
      <c r="U690" s="2854"/>
      <c r="V690" s="2854"/>
      <c r="W690" s="2854"/>
      <c r="X690" s="2854"/>
      <c r="Y690" s="2854"/>
      <c r="Z690" s="2169"/>
      <c r="AA690" s="2135">
        <v>1</v>
      </c>
      <c r="AB690" s="1520" t="s">
        <v>1035</v>
      </c>
      <c r="AC690" s="1510">
        <v>102456.21081</v>
      </c>
      <c r="AD690" s="1520" t="str">
        <f>AB690</f>
        <v>      Амортизационные отчисления с выделением результатов переоценки основных средств и нематериальных активов</v>
      </c>
      <c r="AE690" s="1510"/>
      <c r="AF690" s="2847"/>
      <c r="AG690" s="2848"/>
      <c r="AH690" s="2848"/>
      <c r="AI690" s="2847"/>
      <c r="AJ690" s="2848"/>
      <c r="AK690" s="2848"/>
      <c r="AL690" s="2329"/>
      <c r="AM690" s="2164"/>
      <c r="AN690" s="2164"/>
      <c r="AO690" s="2164"/>
      <c r="AP690" s="2164"/>
      <c r="AQ690" s="2164"/>
      <c r="AR690" s="2164"/>
      <c r="AS690" s="2164"/>
      <c r="AT690" s="2164"/>
      <c r="AU690" s="2164"/>
      <c r="AV690" s="2164"/>
      <c r="AW690" s="2164"/>
      <c r="AX690" s="2164"/>
      <c r="AY690" s="2164"/>
      <c r="AZ690" s="2164"/>
      <c r="BA690" s="2164"/>
      <c r="BB690" s="2164"/>
      <c r="BC690" s="2164"/>
      <c r="BD690" s="2164"/>
      <c r="BE690" s="2164"/>
      <c r="BF690" s="2164"/>
      <c r="BG690" s="7511"/>
    </row>
    <row customHeight="1" ht="11.25">
      <c r="A691" s="1507" t="s">
        <v>990</v>
      </c>
      <c r="B691" s="1507"/>
      <c r="C691" s="1507"/>
      <c r="D691" s="1501"/>
      <c r="E691" s="1511"/>
      <c r="F691" s="2171"/>
      <c r="G691" s="2171"/>
      <c r="H691" s="2171"/>
      <c r="I691" s="2171"/>
      <c r="J691" s="2171"/>
      <c r="K691" s="2171"/>
      <c r="L691" s="2171"/>
      <c r="M691" s="2171"/>
      <c r="N691" s="2171"/>
      <c r="O691" s="2171"/>
      <c r="P691" s="2171"/>
      <c r="Q691" s="2171"/>
      <c r="R691" s="2171"/>
      <c r="S691" s="2171"/>
      <c r="T691" s="2171"/>
      <c r="U691" s="2171"/>
      <c r="V691" s="2171"/>
      <c r="W691" s="2171"/>
      <c r="X691" s="2171"/>
      <c r="Y691" s="2171"/>
      <c r="Z691" s="7510" t="s">
        <v>684</v>
      </c>
      <c r="AA691" s="2155" t="s">
        <v>107</v>
      </c>
      <c r="AB691" s="1520" t="s">
        <v>1036</v>
      </c>
      <c r="AC691" s="1510">
        <v>18760.82254</v>
      </c>
      <c r="AD691" s="1520" t="str">
        <f>AB691</f>
        <v>  Прочие собственные средства</v>
      </c>
      <c r="AE691" s="1510"/>
      <c r="AF691" s="2172"/>
      <c r="AG691" s="2100"/>
      <c r="AH691" s="2100"/>
      <c r="AI691" s="2172"/>
      <c r="AJ691" s="2100"/>
      <c r="AK691" s="2328"/>
      <c r="AL691" s="2329"/>
      <c r="AM691" s="2164"/>
      <c r="AN691" s="2164"/>
      <c r="AO691" s="2164"/>
      <c r="AP691" s="2164"/>
      <c r="AQ691" s="2164"/>
      <c r="AR691" s="2164"/>
      <c r="AS691" s="2164"/>
      <c r="AT691" s="2164"/>
      <c r="AU691" s="2164"/>
      <c r="AV691" s="2164"/>
      <c r="AW691" s="2164"/>
      <c r="AX691" s="2164"/>
      <c r="AY691" s="2164"/>
      <c r="AZ691" s="2164"/>
      <c r="BA691" s="2164"/>
      <c r="BB691" s="2164"/>
      <c r="BC691" s="2164"/>
      <c r="BD691" s="2164"/>
      <c r="BE691" s="2164"/>
      <c r="BF691" s="2164"/>
      <c r="BG691" s="7511"/>
    </row>
    <row customHeight="1" ht="11.25">
      <c r="A692" s="1507" t="s">
        <v>990</v>
      </c>
      <c r="B692" s="1507"/>
      <c r="C692" s="1507"/>
      <c r="D692" s="1501"/>
      <c r="E692" s="1511"/>
      <c r="F692" s="2170"/>
      <c r="G692" s="2171"/>
      <c r="H692" s="2856" t="s">
        <v>91</v>
      </c>
      <c r="I692" s="2857"/>
      <c r="J692" s="2826"/>
      <c r="K692" s="2858"/>
      <c r="L692" s="2448"/>
      <c r="M692" s="2449"/>
      <c r="N692" s="2849"/>
      <c r="O692" s="2850"/>
      <c r="P692" s="2853"/>
      <c r="Q692" s="7512"/>
      <c r="R692" s="2854"/>
      <c r="S692" s="2855"/>
      <c r="T692" s="2854"/>
      <c r="U692" s="2854"/>
      <c r="V692" s="2854"/>
      <c r="W692" s="2854"/>
      <c r="X692" s="2854"/>
      <c r="Y692" s="2854"/>
      <c r="Z692" s="1516"/>
      <c r="AA692" s="1517"/>
      <c r="AB692" s="1582" t="s">
        <v>1037</v>
      </c>
      <c r="AC692" s="1521"/>
      <c r="AD692" s="1521"/>
      <c r="AE692" s="1523"/>
      <c r="AF692" s="2847"/>
      <c r="AG692" s="2848"/>
      <c r="AH692" s="2848"/>
      <c r="AI692" s="2847"/>
      <c r="AJ692" s="2848"/>
      <c r="AK692" s="2848"/>
      <c r="AL692" s="2329"/>
      <c r="AM692" s="2164"/>
      <c r="AN692" s="2164"/>
      <c r="AO692" s="2164"/>
      <c r="AP692" s="2164"/>
      <c r="AQ692" s="2164"/>
      <c r="AR692" s="2164"/>
      <c r="AS692" s="2164"/>
      <c r="AT692" s="2164"/>
      <c r="AU692" s="2164"/>
      <c r="AV692" s="2164"/>
      <c r="AW692" s="2164"/>
      <c r="AX692" s="2164"/>
      <c r="AY692" s="2164"/>
      <c r="AZ692" s="2164"/>
      <c r="BA692" s="2164"/>
      <c r="BB692" s="2164"/>
      <c r="BC692" s="2164"/>
      <c r="BD692" s="2164"/>
      <c r="BE692" s="2164"/>
      <c r="BF692" s="2164"/>
      <c r="BG692" s="7511"/>
    </row>
    <row customHeight="1" ht="11.25">
      <c r="A693" s="1507" t="s">
        <v>990</v>
      </c>
      <c r="B693" s="1507"/>
      <c r="C693" s="1507"/>
      <c r="D693" s="1501"/>
      <c r="E693" s="1511"/>
      <c r="F693" s="2170"/>
      <c r="G693" s="2171"/>
      <c r="H693" s="2856" t="s">
        <v>91</v>
      </c>
      <c r="I693" s="2857"/>
      <c r="J693" s="2826"/>
      <c r="K693" s="2858"/>
      <c r="L693" s="2448"/>
      <c r="M693" s="2449"/>
      <c r="N693" s="1516"/>
      <c r="O693" s="1517"/>
      <c r="P693" s="1509" t="s">
        <v>1038</v>
      </c>
      <c r="Q693" s="1517"/>
      <c r="R693" s="1517"/>
      <c r="S693" s="1517"/>
      <c r="T693" s="1517"/>
      <c r="U693" s="1517"/>
      <c r="V693" s="1517"/>
      <c r="W693" s="1517"/>
      <c r="X693" s="1517"/>
      <c r="Y693" s="1517"/>
      <c r="Z693" s="1517"/>
      <c r="AA693" s="1517"/>
      <c r="AB693" s="1517"/>
      <c r="AC693" s="1517"/>
      <c r="AD693" s="1517"/>
      <c r="AE693" s="1524"/>
      <c r="AF693" s="2847"/>
      <c r="AG693" s="2848"/>
      <c r="AH693" s="2848"/>
      <c r="AI693" s="2847"/>
      <c r="AJ693" s="2848"/>
      <c r="AK693" s="2848"/>
      <c r="AL693" s="2329"/>
      <c r="AM693" s="2164"/>
      <c r="AN693" s="2164"/>
      <c r="AO693" s="2164"/>
      <c r="AP693" s="2164"/>
      <c r="AQ693" s="2164"/>
      <c r="AR693" s="2164"/>
      <c r="AS693" s="2164"/>
      <c r="AT693" s="2164"/>
      <c r="AU693" s="2164"/>
      <c r="AV693" s="2164"/>
      <c r="AW693" s="2164"/>
      <c r="AX693" s="2164"/>
      <c r="AY693" s="2164"/>
      <c r="AZ693" s="2164"/>
      <c r="BA693" s="2164"/>
      <c r="BB693" s="2164"/>
      <c r="BC693" s="2164"/>
      <c r="BD693" s="2164"/>
      <c r="BE693" s="2164"/>
      <c r="BF693" s="2164"/>
      <c r="BG693" s="7511"/>
    </row>
    <row customHeight="1" ht="11.25">
      <c r="A694" s="1507" t="s">
        <v>990</v>
      </c>
      <c r="B694" s="1507" t="s">
        <v>1022</v>
      </c>
      <c r="C694" s="1507"/>
      <c r="D694" s="1501"/>
      <c r="E694" s="1511"/>
      <c r="F694" s="2170"/>
      <c r="G694" s="7510" t="s">
        <v>684</v>
      </c>
      <c r="H694" s="2856" t="s">
        <v>92</v>
      </c>
      <c r="I694" s="2857" t="s">
        <v>1023</v>
      </c>
      <c r="J694" s="2826" t="s">
        <v>1071</v>
      </c>
      <c r="K694" s="2858" t="s">
        <v>1160</v>
      </c>
      <c r="L694" s="2448" t="s">
        <v>19</v>
      </c>
      <c r="M694" s="2449"/>
      <c r="N694" s="2327"/>
      <c r="O694" s="1518" t="s">
        <v>371</v>
      </c>
      <c r="P694" s="1519"/>
      <c r="Q694" s="1519"/>
      <c r="R694" s="1519"/>
      <c r="S694" s="1519"/>
      <c r="T694" s="1519"/>
      <c r="U694" s="1519"/>
      <c r="V694" s="1519"/>
      <c r="W694" s="1519"/>
      <c r="X694" s="1519"/>
      <c r="Y694" s="1519"/>
      <c r="Z694" s="1519"/>
      <c r="AA694" s="1519"/>
      <c r="AB694" s="1519"/>
      <c r="AC694" s="1519"/>
      <c r="AD694" s="1519"/>
      <c r="AE694" s="1519"/>
      <c r="AF694" s="2847">
        <v>6</v>
      </c>
      <c r="AG694" s="2848" t="s">
        <v>1067</v>
      </c>
      <c r="AH694" s="2848" t="s">
        <v>1104</v>
      </c>
      <c r="AI694" s="2847"/>
      <c r="AJ694" s="2848"/>
      <c r="AK694" s="2848"/>
      <c r="AL694" s="2329"/>
      <c r="AM694" s="2164"/>
      <c r="AN694" s="2164"/>
      <c r="AO694" s="2164"/>
      <c r="AP694" s="2164"/>
      <c r="AQ694" s="2164"/>
      <c r="AR694" s="2164"/>
      <c r="AS694" s="2164"/>
      <c r="AT694" s="2164"/>
      <c r="AU694" s="2164"/>
      <c r="AV694" s="2164"/>
      <c r="AW694" s="2164"/>
      <c r="AX694" s="2164"/>
      <c r="AY694" s="2164"/>
      <c r="AZ694" s="2164"/>
      <c r="BA694" s="2164"/>
      <c r="BB694" s="2164"/>
      <c r="BC694" s="2164"/>
      <c r="BD694" s="2164"/>
      <c r="BE694" s="2164"/>
      <c r="BF694" s="2164"/>
      <c r="BG694" s="7511"/>
    </row>
    <row customHeight="1" ht="11.25">
      <c r="A695" s="1507" t="s">
        <v>990</v>
      </c>
      <c r="B695" s="1507"/>
      <c r="C695" s="1507"/>
      <c r="D695" s="1501"/>
      <c r="E695" s="1511"/>
      <c r="F695" s="2170"/>
      <c r="G695" s="2171"/>
      <c r="H695" s="2856" t="s">
        <v>108</v>
      </c>
      <c r="I695" s="2857"/>
      <c r="J695" s="2826"/>
      <c r="K695" s="2858"/>
      <c r="L695" s="2448"/>
      <c r="M695" s="2449"/>
      <c r="N695" s="2849"/>
      <c r="O695" s="2850">
        <v>1</v>
      </c>
      <c r="P695" s="2851" t="s">
        <v>65</v>
      </c>
      <c r="Q695" s="7512" t="s">
        <v>1161</v>
      </c>
      <c r="R695" s="7513" t="s">
        <v>1083</v>
      </c>
      <c r="S695" s="7513" t="s">
        <v>1162</v>
      </c>
      <c r="T695" s="7513" t="s">
        <v>1163</v>
      </c>
      <c r="U695" s="7513" t="s">
        <v>1164</v>
      </c>
      <c r="V695" s="7513" t="s">
        <v>1165</v>
      </c>
      <c r="W695" s="7513" t="s">
        <v>1166</v>
      </c>
      <c r="X695" s="7513" t="s">
        <v>1167</v>
      </c>
      <c r="Y695" s="7513" t="s">
        <v>1168</v>
      </c>
      <c r="Z695" s="1516"/>
      <c r="AA695" s="1517"/>
      <c r="AB695" s="1517"/>
      <c r="AC695" s="1521"/>
      <c r="AD695" s="1521"/>
      <c r="AE695" s="1522"/>
      <c r="AF695" s="2847"/>
      <c r="AG695" s="2848"/>
      <c r="AH695" s="2848"/>
      <c r="AI695" s="2847"/>
      <c r="AJ695" s="2848"/>
      <c r="AK695" s="2848"/>
      <c r="AL695" s="2329"/>
      <c r="AM695" s="2164"/>
      <c r="AN695" s="2164"/>
      <c r="AO695" s="2164"/>
      <c r="AP695" s="2164"/>
      <c r="AQ695" s="2164"/>
      <c r="AR695" s="2164"/>
      <c r="AS695" s="2164"/>
      <c r="AT695" s="2164"/>
      <c r="AU695" s="2164"/>
      <c r="AV695" s="2164"/>
      <c r="AW695" s="2164"/>
      <c r="AX695" s="2164"/>
      <c r="AY695" s="2164"/>
      <c r="AZ695" s="2164"/>
      <c r="BA695" s="2164"/>
      <c r="BB695" s="2164"/>
      <c r="BC695" s="2164"/>
      <c r="BD695" s="2164"/>
      <c r="BE695" s="2164"/>
      <c r="BF695" s="2164"/>
      <c r="BG695" s="7511"/>
    </row>
    <row customHeight="1" ht="11.25">
      <c r="A696" s="1507" t="s">
        <v>990</v>
      </c>
      <c r="B696" s="1507"/>
      <c r="C696" s="1507"/>
      <c r="D696" s="1501"/>
      <c r="E696" s="1511"/>
      <c r="F696" s="2170"/>
      <c r="G696" s="2171"/>
      <c r="H696" s="2856" t="s">
        <v>108</v>
      </c>
      <c r="I696" s="2857"/>
      <c r="J696" s="2826"/>
      <c r="K696" s="2858"/>
      <c r="L696" s="2448"/>
      <c r="M696" s="2449"/>
      <c r="N696" s="2849"/>
      <c r="O696" s="2850"/>
      <c r="P696" s="2852"/>
      <c r="Q696" s="7512"/>
      <c r="R696" s="2854"/>
      <c r="S696" s="2855"/>
      <c r="T696" s="2854"/>
      <c r="U696" s="2854"/>
      <c r="V696" s="2854"/>
      <c r="W696" s="2854"/>
      <c r="X696" s="2854"/>
      <c r="Y696" s="2854"/>
      <c r="Z696" s="2169"/>
      <c r="AA696" s="2135">
        <v>1</v>
      </c>
      <c r="AB696" s="1520" t="s">
        <v>1035</v>
      </c>
      <c r="AC696" s="1510">
        <v>26650.84333</v>
      </c>
      <c r="AD696" s="1520" t="str">
        <f>AB696</f>
        <v>      Амортизационные отчисления с выделением результатов переоценки основных средств и нематериальных активов</v>
      </c>
      <c r="AE696" s="1510"/>
      <c r="AF696" s="2847"/>
      <c r="AG696" s="2848"/>
      <c r="AH696" s="2848"/>
      <c r="AI696" s="2847"/>
      <c r="AJ696" s="2848"/>
      <c r="AK696" s="2848"/>
      <c r="AL696" s="2329"/>
      <c r="AM696" s="2164"/>
      <c r="AN696" s="2164"/>
      <c r="AO696" s="2164"/>
      <c r="AP696" s="2164"/>
      <c r="AQ696" s="2164"/>
      <c r="AR696" s="2164"/>
      <c r="AS696" s="2164"/>
      <c r="AT696" s="2164"/>
      <c r="AU696" s="2164"/>
      <c r="AV696" s="2164"/>
      <c r="AW696" s="2164"/>
      <c r="AX696" s="2164"/>
      <c r="AY696" s="2164"/>
      <c r="AZ696" s="2164"/>
      <c r="BA696" s="2164"/>
      <c r="BB696" s="2164"/>
      <c r="BC696" s="2164"/>
      <c r="BD696" s="2164"/>
      <c r="BE696" s="2164"/>
      <c r="BF696" s="2164"/>
      <c r="BG696" s="7511"/>
    </row>
    <row customHeight="1" ht="11.25">
      <c r="A697" s="1507" t="s">
        <v>990</v>
      </c>
      <c r="B697" s="1507"/>
      <c r="C697" s="1507"/>
      <c r="D697" s="1501"/>
      <c r="E697" s="1511"/>
      <c r="F697" s="2171"/>
      <c r="G697" s="2171"/>
      <c r="H697" s="2171"/>
      <c r="I697" s="2171"/>
      <c r="J697" s="2171"/>
      <c r="K697" s="2171"/>
      <c r="L697" s="2171"/>
      <c r="M697" s="2171"/>
      <c r="N697" s="2171"/>
      <c r="O697" s="2171"/>
      <c r="P697" s="2171"/>
      <c r="Q697" s="2171"/>
      <c r="R697" s="2171"/>
      <c r="S697" s="2171"/>
      <c r="T697" s="2171"/>
      <c r="U697" s="2171"/>
      <c r="V697" s="2171"/>
      <c r="W697" s="2171"/>
      <c r="X697" s="2171"/>
      <c r="Y697" s="2171"/>
      <c r="Z697" s="7510" t="s">
        <v>684</v>
      </c>
      <c r="AA697" s="2155" t="s">
        <v>107</v>
      </c>
      <c r="AB697" s="1520" t="s">
        <v>1036</v>
      </c>
      <c r="AC697" s="1510">
        <v>4903.75517</v>
      </c>
      <c r="AD697" s="1520" t="str">
        <f>AB697</f>
        <v>  Прочие собственные средства</v>
      </c>
      <c r="AE697" s="1510"/>
      <c r="AF697" s="2172"/>
      <c r="AG697" s="2100"/>
      <c r="AH697" s="2100"/>
      <c r="AI697" s="2172"/>
      <c r="AJ697" s="2100"/>
      <c r="AK697" s="2328"/>
      <c r="AL697" s="2329"/>
      <c r="AM697" s="2164"/>
      <c r="AN697" s="2164"/>
      <c r="AO697" s="2164"/>
      <c r="AP697" s="2164"/>
      <c r="AQ697" s="2164"/>
      <c r="AR697" s="2164"/>
      <c r="AS697" s="2164"/>
      <c r="AT697" s="2164"/>
      <c r="AU697" s="2164"/>
      <c r="AV697" s="2164"/>
      <c r="AW697" s="2164"/>
      <c r="AX697" s="2164"/>
      <c r="AY697" s="2164"/>
      <c r="AZ697" s="2164"/>
      <c r="BA697" s="2164"/>
      <c r="BB697" s="2164"/>
      <c r="BC697" s="2164"/>
      <c r="BD697" s="2164"/>
      <c r="BE697" s="2164"/>
      <c r="BF697" s="2164"/>
      <c r="BG697" s="7511"/>
    </row>
    <row customHeight="1" ht="11.25">
      <c r="A698" s="1507" t="s">
        <v>990</v>
      </c>
      <c r="B698" s="1507"/>
      <c r="C698" s="1507"/>
      <c r="D698" s="1501"/>
      <c r="E698" s="1511"/>
      <c r="F698" s="2170"/>
      <c r="G698" s="2171"/>
      <c r="H698" s="2856" t="s">
        <v>108</v>
      </c>
      <c r="I698" s="2857"/>
      <c r="J698" s="2826"/>
      <c r="K698" s="2858"/>
      <c r="L698" s="2448"/>
      <c r="M698" s="2449"/>
      <c r="N698" s="2849"/>
      <c r="O698" s="2850"/>
      <c r="P698" s="2853"/>
      <c r="Q698" s="7512"/>
      <c r="R698" s="2854"/>
      <c r="S698" s="2855"/>
      <c r="T698" s="2854"/>
      <c r="U698" s="2854"/>
      <c r="V698" s="2854"/>
      <c r="W698" s="2854"/>
      <c r="X698" s="2854"/>
      <c r="Y698" s="2854"/>
      <c r="Z698" s="1516"/>
      <c r="AA698" s="1517"/>
      <c r="AB698" s="1582" t="s">
        <v>1037</v>
      </c>
      <c r="AC698" s="1521"/>
      <c r="AD698" s="1521"/>
      <c r="AE698" s="1523"/>
      <c r="AF698" s="2847"/>
      <c r="AG698" s="2848"/>
      <c r="AH698" s="2848"/>
      <c r="AI698" s="2847"/>
      <c r="AJ698" s="2848"/>
      <c r="AK698" s="2848"/>
      <c r="AL698" s="2329"/>
      <c r="AM698" s="2164"/>
      <c r="AN698" s="2164"/>
      <c r="AO698" s="2164"/>
      <c r="AP698" s="2164"/>
      <c r="AQ698" s="2164"/>
      <c r="AR698" s="2164"/>
      <c r="AS698" s="2164"/>
      <c r="AT698" s="2164"/>
      <c r="AU698" s="2164"/>
      <c r="AV698" s="2164"/>
      <c r="AW698" s="2164"/>
      <c r="AX698" s="2164"/>
      <c r="AY698" s="2164"/>
      <c r="AZ698" s="2164"/>
      <c r="BA698" s="2164"/>
      <c r="BB698" s="2164"/>
      <c r="BC698" s="2164"/>
      <c r="BD698" s="2164"/>
      <c r="BE698" s="2164"/>
      <c r="BF698" s="2164"/>
      <c r="BG698" s="7511"/>
    </row>
    <row customHeight="1" ht="11.25">
      <c r="A699" s="1507" t="s">
        <v>990</v>
      </c>
      <c r="B699" s="1507"/>
      <c r="C699" s="1507"/>
      <c r="D699" s="1501"/>
      <c r="E699" s="1511"/>
      <c r="F699" s="2170"/>
      <c r="G699" s="2171"/>
      <c r="H699" s="2856" t="s">
        <v>108</v>
      </c>
      <c r="I699" s="2857"/>
      <c r="J699" s="2826"/>
      <c r="K699" s="2858"/>
      <c r="L699" s="2448"/>
      <c r="M699" s="2449"/>
      <c r="N699" s="1516"/>
      <c r="O699" s="1517"/>
      <c r="P699" s="1509" t="s">
        <v>1038</v>
      </c>
      <c r="Q699" s="1517"/>
      <c r="R699" s="1517"/>
      <c r="S699" s="1517"/>
      <c r="T699" s="1517"/>
      <c r="U699" s="1517"/>
      <c r="V699" s="1517"/>
      <c r="W699" s="1517"/>
      <c r="X699" s="1517"/>
      <c r="Y699" s="1517"/>
      <c r="Z699" s="1517"/>
      <c r="AA699" s="1517"/>
      <c r="AB699" s="1517"/>
      <c r="AC699" s="1517"/>
      <c r="AD699" s="1517"/>
      <c r="AE699" s="1524"/>
      <c r="AF699" s="2847"/>
      <c r="AG699" s="2848"/>
      <c r="AH699" s="2848"/>
      <c r="AI699" s="2847"/>
      <c r="AJ699" s="2848"/>
      <c r="AK699" s="2848"/>
      <c r="AL699" s="2329"/>
      <c r="AM699" s="2164"/>
      <c r="AN699" s="2164"/>
      <c r="AO699" s="2164"/>
      <c r="AP699" s="2164"/>
      <c r="AQ699" s="2164"/>
      <c r="AR699" s="2164"/>
      <c r="AS699" s="2164"/>
      <c r="AT699" s="2164"/>
      <c r="AU699" s="2164"/>
      <c r="AV699" s="2164"/>
      <c r="AW699" s="2164"/>
      <c r="AX699" s="2164"/>
      <c r="AY699" s="2164"/>
      <c r="AZ699" s="2164"/>
      <c r="BA699" s="2164"/>
      <c r="BB699" s="2164"/>
      <c r="BC699" s="2164"/>
      <c r="BD699" s="2164"/>
      <c r="BE699" s="2164"/>
      <c r="BF699" s="2164"/>
      <c r="BG699" s="7511"/>
    </row>
    <row customHeight="1" ht="12">
      <c r="A700" s="1507" t="s">
        <v>990</v>
      </c>
      <c r="B700" s="1507"/>
      <c r="C700" s="1507"/>
      <c r="D700" s="1501"/>
      <c r="E700" s="1511"/>
      <c r="F700" s="2878"/>
      <c r="G700" s="1531"/>
      <c r="H700" s="1531"/>
      <c r="I700" s="2876" t="s">
        <v>1179</v>
      </c>
      <c r="J700" s="2876"/>
      <c r="K700" s="2876"/>
      <c r="L700" s="1514"/>
      <c r="M700" s="1514"/>
      <c r="N700" s="1515"/>
      <c r="O700" s="1515"/>
      <c r="P700" s="1515"/>
      <c r="Q700" s="1515"/>
      <c r="R700" s="1515"/>
      <c r="S700" s="1515"/>
      <c r="T700" s="1515"/>
      <c r="U700" s="1515"/>
      <c r="V700" s="1515"/>
      <c r="W700" s="1515"/>
      <c r="X700" s="1515"/>
      <c r="Y700" s="1515"/>
      <c r="Z700" s="1515"/>
      <c r="AA700" s="1515"/>
      <c r="AB700" s="1515"/>
      <c r="AC700" s="1515"/>
      <c r="AD700" s="1515"/>
      <c r="AE700" s="1515"/>
      <c r="AF700" s="1515"/>
      <c r="AG700" s="1514"/>
      <c r="AH700" s="1514"/>
      <c r="AI700" s="1515"/>
      <c r="AJ700" s="1514"/>
      <c r="AK700" s="1515"/>
      <c r="AL700" s="2329"/>
      <c r="AM700" s="2164"/>
      <c r="AN700" s="2164"/>
      <c r="AO700" s="2164"/>
      <c r="AP700" s="2164"/>
      <c r="AQ700" s="2164"/>
      <c r="AR700" s="2164"/>
      <c r="AS700" s="2164"/>
      <c r="AT700" s="2164"/>
      <c r="AU700" s="2164"/>
      <c r="AV700" s="2164"/>
      <c r="AW700" s="2164"/>
      <c r="AX700" s="2164"/>
      <c r="AY700" s="2164"/>
      <c r="AZ700" s="2164"/>
      <c r="BA700" s="2164"/>
      <c r="BB700" s="2164"/>
      <c r="BC700" s="2164"/>
      <c r="BD700" s="2164"/>
      <c r="BE700" s="2164"/>
      <c r="BF700" s="2164"/>
      <c r="BG700" s="4573"/>
    </row>
    <row customHeight="1" ht="0.75">
      <c r="A701" s="1507" t="s">
        <v>990</v>
      </c>
      <c r="B701" s="1507"/>
      <c r="C701" s="1507"/>
      <c r="D701" s="1501"/>
      <c r="E701" s="1511"/>
      <c r="F701" s="2877">
        <v>2029</v>
      </c>
      <c r="G701" s="2856"/>
      <c r="H701" s="2881" t="s">
        <v>371</v>
      </c>
      <c r="I701" s="2882"/>
      <c r="J701" s="2883"/>
      <c r="K701" s="2883"/>
      <c r="L701" s="2875"/>
      <c r="M701" s="2609"/>
      <c r="N701" s="2377"/>
      <c r="O701" s="2376"/>
      <c r="P701" s="2377"/>
      <c r="Q701" s="2377"/>
      <c r="R701" s="2377"/>
      <c r="S701" s="2377"/>
      <c r="T701" s="2377"/>
      <c r="U701" s="2377"/>
      <c r="V701" s="2377"/>
      <c r="W701" s="2377"/>
      <c r="X701" s="2377"/>
      <c r="Y701" s="2377"/>
      <c r="Z701" s="2377"/>
      <c r="AA701" s="2377"/>
      <c r="AB701" s="2377"/>
      <c r="AC701" s="2377"/>
      <c r="AD701" s="2377"/>
      <c r="AE701" s="2377"/>
      <c r="AF701" s="2879"/>
      <c r="AG701" s="2875"/>
      <c r="AH701" s="2875"/>
      <c r="AI701" s="2879"/>
      <c r="AJ701" s="2875"/>
      <c r="AK701" s="2875"/>
      <c r="AL701" s="2329"/>
      <c r="AM701" s="2164"/>
      <c r="AN701" s="2164"/>
      <c r="AO701" s="2164"/>
      <c r="AP701" s="2164"/>
      <c r="AQ701" s="2164"/>
      <c r="AR701" s="2164"/>
      <c r="AS701" s="2164"/>
      <c r="AT701" s="2164"/>
      <c r="AU701" s="2164"/>
      <c r="AV701" s="2164"/>
      <c r="AW701" s="2164"/>
      <c r="AX701" s="2164"/>
      <c r="AY701" s="2164"/>
      <c r="AZ701" s="2164"/>
      <c r="BA701" s="2164"/>
      <c r="BB701" s="2164"/>
      <c r="BC701" s="2164"/>
      <c r="BD701" s="2164"/>
      <c r="BE701" s="2164"/>
      <c r="BF701" s="2164"/>
      <c r="BG701" s="4573"/>
    </row>
    <row customHeight="1" ht="0.75">
      <c r="A702" s="1507" t="s">
        <v>990</v>
      </c>
      <c r="B702" s="1507"/>
      <c r="C702" s="1507"/>
      <c r="D702" s="1501"/>
      <c r="E702" s="1511"/>
      <c r="F702" s="2877"/>
      <c r="G702" s="2856"/>
      <c r="H702" s="2881"/>
      <c r="I702" s="2882"/>
      <c r="J702" s="2883"/>
      <c r="K702" s="2883"/>
      <c r="L702" s="2875"/>
      <c r="M702" s="2609"/>
      <c r="N702" s="2884"/>
      <c r="O702" s="2885"/>
      <c r="P702" s="2929"/>
      <c r="Q702" s="2880"/>
      <c r="R702" s="2880"/>
      <c r="S702" s="2880"/>
      <c r="T702" s="2880"/>
      <c r="U702" s="2880"/>
      <c r="V702" s="2880"/>
      <c r="W702" s="2880"/>
      <c r="X702" s="2880"/>
      <c r="Y702" s="2880"/>
      <c r="Z702" s="2378"/>
      <c r="AA702" s="2379"/>
      <c r="AB702" s="2379"/>
      <c r="AC702" s="2380"/>
      <c r="AD702" s="2380"/>
      <c r="AE702" s="2381"/>
      <c r="AF702" s="2879"/>
      <c r="AG702" s="2875"/>
      <c r="AH702" s="2875"/>
      <c r="AI702" s="2879"/>
      <c r="AJ702" s="2875"/>
      <c r="AK702" s="2875"/>
      <c r="AL702" s="2329"/>
      <c r="AM702" s="2164"/>
      <c r="AN702" s="2164"/>
      <c r="AO702" s="2164"/>
      <c r="AP702" s="2164"/>
      <c r="AQ702" s="2164"/>
      <c r="AR702" s="2164"/>
      <c r="AS702" s="2164"/>
      <c r="AT702" s="2164"/>
      <c r="AU702" s="2164"/>
      <c r="AV702" s="2164"/>
      <c r="AW702" s="2164"/>
      <c r="AX702" s="2164"/>
      <c r="AY702" s="2164"/>
      <c r="AZ702" s="2164"/>
      <c r="BA702" s="2164"/>
      <c r="BB702" s="2164"/>
      <c r="BC702" s="2164"/>
      <c r="BD702" s="2164"/>
      <c r="BE702" s="2164"/>
      <c r="BF702" s="2164"/>
      <c r="BG702" s="4573"/>
    </row>
    <row customHeight="1" ht="0.75">
      <c r="A703" s="1507" t="s">
        <v>990</v>
      </c>
      <c r="B703" s="1507"/>
      <c r="C703" s="1507"/>
      <c r="D703" s="1501"/>
      <c r="E703" s="1511"/>
      <c r="F703" s="2877"/>
      <c r="G703" s="2856"/>
      <c r="H703" s="2881"/>
      <c r="I703" s="2882"/>
      <c r="J703" s="2883"/>
      <c r="K703" s="2883"/>
      <c r="L703" s="2875"/>
      <c r="M703" s="2609"/>
      <c r="N703" s="2884"/>
      <c r="O703" s="2885"/>
      <c r="P703" s="2930"/>
      <c r="Q703" s="2880"/>
      <c r="R703" s="2880"/>
      <c r="S703" s="2880"/>
      <c r="T703" s="2880"/>
      <c r="U703" s="2880"/>
      <c r="V703" s="2880"/>
      <c r="W703" s="2880"/>
      <c r="X703" s="2880"/>
      <c r="Y703" s="2880"/>
      <c r="Z703" s="2382"/>
      <c r="AA703" s="2383"/>
      <c r="AB703" s="2384"/>
      <c r="AC703" s="2385"/>
      <c r="AD703" s="2384"/>
      <c r="AE703" s="2385"/>
      <c r="AF703" s="2879"/>
      <c r="AG703" s="2875"/>
      <c r="AH703" s="2875"/>
      <c r="AI703" s="2879"/>
      <c r="AJ703" s="2875"/>
      <c r="AK703" s="2875"/>
      <c r="AL703" s="2329"/>
      <c r="AM703" s="2164"/>
      <c r="AN703" s="2164"/>
      <c r="AO703" s="2164"/>
      <c r="AP703" s="2164"/>
      <c r="AQ703" s="2164"/>
      <c r="AR703" s="2164"/>
      <c r="AS703" s="2164"/>
      <c r="AT703" s="2164"/>
      <c r="AU703" s="2164"/>
      <c r="AV703" s="2164"/>
      <c r="AW703" s="2164"/>
      <c r="AX703" s="2164"/>
      <c r="AY703" s="2164"/>
      <c r="AZ703" s="2164"/>
      <c r="BA703" s="2164"/>
      <c r="BB703" s="2164"/>
      <c r="BC703" s="2164"/>
      <c r="BD703" s="2164"/>
      <c r="BE703" s="2164"/>
      <c r="BF703" s="2164"/>
      <c r="BG703" s="4573"/>
    </row>
    <row customHeight="1" ht="0.75">
      <c r="A704" s="1507" t="s">
        <v>990</v>
      </c>
      <c r="B704" s="1507"/>
      <c r="C704" s="1507"/>
      <c r="D704" s="1501"/>
      <c r="E704" s="1511"/>
      <c r="F704" s="2877"/>
      <c r="G704" s="2856"/>
      <c r="H704" s="2881"/>
      <c r="I704" s="2882"/>
      <c r="J704" s="2883"/>
      <c r="K704" s="2883"/>
      <c r="L704" s="2875"/>
      <c r="M704" s="2609"/>
      <c r="N704" s="2884"/>
      <c r="O704" s="2885"/>
      <c r="P704" s="2931"/>
      <c r="Q704" s="2880"/>
      <c r="R704" s="2880"/>
      <c r="S704" s="2880"/>
      <c r="T704" s="2880"/>
      <c r="U704" s="2880"/>
      <c r="V704" s="2880"/>
      <c r="W704" s="2880"/>
      <c r="X704" s="2880"/>
      <c r="Y704" s="2880"/>
      <c r="Z704" s="2378"/>
      <c r="AA704" s="2379"/>
      <c r="AB704" s="2386"/>
      <c r="AC704" s="2380"/>
      <c r="AD704" s="2380"/>
      <c r="AE704" s="2387"/>
      <c r="AF704" s="2879"/>
      <c r="AG704" s="2875"/>
      <c r="AH704" s="2875"/>
      <c r="AI704" s="2879"/>
      <c r="AJ704" s="2875"/>
      <c r="AK704" s="2875"/>
      <c r="AL704" s="2329"/>
      <c r="AM704" s="2164"/>
      <c r="AN704" s="2164"/>
      <c r="AO704" s="2164"/>
      <c r="AP704" s="2164"/>
      <c r="AQ704" s="2164"/>
      <c r="AR704" s="2164"/>
      <c r="AS704" s="2164"/>
      <c r="AT704" s="2164"/>
      <c r="AU704" s="2164"/>
      <c r="AV704" s="2164"/>
      <c r="AW704" s="2164"/>
      <c r="AX704" s="2164"/>
      <c r="AY704" s="2164"/>
      <c r="AZ704" s="2164"/>
      <c r="BA704" s="2164"/>
      <c r="BB704" s="2164"/>
      <c r="BC704" s="2164"/>
      <c r="BD704" s="2164"/>
      <c r="BE704" s="2164"/>
      <c r="BF704" s="2164"/>
      <c r="BG704" s="4573"/>
    </row>
    <row customHeight="1" ht="0.75">
      <c r="A705" s="1507" t="s">
        <v>990</v>
      </c>
      <c r="B705" s="1507"/>
      <c r="C705" s="1507"/>
      <c r="D705" s="1501"/>
      <c r="E705" s="1511"/>
      <c r="F705" s="2877"/>
      <c r="G705" s="2856"/>
      <c r="H705" s="2881"/>
      <c r="I705" s="2882"/>
      <c r="J705" s="2883"/>
      <c r="K705" s="2883"/>
      <c r="L705" s="2875"/>
      <c r="M705" s="2609"/>
      <c r="N705" s="2379"/>
      <c r="O705" s="2379"/>
      <c r="P705" s="2386"/>
      <c r="Q705" s="2379"/>
      <c r="R705" s="2379"/>
      <c r="S705" s="2379"/>
      <c r="T705" s="2379"/>
      <c r="U705" s="2379"/>
      <c r="V705" s="2379"/>
      <c r="W705" s="2379"/>
      <c r="X705" s="2379"/>
      <c r="Y705" s="2379"/>
      <c r="Z705" s="2379"/>
      <c r="AA705" s="2379"/>
      <c r="AB705" s="2379"/>
      <c r="AC705" s="2379"/>
      <c r="AD705" s="2379"/>
      <c r="AE705" s="2388"/>
      <c r="AF705" s="2879"/>
      <c r="AG705" s="2875"/>
      <c r="AH705" s="2875"/>
      <c r="AI705" s="2879"/>
      <c r="AJ705" s="2875"/>
      <c r="AK705" s="2875"/>
      <c r="AL705" s="2329"/>
      <c r="AM705" s="2164"/>
      <c r="AN705" s="2164"/>
      <c r="AO705" s="2164"/>
      <c r="AP705" s="2164"/>
      <c r="AQ705" s="2164"/>
      <c r="AR705" s="2164"/>
      <c r="AS705" s="2164"/>
      <c r="AT705" s="2164"/>
      <c r="AU705" s="2164"/>
      <c r="AV705" s="2164"/>
      <c r="AW705" s="2164"/>
      <c r="AX705" s="2164"/>
      <c r="AY705" s="2164"/>
      <c r="AZ705" s="2164"/>
      <c r="BA705" s="2164"/>
      <c r="BB705" s="2164"/>
      <c r="BC705" s="2164"/>
      <c r="BD705" s="2164"/>
      <c r="BE705" s="2164"/>
      <c r="BF705" s="2164"/>
      <c r="BG705" s="4573"/>
    </row>
    <row customHeight="1" ht="11.25">
      <c r="A706" s="1507" t="s">
        <v>990</v>
      </c>
      <c r="B706" s="1507" t="s">
        <v>1022</v>
      </c>
      <c r="C706" s="1507"/>
      <c r="D706" s="1501"/>
      <c r="E706" s="1511"/>
      <c r="F706" s="2170"/>
      <c r="G706" s="4557" t="s">
        <v>684</v>
      </c>
      <c r="H706" s="2856" t="s">
        <v>106</v>
      </c>
      <c r="I706" s="2857" t="s">
        <v>1023</v>
      </c>
      <c r="J706" s="2826" t="s">
        <v>1024</v>
      </c>
      <c r="K706" s="2858" t="s">
        <v>1186</v>
      </c>
      <c r="L706" s="2448" t="s">
        <v>19</v>
      </c>
      <c r="M706" s="2449"/>
      <c r="N706" s="2327"/>
      <c r="O706" s="1518" t="s">
        <v>371</v>
      </c>
      <c r="P706" s="1519"/>
      <c r="Q706" s="1519"/>
      <c r="R706" s="1519"/>
      <c r="S706" s="1519"/>
      <c r="T706" s="1519"/>
      <c r="U706" s="1519"/>
      <c r="V706" s="1519"/>
      <c r="W706" s="1519"/>
      <c r="X706" s="1519"/>
      <c r="Y706" s="1519"/>
      <c r="Z706" s="1519"/>
      <c r="AA706" s="1519"/>
      <c r="AB706" s="1519"/>
      <c r="AC706" s="1519"/>
      <c r="AD706" s="1519"/>
      <c r="AE706" s="1519"/>
      <c r="AF706" s="2847">
        <v>6</v>
      </c>
      <c r="AG706" s="2848" t="s">
        <v>1026</v>
      </c>
      <c r="AH706" s="2848" t="s">
        <v>1104</v>
      </c>
      <c r="AI706" s="2847"/>
      <c r="AJ706" s="2848"/>
      <c r="AK706" s="2848"/>
      <c r="AL706" s="2329"/>
      <c r="AM706" s="2164"/>
      <c r="AN706" s="2164"/>
      <c r="AO706" s="2164"/>
      <c r="AP706" s="2164"/>
      <c r="AQ706" s="2164"/>
      <c r="AR706" s="2164"/>
      <c r="AS706" s="2164"/>
      <c r="AT706" s="2164"/>
      <c r="AU706" s="2164"/>
      <c r="AV706" s="2164"/>
      <c r="AW706" s="2164"/>
      <c r="AX706" s="2164"/>
      <c r="AY706" s="2164"/>
      <c r="AZ706" s="2164"/>
      <c r="BA706" s="2164"/>
      <c r="BB706" s="2164"/>
      <c r="BC706" s="2164"/>
      <c r="BD706" s="2164"/>
      <c r="BE706" s="2164"/>
      <c r="BF706" s="2164"/>
      <c r="BG706" s="4573"/>
    </row>
    <row customHeight="1" ht="11.25">
      <c r="A707" s="1507" t="s">
        <v>990</v>
      </c>
      <c r="B707" s="1507"/>
      <c r="C707" s="1507"/>
      <c r="D707" s="1501"/>
      <c r="E707" s="1511"/>
      <c r="F707" s="2170"/>
      <c r="G707" s="2171"/>
      <c r="H707" s="2856" t="s">
        <v>371</v>
      </c>
      <c r="I707" s="2857"/>
      <c r="J707" s="2826"/>
      <c r="K707" s="2858"/>
      <c r="L707" s="2448"/>
      <c r="M707" s="2449"/>
      <c r="N707" s="2849"/>
      <c r="O707" s="2850">
        <v>1</v>
      </c>
      <c r="P707" s="2851" t="s">
        <v>65</v>
      </c>
      <c r="Q707" s="4672" t="s">
        <v>1028</v>
      </c>
      <c r="R707" s="4673" t="s">
        <v>1029</v>
      </c>
      <c r="S707" s="4673" t="s">
        <v>1030</v>
      </c>
      <c r="T707" s="4673" t="s">
        <v>1030</v>
      </c>
      <c r="U707" s="4673" t="s">
        <v>1031</v>
      </c>
      <c r="V707" s="4673" t="s">
        <v>1032</v>
      </c>
      <c r="W707" s="4673" t="s">
        <v>1033</v>
      </c>
      <c r="X707" s="4673" t="s">
        <v>1034</v>
      </c>
      <c r="Y707" s="4673" t="s">
        <v>106</v>
      </c>
      <c r="Z707" s="1516"/>
      <c r="AA707" s="1517"/>
      <c r="AB707" s="1517"/>
      <c r="AC707" s="1521"/>
      <c r="AD707" s="1521"/>
      <c r="AE707" s="1522"/>
      <c r="AF707" s="2847"/>
      <c r="AG707" s="2848"/>
      <c r="AH707" s="2848"/>
      <c r="AI707" s="2847"/>
      <c r="AJ707" s="2848"/>
      <c r="AK707" s="2848"/>
      <c r="AL707" s="2329"/>
      <c r="AM707" s="2164"/>
      <c r="AN707" s="2164"/>
      <c r="AO707" s="2164"/>
      <c r="AP707" s="2164"/>
      <c r="AQ707" s="2164"/>
      <c r="AR707" s="2164"/>
      <c r="AS707" s="2164"/>
      <c r="AT707" s="2164"/>
      <c r="AU707" s="2164"/>
      <c r="AV707" s="2164"/>
      <c r="AW707" s="2164"/>
      <c r="AX707" s="2164"/>
      <c r="AY707" s="2164"/>
      <c r="AZ707" s="2164"/>
      <c r="BA707" s="2164"/>
      <c r="BB707" s="2164"/>
      <c r="BC707" s="2164"/>
      <c r="BD707" s="2164"/>
      <c r="BE707" s="2164"/>
      <c r="BF707" s="2164"/>
      <c r="BG707" s="4573"/>
    </row>
    <row customHeight="1" ht="11.25">
      <c r="A708" s="1507" t="s">
        <v>990</v>
      </c>
      <c r="B708" s="1507"/>
      <c r="C708" s="1507"/>
      <c r="D708" s="1501"/>
      <c r="E708" s="1511"/>
      <c r="F708" s="2170"/>
      <c r="G708" s="2171"/>
      <c r="H708" s="2856" t="s">
        <v>371</v>
      </c>
      <c r="I708" s="2857"/>
      <c r="J708" s="2826"/>
      <c r="K708" s="2858"/>
      <c r="L708" s="2448"/>
      <c r="M708" s="2449"/>
      <c r="N708" s="2849"/>
      <c r="O708" s="2850"/>
      <c r="P708" s="2852"/>
      <c r="Q708" s="4672"/>
      <c r="R708" s="2854"/>
      <c r="S708" s="2855"/>
      <c r="T708" s="2854"/>
      <c r="U708" s="2854"/>
      <c r="V708" s="2854"/>
      <c r="W708" s="2854"/>
      <c r="X708" s="2854"/>
      <c r="Y708" s="2854"/>
      <c r="Z708" s="2169"/>
      <c r="AA708" s="2135">
        <v>1</v>
      </c>
      <c r="AB708" s="1520" t="s">
        <v>1035</v>
      </c>
      <c r="AC708" s="1510">
        <v>92643.17354</v>
      </c>
      <c r="AD708" s="1520" t="str">
        <f>AB708</f>
        <v>      Амортизационные отчисления с выделением результатов переоценки основных средств и нематериальных активов</v>
      </c>
      <c r="AE708" s="1510"/>
      <c r="AF708" s="2847"/>
      <c r="AG708" s="2848"/>
      <c r="AH708" s="2848"/>
      <c r="AI708" s="2847"/>
      <c r="AJ708" s="2848"/>
      <c r="AK708" s="2848"/>
      <c r="AL708" s="2329"/>
      <c r="AM708" s="2164"/>
      <c r="AN708" s="2164"/>
      <c r="AO708" s="2164"/>
      <c r="AP708" s="2164"/>
      <c r="AQ708" s="2164"/>
      <c r="AR708" s="2164"/>
      <c r="AS708" s="2164"/>
      <c r="AT708" s="2164"/>
      <c r="AU708" s="2164"/>
      <c r="AV708" s="2164"/>
      <c r="AW708" s="2164"/>
      <c r="AX708" s="2164"/>
      <c r="AY708" s="2164"/>
      <c r="AZ708" s="2164"/>
      <c r="BA708" s="2164"/>
      <c r="BB708" s="2164"/>
      <c r="BC708" s="2164"/>
      <c r="BD708" s="2164"/>
      <c r="BE708" s="2164"/>
      <c r="BF708" s="2164"/>
      <c r="BG708" s="4573"/>
    </row>
    <row customHeight="1" ht="11.25">
      <c r="A709" s="1507" t="s">
        <v>990</v>
      </c>
      <c r="B709" s="1507"/>
      <c r="C709" s="1507"/>
      <c r="D709" s="1501"/>
      <c r="E709" s="1511"/>
      <c r="F709" s="2171"/>
      <c r="G709" s="2171"/>
      <c r="H709" s="2171"/>
      <c r="I709" s="2171"/>
      <c r="J709" s="2171"/>
      <c r="K709" s="2171"/>
      <c r="L709" s="2171"/>
      <c r="M709" s="2171"/>
      <c r="N709" s="2171"/>
      <c r="O709" s="2171"/>
      <c r="P709" s="2171"/>
      <c r="Q709" s="2171"/>
      <c r="R709" s="2171"/>
      <c r="S709" s="2171"/>
      <c r="T709" s="2171"/>
      <c r="U709" s="2171"/>
      <c r="V709" s="2171"/>
      <c r="W709" s="2171"/>
      <c r="X709" s="2171"/>
      <c r="Y709" s="2171"/>
      <c r="Z709" s="4557" t="s">
        <v>684</v>
      </c>
      <c r="AA709" s="2155" t="s">
        <v>107</v>
      </c>
      <c r="AB709" s="1520" t="s">
        <v>1036</v>
      </c>
      <c r="AC709" s="1510">
        <v>18528.63471</v>
      </c>
      <c r="AD709" s="1520" t="str">
        <f>AB709</f>
        <v>  Прочие собственные средства</v>
      </c>
      <c r="AE709" s="1510"/>
      <c r="AF709" s="2172"/>
      <c r="AG709" s="2100"/>
      <c r="AH709" s="2100"/>
      <c r="AI709" s="2172"/>
      <c r="AJ709" s="2100"/>
      <c r="AK709" s="2328"/>
      <c r="AL709" s="2329"/>
      <c r="AM709" s="2164"/>
      <c r="AN709" s="2164"/>
      <c r="AO709" s="2164"/>
      <c r="AP709" s="2164"/>
      <c r="AQ709" s="2164"/>
      <c r="AR709" s="2164"/>
      <c r="AS709" s="2164"/>
      <c r="AT709" s="2164"/>
      <c r="AU709" s="2164"/>
      <c r="AV709" s="2164"/>
      <c r="AW709" s="2164"/>
      <c r="AX709" s="2164"/>
      <c r="AY709" s="2164"/>
      <c r="AZ709" s="2164"/>
      <c r="BA709" s="2164"/>
      <c r="BB709" s="2164"/>
      <c r="BC709" s="2164"/>
      <c r="BD709" s="2164"/>
      <c r="BE709" s="2164"/>
      <c r="BF709" s="2164"/>
      <c r="BG709" s="4573"/>
    </row>
    <row customHeight="1" ht="11.25">
      <c r="A710" s="1507" t="s">
        <v>990</v>
      </c>
      <c r="B710" s="1507"/>
      <c r="C710" s="1507"/>
      <c r="D710" s="1501"/>
      <c r="E710" s="1511"/>
      <c r="F710" s="2170"/>
      <c r="G710" s="2171"/>
      <c r="H710" s="2856" t="s">
        <v>371</v>
      </c>
      <c r="I710" s="2857"/>
      <c r="J710" s="2826"/>
      <c r="K710" s="2858"/>
      <c r="L710" s="2448"/>
      <c r="M710" s="2449"/>
      <c r="N710" s="2849"/>
      <c r="O710" s="2850"/>
      <c r="P710" s="2853"/>
      <c r="Q710" s="4672"/>
      <c r="R710" s="2854"/>
      <c r="S710" s="2855"/>
      <c r="T710" s="2854"/>
      <c r="U710" s="2854"/>
      <c r="V710" s="2854"/>
      <c r="W710" s="2854"/>
      <c r="X710" s="2854"/>
      <c r="Y710" s="2854"/>
      <c r="Z710" s="1516"/>
      <c r="AA710" s="1517"/>
      <c r="AB710" s="1582" t="s">
        <v>1037</v>
      </c>
      <c r="AC710" s="1521"/>
      <c r="AD710" s="1521"/>
      <c r="AE710" s="1523"/>
      <c r="AF710" s="2847"/>
      <c r="AG710" s="2848"/>
      <c r="AH710" s="2848"/>
      <c r="AI710" s="2847"/>
      <c r="AJ710" s="2848"/>
      <c r="AK710" s="2848"/>
      <c r="AL710" s="2329"/>
      <c r="AM710" s="2164"/>
      <c r="AN710" s="2164"/>
      <c r="AO710" s="2164"/>
      <c r="AP710" s="2164"/>
      <c r="AQ710" s="2164"/>
      <c r="AR710" s="2164"/>
      <c r="AS710" s="2164"/>
      <c r="AT710" s="2164"/>
      <c r="AU710" s="2164"/>
      <c r="AV710" s="2164"/>
      <c r="AW710" s="2164"/>
      <c r="AX710" s="2164"/>
      <c r="AY710" s="2164"/>
      <c r="AZ710" s="2164"/>
      <c r="BA710" s="2164"/>
      <c r="BB710" s="2164"/>
      <c r="BC710" s="2164"/>
      <c r="BD710" s="2164"/>
      <c r="BE710" s="2164"/>
      <c r="BF710" s="2164"/>
      <c r="BG710" s="4573"/>
    </row>
    <row customHeight="1" ht="11.25">
      <c r="A711" s="1507" t="s">
        <v>990</v>
      </c>
      <c r="B711" s="1507"/>
      <c r="C711" s="1507"/>
      <c r="D711" s="1501"/>
      <c r="E711" s="1511"/>
      <c r="F711" s="2170"/>
      <c r="G711" s="2171"/>
      <c r="H711" s="2856" t="s">
        <v>371</v>
      </c>
      <c r="I711" s="2857"/>
      <c r="J711" s="2826"/>
      <c r="K711" s="2858"/>
      <c r="L711" s="2448"/>
      <c r="M711" s="2449"/>
      <c r="N711" s="1516"/>
      <c r="O711" s="1517"/>
      <c r="P711" s="1509" t="s">
        <v>1038</v>
      </c>
      <c r="Q711" s="1517"/>
      <c r="R711" s="1517"/>
      <c r="S711" s="1517"/>
      <c r="T711" s="1517"/>
      <c r="U711" s="1517"/>
      <c r="V711" s="1517"/>
      <c r="W711" s="1517"/>
      <c r="X711" s="1517"/>
      <c r="Y711" s="1517"/>
      <c r="Z711" s="1517"/>
      <c r="AA711" s="1517"/>
      <c r="AB711" s="1517"/>
      <c r="AC711" s="1517"/>
      <c r="AD711" s="1517"/>
      <c r="AE711" s="1524"/>
      <c r="AF711" s="2847"/>
      <c r="AG711" s="2848"/>
      <c r="AH711" s="2848"/>
      <c r="AI711" s="2847"/>
      <c r="AJ711" s="2848"/>
      <c r="AK711" s="2848"/>
      <c r="AL711" s="2329"/>
      <c r="AM711" s="2164"/>
      <c r="AN711" s="2164"/>
      <c r="AO711" s="2164"/>
      <c r="AP711" s="2164"/>
      <c r="AQ711" s="2164"/>
      <c r="AR711" s="2164"/>
      <c r="AS711" s="2164"/>
      <c r="AT711" s="2164"/>
      <c r="AU711" s="2164"/>
      <c r="AV711" s="2164"/>
      <c r="AW711" s="2164"/>
      <c r="AX711" s="2164"/>
      <c r="AY711" s="2164"/>
      <c r="AZ711" s="2164"/>
      <c r="BA711" s="2164"/>
      <c r="BB711" s="2164"/>
      <c r="BC711" s="2164"/>
      <c r="BD711" s="2164"/>
      <c r="BE711" s="2164"/>
      <c r="BF711" s="2164"/>
      <c r="BG711" s="4573"/>
    </row>
    <row customHeight="1" ht="11.25">
      <c r="A712" s="1507" t="s">
        <v>990</v>
      </c>
      <c r="B712" s="1507" t="s">
        <v>1022</v>
      </c>
      <c r="C712" s="1507"/>
      <c r="D712" s="1501"/>
      <c r="E712" s="1511"/>
      <c r="F712" s="2170"/>
      <c r="G712" s="4557" t="s">
        <v>684</v>
      </c>
      <c r="H712" s="2856" t="s">
        <v>107</v>
      </c>
      <c r="I712" s="2857" t="s">
        <v>1023</v>
      </c>
      <c r="J712" s="2826" t="s">
        <v>1024</v>
      </c>
      <c r="K712" s="2858" t="s">
        <v>1188</v>
      </c>
      <c r="L712" s="2448" t="s">
        <v>19</v>
      </c>
      <c r="M712" s="2449"/>
      <c r="N712" s="2327"/>
      <c r="O712" s="1518" t="s">
        <v>371</v>
      </c>
      <c r="P712" s="1519"/>
      <c r="Q712" s="1519"/>
      <c r="R712" s="1519"/>
      <c r="S712" s="1519"/>
      <c r="T712" s="1519"/>
      <c r="U712" s="1519"/>
      <c r="V712" s="1519"/>
      <c r="W712" s="1519"/>
      <c r="X712" s="1519"/>
      <c r="Y712" s="1519"/>
      <c r="Z712" s="1519"/>
      <c r="AA712" s="1519"/>
      <c r="AB712" s="1519"/>
      <c r="AC712" s="1519"/>
      <c r="AD712" s="1519"/>
      <c r="AE712" s="1519"/>
      <c r="AF712" s="2847">
        <v>5</v>
      </c>
      <c r="AG712" s="2848" t="s">
        <v>1026</v>
      </c>
      <c r="AH712" s="2848" t="s">
        <v>1104</v>
      </c>
      <c r="AI712" s="2847"/>
      <c r="AJ712" s="2848"/>
      <c r="AK712" s="2848"/>
      <c r="AL712" s="2329"/>
      <c r="AM712" s="2164"/>
      <c r="AN712" s="2164"/>
      <c r="AO712" s="2164"/>
      <c r="AP712" s="2164"/>
      <c r="AQ712" s="2164"/>
      <c r="AR712" s="2164"/>
      <c r="AS712" s="2164"/>
      <c r="AT712" s="2164"/>
      <c r="AU712" s="2164"/>
      <c r="AV712" s="2164"/>
      <c r="AW712" s="2164"/>
      <c r="AX712" s="2164"/>
      <c r="AY712" s="2164"/>
      <c r="AZ712" s="2164"/>
      <c r="BA712" s="2164"/>
      <c r="BB712" s="2164"/>
      <c r="BC712" s="2164"/>
      <c r="BD712" s="2164"/>
      <c r="BE712" s="2164"/>
      <c r="BF712" s="2164"/>
      <c r="BG712" s="4573"/>
    </row>
    <row customHeight="1" ht="11.25">
      <c r="A713" s="1507" t="s">
        <v>990</v>
      </c>
      <c r="B713" s="1507"/>
      <c r="C713" s="1507"/>
      <c r="D713" s="1501"/>
      <c r="E713" s="1511"/>
      <c r="F713" s="2170"/>
      <c r="G713" s="2171"/>
      <c r="H713" s="2856" t="s">
        <v>106</v>
      </c>
      <c r="I713" s="2857"/>
      <c r="J713" s="2826"/>
      <c r="K713" s="2858"/>
      <c r="L713" s="2448"/>
      <c r="M713" s="2449"/>
      <c r="N713" s="2849"/>
      <c r="O713" s="2850">
        <v>1</v>
      </c>
      <c r="P713" s="2851" t="s">
        <v>65</v>
      </c>
      <c r="Q713" s="4672" t="s">
        <v>1028</v>
      </c>
      <c r="R713" s="4673" t="s">
        <v>1029</v>
      </c>
      <c r="S713" s="4673" t="s">
        <v>1030</v>
      </c>
      <c r="T713" s="4673" t="s">
        <v>1030</v>
      </c>
      <c r="U713" s="4673" t="s">
        <v>1031</v>
      </c>
      <c r="V713" s="4673" t="s">
        <v>1032</v>
      </c>
      <c r="W713" s="4673" t="s">
        <v>1033</v>
      </c>
      <c r="X713" s="4673" t="s">
        <v>1034</v>
      </c>
      <c r="Y713" s="4673" t="s">
        <v>106</v>
      </c>
      <c r="Z713" s="1516"/>
      <c r="AA713" s="1517"/>
      <c r="AB713" s="1517"/>
      <c r="AC713" s="1521"/>
      <c r="AD713" s="1521"/>
      <c r="AE713" s="1522"/>
      <c r="AF713" s="2847"/>
      <c r="AG713" s="2848"/>
      <c r="AH713" s="2848"/>
      <c r="AI713" s="2847"/>
      <c r="AJ713" s="2848"/>
      <c r="AK713" s="2848"/>
      <c r="AL713" s="2329"/>
      <c r="AM713" s="2164"/>
      <c r="AN713" s="2164"/>
      <c r="AO713" s="2164"/>
      <c r="AP713" s="2164"/>
      <c r="AQ713" s="2164"/>
      <c r="AR713" s="2164"/>
      <c r="AS713" s="2164"/>
      <c r="AT713" s="2164"/>
      <c r="AU713" s="2164"/>
      <c r="AV713" s="2164"/>
      <c r="AW713" s="2164"/>
      <c r="AX713" s="2164"/>
      <c r="AY713" s="2164"/>
      <c r="AZ713" s="2164"/>
      <c r="BA713" s="2164"/>
      <c r="BB713" s="2164"/>
      <c r="BC713" s="2164"/>
      <c r="BD713" s="2164"/>
      <c r="BE713" s="2164"/>
      <c r="BF713" s="2164"/>
      <c r="BG713" s="4573"/>
    </row>
    <row customHeight="1" ht="11.25">
      <c r="A714" s="1507" t="s">
        <v>990</v>
      </c>
      <c r="B714" s="1507"/>
      <c r="C714" s="1507"/>
      <c r="D714" s="1501"/>
      <c r="E714" s="1511"/>
      <c r="F714" s="2170"/>
      <c r="G714" s="2171"/>
      <c r="H714" s="2856" t="s">
        <v>106</v>
      </c>
      <c r="I714" s="2857"/>
      <c r="J714" s="2826"/>
      <c r="K714" s="2858"/>
      <c r="L714" s="2448"/>
      <c r="M714" s="2449"/>
      <c r="N714" s="2849"/>
      <c r="O714" s="2850"/>
      <c r="P714" s="2852"/>
      <c r="Q714" s="4672"/>
      <c r="R714" s="2854"/>
      <c r="S714" s="2855"/>
      <c r="T714" s="2854"/>
      <c r="U714" s="2854"/>
      <c r="V714" s="2854"/>
      <c r="W714" s="2854"/>
      <c r="X714" s="2854"/>
      <c r="Y714" s="2854"/>
      <c r="Z714" s="2169"/>
      <c r="AA714" s="2135">
        <v>1</v>
      </c>
      <c r="AB714" s="1520" t="s">
        <v>1035</v>
      </c>
      <c r="AC714" s="1510">
        <v>83128.3517</v>
      </c>
      <c r="AD714" s="1520" t="str">
        <f>AB714</f>
        <v>      Амортизационные отчисления с выделением результатов переоценки основных средств и нематериальных активов</v>
      </c>
      <c r="AE714" s="1510"/>
      <c r="AF714" s="2847"/>
      <c r="AG714" s="2848"/>
      <c r="AH714" s="2848"/>
      <c r="AI714" s="2847"/>
      <c r="AJ714" s="2848"/>
      <c r="AK714" s="2848"/>
      <c r="AL714" s="2329"/>
      <c r="AM714" s="2164"/>
      <c r="AN714" s="2164"/>
      <c r="AO714" s="2164"/>
      <c r="AP714" s="2164"/>
      <c r="AQ714" s="2164"/>
      <c r="AR714" s="2164"/>
      <c r="AS714" s="2164"/>
      <c r="AT714" s="2164"/>
      <c r="AU714" s="2164"/>
      <c r="AV714" s="2164"/>
      <c r="AW714" s="2164"/>
      <c r="AX714" s="2164"/>
      <c r="AY714" s="2164"/>
      <c r="AZ714" s="2164"/>
      <c r="BA714" s="2164"/>
      <c r="BB714" s="2164"/>
      <c r="BC714" s="2164"/>
      <c r="BD714" s="2164"/>
      <c r="BE714" s="2164"/>
      <c r="BF714" s="2164"/>
      <c r="BG714" s="4573"/>
    </row>
    <row customHeight="1" ht="11.25">
      <c r="A715" s="1507" t="s">
        <v>990</v>
      </c>
      <c r="B715" s="1507"/>
      <c r="C715" s="1507"/>
      <c r="D715" s="1501"/>
      <c r="E715" s="1511"/>
      <c r="F715" s="2171"/>
      <c r="G715" s="2171"/>
      <c r="H715" s="2171"/>
      <c r="I715" s="2171"/>
      <c r="J715" s="2171"/>
      <c r="K715" s="2171"/>
      <c r="L715" s="2171"/>
      <c r="M715" s="2171"/>
      <c r="N715" s="2171"/>
      <c r="O715" s="2171"/>
      <c r="P715" s="2171"/>
      <c r="Q715" s="2171"/>
      <c r="R715" s="2171"/>
      <c r="S715" s="2171"/>
      <c r="T715" s="2171"/>
      <c r="U715" s="2171"/>
      <c r="V715" s="2171"/>
      <c r="W715" s="2171"/>
      <c r="X715" s="2171"/>
      <c r="Y715" s="2171"/>
      <c r="Z715" s="4557" t="s">
        <v>684</v>
      </c>
      <c r="AA715" s="2155" t="s">
        <v>107</v>
      </c>
      <c r="AB715" s="1520" t="s">
        <v>1036</v>
      </c>
      <c r="AC715" s="1510">
        <v>15453.59276</v>
      </c>
      <c r="AD715" s="1520" t="str">
        <f>AB715</f>
        <v>  Прочие собственные средства</v>
      </c>
      <c r="AE715" s="1510"/>
      <c r="AF715" s="2172"/>
      <c r="AG715" s="2100"/>
      <c r="AH715" s="2100"/>
      <c r="AI715" s="2172"/>
      <c r="AJ715" s="2100"/>
      <c r="AK715" s="2328"/>
      <c r="AL715" s="2329"/>
      <c r="AM715" s="2164"/>
      <c r="AN715" s="2164"/>
      <c r="AO715" s="2164"/>
      <c r="AP715" s="2164"/>
      <c r="AQ715" s="2164"/>
      <c r="AR715" s="2164"/>
      <c r="AS715" s="2164"/>
      <c r="AT715" s="2164"/>
      <c r="AU715" s="2164"/>
      <c r="AV715" s="2164"/>
      <c r="AW715" s="2164"/>
      <c r="AX715" s="2164"/>
      <c r="AY715" s="2164"/>
      <c r="AZ715" s="2164"/>
      <c r="BA715" s="2164"/>
      <c r="BB715" s="2164"/>
      <c r="BC715" s="2164"/>
      <c r="BD715" s="2164"/>
      <c r="BE715" s="2164"/>
      <c r="BF715" s="2164"/>
      <c r="BG715" s="4573"/>
    </row>
    <row customHeight="1" ht="11.25">
      <c r="A716" s="1507" t="s">
        <v>990</v>
      </c>
      <c r="B716" s="1507"/>
      <c r="C716" s="1507"/>
      <c r="D716" s="1501"/>
      <c r="E716" s="1511"/>
      <c r="F716" s="2170"/>
      <c r="G716" s="2171"/>
      <c r="H716" s="2856" t="s">
        <v>106</v>
      </c>
      <c r="I716" s="2857"/>
      <c r="J716" s="2826"/>
      <c r="K716" s="2858"/>
      <c r="L716" s="2448"/>
      <c r="M716" s="2449"/>
      <c r="N716" s="2849"/>
      <c r="O716" s="2850"/>
      <c r="P716" s="2853"/>
      <c r="Q716" s="4672"/>
      <c r="R716" s="2854"/>
      <c r="S716" s="2855"/>
      <c r="T716" s="2854"/>
      <c r="U716" s="2854"/>
      <c r="V716" s="2854"/>
      <c r="W716" s="2854"/>
      <c r="X716" s="2854"/>
      <c r="Y716" s="2854"/>
      <c r="Z716" s="1516"/>
      <c r="AA716" s="1517"/>
      <c r="AB716" s="1582" t="s">
        <v>1037</v>
      </c>
      <c r="AC716" s="1521"/>
      <c r="AD716" s="1521"/>
      <c r="AE716" s="1523"/>
      <c r="AF716" s="2847"/>
      <c r="AG716" s="2848"/>
      <c r="AH716" s="2848"/>
      <c r="AI716" s="2847"/>
      <c r="AJ716" s="2848"/>
      <c r="AK716" s="2848"/>
      <c r="AL716" s="2329"/>
      <c r="AM716" s="2164"/>
      <c r="AN716" s="2164"/>
      <c r="AO716" s="2164"/>
      <c r="AP716" s="2164"/>
      <c r="AQ716" s="2164"/>
      <c r="AR716" s="2164"/>
      <c r="AS716" s="2164"/>
      <c r="AT716" s="2164"/>
      <c r="AU716" s="2164"/>
      <c r="AV716" s="2164"/>
      <c r="AW716" s="2164"/>
      <c r="AX716" s="2164"/>
      <c r="AY716" s="2164"/>
      <c r="AZ716" s="2164"/>
      <c r="BA716" s="2164"/>
      <c r="BB716" s="2164"/>
      <c r="BC716" s="2164"/>
      <c r="BD716" s="2164"/>
      <c r="BE716" s="2164"/>
      <c r="BF716" s="2164"/>
      <c r="BG716" s="4573"/>
    </row>
    <row customHeight="1" ht="11.25">
      <c r="A717" s="1507" t="s">
        <v>990</v>
      </c>
      <c r="B717" s="1507"/>
      <c r="C717" s="1507"/>
      <c r="D717" s="1501"/>
      <c r="E717" s="1511"/>
      <c r="F717" s="2170"/>
      <c r="G717" s="2171"/>
      <c r="H717" s="2856" t="s">
        <v>106</v>
      </c>
      <c r="I717" s="2857"/>
      <c r="J717" s="2826"/>
      <c r="K717" s="2858"/>
      <c r="L717" s="2448"/>
      <c r="M717" s="2449"/>
      <c r="N717" s="1516"/>
      <c r="O717" s="1517"/>
      <c r="P717" s="1509" t="s">
        <v>1038</v>
      </c>
      <c r="Q717" s="1517"/>
      <c r="R717" s="1517"/>
      <c r="S717" s="1517"/>
      <c r="T717" s="1517"/>
      <c r="U717" s="1517"/>
      <c r="V717" s="1517"/>
      <c r="W717" s="1517"/>
      <c r="X717" s="1517"/>
      <c r="Y717" s="1517"/>
      <c r="Z717" s="1517"/>
      <c r="AA717" s="1517"/>
      <c r="AB717" s="1517"/>
      <c r="AC717" s="1517"/>
      <c r="AD717" s="1517"/>
      <c r="AE717" s="1524"/>
      <c r="AF717" s="2847"/>
      <c r="AG717" s="2848"/>
      <c r="AH717" s="2848"/>
      <c r="AI717" s="2847"/>
      <c r="AJ717" s="2848"/>
      <c r="AK717" s="2848"/>
      <c r="AL717" s="2329"/>
      <c r="AM717" s="2164"/>
      <c r="AN717" s="2164"/>
      <c r="AO717" s="2164"/>
      <c r="AP717" s="2164"/>
      <c r="AQ717" s="2164"/>
      <c r="AR717" s="2164"/>
      <c r="AS717" s="2164"/>
      <c r="AT717" s="2164"/>
      <c r="AU717" s="2164"/>
      <c r="AV717" s="2164"/>
      <c r="AW717" s="2164"/>
      <c r="AX717" s="2164"/>
      <c r="AY717" s="2164"/>
      <c r="AZ717" s="2164"/>
      <c r="BA717" s="2164"/>
      <c r="BB717" s="2164"/>
      <c r="BC717" s="2164"/>
      <c r="BD717" s="2164"/>
      <c r="BE717" s="2164"/>
      <c r="BF717" s="2164"/>
      <c r="BG717" s="4573"/>
    </row>
    <row customHeight="1" ht="11.25">
      <c r="A718" s="1507" t="s">
        <v>990</v>
      </c>
      <c r="B718" s="1507" t="s">
        <v>1022</v>
      </c>
      <c r="C718" s="1507"/>
      <c r="D718" s="1501"/>
      <c r="E718" s="1511"/>
      <c r="F718" s="2170"/>
      <c r="G718" s="4557" t="s">
        <v>684</v>
      </c>
      <c r="H718" s="2856" t="s">
        <v>90</v>
      </c>
      <c r="I718" s="2857" t="s">
        <v>1023</v>
      </c>
      <c r="J718" s="2826" t="s">
        <v>1071</v>
      </c>
      <c r="K718" s="2858" t="s">
        <v>1103</v>
      </c>
      <c r="L718" s="2448" t="s">
        <v>19</v>
      </c>
      <c r="M718" s="2449"/>
      <c r="N718" s="2327"/>
      <c r="O718" s="1518" t="s">
        <v>371</v>
      </c>
      <c r="P718" s="1519"/>
      <c r="Q718" s="1519"/>
      <c r="R718" s="1519"/>
      <c r="S718" s="1519"/>
      <c r="T718" s="1519"/>
      <c r="U718" s="1519"/>
      <c r="V718" s="1519"/>
      <c r="W718" s="1519"/>
      <c r="X718" s="1519"/>
      <c r="Y718" s="1519"/>
      <c r="Z718" s="1519"/>
      <c r="AA718" s="1519"/>
      <c r="AB718" s="1519"/>
      <c r="AC718" s="1519"/>
      <c r="AD718" s="1519"/>
      <c r="AE718" s="1519"/>
      <c r="AF718" s="2847">
        <v>6</v>
      </c>
      <c r="AG718" s="2848" t="s">
        <v>1067</v>
      </c>
      <c r="AH718" s="2848" t="s">
        <v>1104</v>
      </c>
      <c r="AI718" s="2847"/>
      <c r="AJ718" s="2848"/>
      <c r="AK718" s="2848"/>
      <c r="AL718" s="2329"/>
      <c r="AM718" s="2164"/>
      <c r="AN718" s="2164"/>
      <c r="AO718" s="2164"/>
      <c r="AP718" s="2164"/>
      <c r="AQ718" s="2164"/>
      <c r="AR718" s="2164"/>
      <c r="AS718" s="2164"/>
      <c r="AT718" s="2164"/>
      <c r="AU718" s="2164"/>
      <c r="AV718" s="2164"/>
      <c r="AW718" s="2164"/>
      <c r="AX718" s="2164"/>
      <c r="AY718" s="2164"/>
      <c r="AZ718" s="2164"/>
      <c r="BA718" s="2164"/>
      <c r="BB718" s="2164"/>
      <c r="BC718" s="2164"/>
      <c r="BD718" s="2164"/>
      <c r="BE718" s="2164"/>
      <c r="BF718" s="2164"/>
      <c r="BG718" s="4573"/>
    </row>
    <row customHeight="1" ht="11.25">
      <c r="A719" s="1507" t="s">
        <v>990</v>
      </c>
      <c r="B719" s="1507"/>
      <c r="C719" s="1507"/>
      <c r="D719" s="1501"/>
      <c r="E719" s="1511"/>
      <c r="F719" s="2170"/>
      <c r="G719" s="2171"/>
      <c r="H719" s="2856" t="s">
        <v>107</v>
      </c>
      <c r="I719" s="2857"/>
      <c r="J719" s="2826"/>
      <c r="K719" s="2858"/>
      <c r="L719" s="2448"/>
      <c r="M719" s="2449"/>
      <c r="N719" s="2849"/>
      <c r="O719" s="2850">
        <v>1</v>
      </c>
      <c r="P719" s="2851" t="s">
        <v>65</v>
      </c>
      <c r="Q719" s="4672" t="s">
        <v>1105</v>
      </c>
      <c r="R719" s="4673" t="s">
        <v>1083</v>
      </c>
      <c r="S719" s="4673" t="s">
        <v>1030</v>
      </c>
      <c r="T719" s="4673" t="s">
        <v>1030</v>
      </c>
      <c r="U719" s="4673" t="s">
        <v>1031</v>
      </c>
      <c r="V719" s="4673" t="s">
        <v>1032</v>
      </c>
      <c r="W719" s="4673" t="s">
        <v>1033</v>
      </c>
      <c r="X719" s="4673" t="s">
        <v>1106</v>
      </c>
      <c r="Y719" s="4673" t="s">
        <v>1107</v>
      </c>
      <c r="Z719" s="1516"/>
      <c r="AA719" s="1517"/>
      <c r="AB719" s="1517"/>
      <c r="AC719" s="1521"/>
      <c r="AD719" s="1521"/>
      <c r="AE719" s="1522"/>
      <c r="AF719" s="2847"/>
      <c r="AG719" s="2848"/>
      <c r="AH719" s="2848"/>
      <c r="AI719" s="2847"/>
      <c r="AJ719" s="2848"/>
      <c r="AK719" s="2848"/>
      <c r="AL719" s="2329"/>
      <c r="AM719" s="2164"/>
      <c r="AN719" s="2164"/>
      <c r="AO719" s="2164"/>
      <c r="AP719" s="2164"/>
      <c r="AQ719" s="2164"/>
      <c r="AR719" s="2164"/>
      <c r="AS719" s="2164"/>
      <c r="AT719" s="2164"/>
      <c r="AU719" s="2164"/>
      <c r="AV719" s="2164"/>
      <c r="AW719" s="2164"/>
      <c r="AX719" s="2164"/>
      <c r="AY719" s="2164"/>
      <c r="AZ719" s="2164"/>
      <c r="BA719" s="2164"/>
      <c r="BB719" s="2164"/>
      <c r="BC719" s="2164"/>
      <c r="BD719" s="2164"/>
      <c r="BE719" s="2164"/>
      <c r="BF719" s="2164"/>
      <c r="BG719" s="4573"/>
    </row>
    <row customHeight="1" ht="11.25">
      <c r="A720" s="1507" t="s">
        <v>990</v>
      </c>
      <c r="B720" s="1507"/>
      <c r="C720" s="1507"/>
      <c r="D720" s="1501"/>
      <c r="E720" s="1511"/>
      <c r="F720" s="2170"/>
      <c r="G720" s="2171"/>
      <c r="H720" s="2856" t="s">
        <v>107</v>
      </c>
      <c r="I720" s="2857"/>
      <c r="J720" s="2826"/>
      <c r="K720" s="2858"/>
      <c r="L720" s="2448"/>
      <c r="M720" s="2449"/>
      <c r="N720" s="2849"/>
      <c r="O720" s="2850"/>
      <c r="P720" s="2852"/>
      <c r="Q720" s="4672"/>
      <c r="R720" s="2854"/>
      <c r="S720" s="2855"/>
      <c r="T720" s="2854"/>
      <c r="U720" s="2854"/>
      <c r="V720" s="2854"/>
      <c r="W720" s="2854"/>
      <c r="X720" s="2854"/>
      <c r="Y720" s="2854"/>
      <c r="Z720" s="2169"/>
      <c r="AA720" s="2135">
        <v>1</v>
      </c>
      <c r="AB720" s="1520" t="s">
        <v>1035</v>
      </c>
      <c r="AC720" s="1510">
        <v>430684.00003</v>
      </c>
      <c r="AD720" s="1520" t="str">
        <f>AB720</f>
        <v>      Амортизационные отчисления с выделением результатов переоценки основных средств и нематериальных активов</v>
      </c>
      <c r="AE720" s="1510"/>
      <c r="AF720" s="2847"/>
      <c r="AG720" s="2848"/>
      <c r="AH720" s="2848"/>
      <c r="AI720" s="2847"/>
      <c r="AJ720" s="2848"/>
      <c r="AK720" s="2848"/>
      <c r="AL720" s="2329"/>
      <c r="AM720" s="2164"/>
      <c r="AN720" s="2164"/>
      <c r="AO720" s="2164"/>
      <c r="AP720" s="2164"/>
      <c r="AQ720" s="2164"/>
      <c r="AR720" s="2164"/>
      <c r="AS720" s="2164"/>
      <c r="AT720" s="2164"/>
      <c r="AU720" s="2164"/>
      <c r="AV720" s="2164"/>
      <c r="AW720" s="2164"/>
      <c r="AX720" s="2164"/>
      <c r="AY720" s="2164"/>
      <c r="AZ720" s="2164"/>
      <c r="BA720" s="2164"/>
      <c r="BB720" s="2164"/>
      <c r="BC720" s="2164"/>
      <c r="BD720" s="2164"/>
      <c r="BE720" s="2164"/>
      <c r="BF720" s="2164"/>
      <c r="BG720" s="4573"/>
    </row>
    <row customHeight="1" ht="11.25">
      <c r="A721" s="1507" t="s">
        <v>990</v>
      </c>
      <c r="B721" s="1507"/>
      <c r="C721" s="1507"/>
      <c r="D721" s="1501"/>
      <c r="E721" s="1511"/>
      <c r="F721" s="2171"/>
      <c r="G721" s="2171"/>
      <c r="H721" s="2171"/>
      <c r="I721" s="2171"/>
      <c r="J721" s="2171"/>
      <c r="K721" s="2171"/>
      <c r="L721" s="2171"/>
      <c r="M721" s="2171"/>
      <c r="N721" s="2171"/>
      <c r="O721" s="2171"/>
      <c r="P721" s="2171"/>
      <c r="Q721" s="2171"/>
      <c r="R721" s="2171"/>
      <c r="S721" s="2171"/>
      <c r="T721" s="2171"/>
      <c r="U721" s="2171"/>
      <c r="V721" s="2171"/>
      <c r="W721" s="2171"/>
      <c r="X721" s="2171"/>
      <c r="Y721" s="2171"/>
      <c r="Z721" s="4557" t="s">
        <v>684</v>
      </c>
      <c r="AA721" s="2155" t="s">
        <v>107</v>
      </c>
      <c r="AB721" s="1520" t="s">
        <v>1036</v>
      </c>
      <c r="AC721" s="1510">
        <v>84209.21775</v>
      </c>
      <c r="AD721" s="1520" t="str">
        <f>AB721</f>
        <v>  Прочие собственные средства</v>
      </c>
      <c r="AE721" s="1510"/>
      <c r="AF721" s="2172"/>
      <c r="AG721" s="2100"/>
      <c r="AH721" s="2100"/>
      <c r="AI721" s="2172"/>
      <c r="AJ721" s="2100"/>
      <c r="AK721" s="2328"/>
      <c r="AL721" s="2329"/>
      <c r="AM721" s="2164"/>
      <c r="AN721" s="2164"/>
      <c r="AO721" s="2164"/>
      <c r="AP721" s="2164"/>
      <c r="AQ721" s="2164"/>
      <c r="AR721" s="2164"/>
      <c r="AS721" s="2164"/>
      <c r="AT721" s="2164"/>
      <c r="AU721" s="2164"/>
      <c r="AV721" s="2164"/>
      <c r="AW721" s="2164"/>
      <c r="AX721" s="2164"/>
      <c r="AY721" s="2164"/>
      <c r="AZ721" s="2164"/>
      <c r="BA721" s="2164"/>
      <c r="BB721" s="2164"/>
      <c r="BC721" s="2164"/>
      <c r="BD721" s="2164"/>
      <c r="BE721" s="2164"/>
      <c r="BF721" s="2164"/>
      <c r="BG721" s="4573"/>
    </row>
    <row customHeight="1" ht="11.25">
      <c r="A722" s="1507" t="s">
        <v>990</v>
      </c>
      <c r="B722" s="1507"/>
      <c r="C722" s="1507"/>
      <c r="D722" s="1501"/>
      <c r="E722" s="1511"/>
      <c r="F722" s="2170"/>
      <c r="G722" s="2171"/>
      <c r="H722" s="2856" t="s">
        <v>107</v>
      </c>
      <c r="I722" s="2857"/>
      <c r="J722" s="2826"/>
      <c r="K722" s="2858"/>
      <c r="L722" s="2448"/>
      <c r="M722" s="2449"/>
      <c r="N722" s="2849"/>
      <c r="O722" s="2850"/>
      <c r="P722" s="2853"/>
      <c r="Q722" s="4672"/>
      <c r="R722" s="2854"/>
      <c r="S722" s="2855"/>
      <c r="T722" s="2854"/>
      <c r="U722" s="2854"/>
      <c r="V722" s="2854"/>
      <c r="W722" s="2854"/>
      <c r="X722" s="2854"/>
      <c r="Y722" s="2854"/>
      <c r="Z722" s="1516"/>
      <c r="AA722" s="1517"/>
      <c r="AB722" s="1582" t="s">
        <v>1037</v>
      </c>
      <c r="AC722" s="1521"/>
      <c r="AD722" s="1521"/>
      <c r="AE722" s="1523"/>
      <c r="AF722" s="2847"/>
      <c r="AG722" s="2848"/>
      <c r="AH722" s="2848"/>
      <c r="AI722" s="2847"/>
      <c r="AJ722" s="2848"/>
      <c r="AK722" s="2848"/>
      <c r="AL722" s="2329"/>
      <c r="AM722" s="2164"/>
      <c r="AN722" s="2164"/>
      <c r="AO722" s="2164"/>
      <c r="AP722" s="2164"/>
      <c r="AQ722" s="2164"/>
      <c r="AR722" s="2164"/>
      <c r="AS722" s="2164"/>
      <c r="AT722" s="2164"/>
      <c r="AU722" s="2164"/>
      <c r="AV722" s="2164"/>
      <c r="AW722" s="2164"/>
      <c r="AX722" s="2164"/>
      <c r="AY722" s="2164"/>
      <c r="AZ722" s="2164"/>
      <c r="BA722" s="2164"/>
      <c r="BB722" s="2164"/>
      <c r="BC722" s="2164"/>
      <c r="BD722" s="2164"/>
      <c r="BE722" s="2164"/>
      <c r="BF722" s="2164"/>
      <c r="BG722" s="4573"/>
    </row>
    <row customHeight="1" ht="11.25">
      <c r="A723" s="1507" t="s">
        <v>990</v>
      </c>
      <c r="B723" s="1507"/>
      <c r="C723" s="1507"/>
      <c r="D723" s="1501"/>
      <c r="E723" s="1511"/>
      <c r="F723" s="2170"/>
      <c r="G723" s="2171"/>
      <c r="H723" s="2856" t="s">
        <v>107</v>
      </c>
      <c r="I723" s="2857"/>
      <c r="J723" s="2826"/>
      <c r="K723" s="2858"/>
      <c r="L723" s="2448"/>
      <c r="M723" s="2449"/>
      <c r="N723" s="1516"/>
      <c r="O723" s="1517"/>
      <c r="P723" s="1509" t="s">
        <v>1038</v>
      </c>
      <c r="Q723" s="1517"/>
      <c r="R723" s="1517"/>
      <c r="S723" s="1517"/>
      <c r="T723" s="1517"/>
      <c r="U723" s="1517"/>
      <c r="V723" s="1517"/>
      <c r="W723" s="1517"/>
      <c r="X723" s="1517"/>
      <c r="Y723" s="1517"/>
      <c r="Z723" s="1517"/>
      <c r="AA723" s="1517"/>
      <c r="AB723" s="1517"/>
      <c r="AC723" s="1517"/>
      <c r="AD723" s="1517"/>
      <c r="AE723" s="1524"/>
      <c r="AF723" s="2847"/>
      <c r="AG723" s="2848"/>
      <c r="AH723" s="2848"/>
      <c r="AI723" s="2847"/>
      <c r="AJ723" s="2848"/>
      <c r="AK723" s="2848"/>
      <c r="AL723" s="2329"/>
      <c r="AM723" s="2164"/>
      <c r="AN723" s="2164"/>
      <c r="AO723" s="2164"/>
      <c r="AP723" s="2164"/>
      <c r="AQ723" s="2164"/>
      <c r="AR723" s="2164"/>
      <c r="AS723" s="2164"/>
      <c r="AT723" s="2164"/>
      <c r="AU723" s="2164"/>
      <c r="AV723" s="2164"/>
      <c r="AW723" s="2164"/>
      <c r="AX723" s="2164"/>
      <c r="AY723" s="2164"/>
      <c r="AZ723" s="2164"/>
      <c r="BA723" s="2164"/>
      <c r="BB723" s="2164"/>
      <c r="BC723" s="2164"/>
      <c r="BD723" s="2164"/>
      <c r="BE723" s="2164"/>
      <c r="BF723" s="2164"/>
      <c r="BG723" s="4573"/>
    </row>
    <row customHeight="1" ht="11.25">
      <c r="A724" s="1507" t="s">
        <v>990</v>
      </c>
      <c r="B724" s="1507" t="s">
        <v>22</v>
      </c>
      <c r="C724" s="1507"/>
      <c r="D724" s="1501"/>
      <c r="E724" s="1511"/>
      <c r="F724" s="2170"/>
      <c r="G724" s="4557" t="s">
        <v>684</v>
      </c>
      <c r="H724" s="2856" t="s">
        <v>91</v>
      </c>
      <c r="I724" s="2857" t="s">
        <v>1039</v>
      </c>
      <c r="J724" s="4694" t="s">
        <v>22</v>
      </c>
      <c r="K724" s="2858" t="s">
        <v>1109</v>
      </c>
      <c r="L724" s="2448" t="s">
        <v>19</v>
      </c>
      <c r="M724" s="2449"/>
      <c r="N724" s="2327"/>
      <c r="O724" s="1518" t="s">
        <v>371</v>
      </c>
      <c r="P724" s="1519"/>
      <c r="Q724" s="1519"/>
      <c r="R724" s="1519"/>
      <c r="S724" s="1519"/>
      <c r="T724" s="1519"/>
      <c r="U724" s="1519"/>
      <c r="V724" s="1519"/>
      <c r="W724" s="1519"/>
      <c r="X724" s="1519"/>
      <c r="Y724" s="1519"/>
      <c r="Z724" s="1519"/>
      <c r="AA724" s="1519"/>
      <c r="AB724" s="1519"/>
      <c r="AC724" s="1519"/>
      <c r="AD724" s="1519"/>
      <c r="AE724" s="1519"/>
      <c r="AF724" s="2847">
        <v>1</v>
      </c>
      <c r="AG724" s="2848" t="s">
        <v>1026</v>
      </c>
      <c r="AH724" s="2848" t="s">
        <v>1104</v>
      </c>
      <c r="AI724" s="2847"/>
      <c r="AJ724" s="2848"/>
      <c r="AK724" s="2848"/>
      <c r="AL724" s="2329"/>
      <c r="AM724" s="2164"/>
      <c r="AN724" s="2164"/>
      <c r="AO724" s="2164"/>
      <c r="AP724" s="2164"/>
      <c r="AQ724" s="2164"/>
      <c r="AR724" s="2164"/>
      <c r="AS724" s="2164"/>
      <c r="AT724" s="2164"/>
      <c r="AU724" s="2164"/>
      <c r="AV724" s="2164"/>
      <c r="AW724" s="2164"/>
      <c r="AX724" s="2164"/>
      <c r="AY724" s="2164"/>
      <c r="AZ724" s="2164"/>
      <c r="BA724" s="2164"/>
      <c r="BB724" s="2164"/>
      <c r="BC724" s="2164"/>
      <c r="BD724" s="2164"/>
      <c r="BE724" s="2164"/>
      <c r="BF724" s="2164"/>
      <c r="BG724" s="4573"/>
    </row>
    <row customHeight="1" ht="11.25">
      <c r="A725" s="1507" t="s">
        <v>990</v>
      </c>
      <c r="B725" s="1507"/>
      <c r="C725" s="1507"/>
      <c r="D725" s="1501"/>
      <c r="E725" s="1511"/>
      <c r="F725" s="2170"/>
      <c r="G725" s="2171"/>
      <c r="H725" s="2856" t="s">
        <v>90</v>
      </c>
      <c r="I725" s="2857"/>
      <c r="J725" s="4694"/>
      <c r="K725" s="2858"/>
      <c r="L725" s="2448"/>
      <c r="M725" s="2449"/>
      <c r="N725" s="2849"/>
      <c r="O725" s="2850">
        <v>1</v>
      </c>
      <c r="P725" s="2851" t="s">
        <v>19</v>
      </c>
      <c r="Q725" s="7507" t="s">
        <v>22</v>
      </c>
      <c r="R725" s="7508" t="s">
        <v>22</v>
      </c>
      <c r="S725" s="7508" t="s">
        <v>22</v>
      </c>
      <c r="T725" s="7508" t="s">
        <v>22</v>
      </c>
      <c r="U725" s="7508" t="s">
        <v>22</v>
      </c>
      <c r="V725" s="7508" t="s">
        <v>22</v>
      </c>
      <c r="W725" s="7508" t="s">
        <v>22</v>
      </c>
      <c r="X725" s="7508" t="s">
        <v>22</v>
      </c>
      <c r="Y725" s="7508" t="s">
        <v>22</v>
      </c>
      <c r="Z725" s="1516"/>
      <c r="AA725" s="1517"/>
      <c r="AB725" s="1517"/>
      <c r="AC725" s="1521"/>
      <c r="AD725" s="1521"/>
      <c r="AE725" s="1522"/>
      <c r="AF725" s="2847"/>
      <c r="AG725" s="2848"/>
      <c r="AH725" s="2848"/>
      <c r="AI725" s="2847"/>
      <c r="AJ725" s="2848"/>
      <c r="AK725" s="2848"/>
      <c r="AL725" s="2329"/>
      <c r="AM725" s="2164"/>
      <c r="AN725" s="2164"/>
      <c r="AO725" s="2164"/>
      <c r="AP725" s="2164"/>
      <c r="AQ725" s="2164"/>
      <c r="AR725" s="2164"/>
      <c r="AS725" s="2164"/>
      <c r="AT725" s="2164"/>
      <c r="AU725" s="2164"/>
      <c r="AV725" s="2164"/>
      <c r="AW725" s="2164"/>
      <c r="AX725" s="2164"/>
      <c r="AY725" s="2164"/>
      <c r="AZ725" s="2164"/>
      <c r="BA725" s="2164"/>
      <c r="BB725" s="2164"/>
      <c r="BC725" s="2164"/>
      <c r="BD725" s="2164"/>
      <c r="BE725" s="2164"/>
      <c r="BF725" s="2164"/>
      <c r="BG725" s="4573"/>
    </row>
    <row customHeight="1" ht="11.25">
      <c r="A726" s="1507" t="s">
        <v>990</v>
      </c>
      <c r="B726" s="1507"/>
      <c r="C726" s="1507"/>
      <c r="D726" s="1501"/>
      <c r="E726" s="1511"/>
      <c r="F726" s="2170"/>
      <c r="G726" s="2171"/>
      <c r="H726" s="2856" t="s">
        <v>90</v>
      </c>
      <c r="I726" s="2857"/>
      <c r="J726" s="4694"/>
      <c r="K726" s="2858"/>
      <c r="L726" s="2448"/>
      <c r="M726" s="2449"/>
      <c r="N726" s="2849"/>
      <c r="O726" s="2850"/>
      <c r="P726" s="2852"/>
      <c r="Q726" s="4672"/>
      <c r="R726" s="2854"/>
      <c r="S726" s="2855"/>
      <c r="T726" s="2854"/>
      <c r="U726" s="2854"/>
      <c r="V726" s="2854"/>
      <c r="W726" s="2854"/>
      <c r="X726" s="2854"/>
      <c r="Y726" s="2854"/>
      <c r="Z726" s="2169"/>
      <c r="AA726" s="2135">
        <v>1</v>
      </c>
      <c r="AB726" s="1520" t="s">
        <v>1036</v>
      </c>
      <c r="AC726" s="1510">
        <v>10862.433192</v>
      </c>
      <c r="AD726" s="1520" t="str">
        <f>AB726</f>
        <v>  Прочие собственные средства</v>
      </c>
      <c r="AE726" s="1510"/>
      <c r="AF726" s="2847"/>
      <c r="AG726" s="2848"/>
      <c r="AH726" s="2848"/>
      <c r="AI726" s="2847"/>
      <c r="AJ726" s="2848"/>
      <c r="AK726" s="2848"/>
      <c r="AL726" s="2329"/>
      <c r="AM726" s="2164"/>
      <c r="AN726" s="2164"/>
      <c r="AO726" s="2164"/>
      <c r="AP726" s="2164"/>
      <c r="AQ726" s="2164"/>
      <c r="AR726" s="2164"/>
      <c r="AS726" s="2164"/>
      <c r="AT726" s="2164"/>
      <c r="AU726" s="2164"/>
      <c r="AV726" s="2164"/>
      <c r="AW726" s="2164"/>
      <c r="AX726" s="2164"/>
      <c r="AY726" s="2164"/>
      <c r="AZ726" s="2164"/>
      <c r="BA726" s="2164"/>
      <c r="BB726" s="2164"/>
      <c r="BC726" s="2164"/>
      <c r="BD726" s="2164"/>
      <c r="BE726" s="2164"/>
      <c r="BF726" s="2164"/>
      <c r="BG726" s="4573"/>
    </row>
    <row customHeight="1" ht="11.25">
      <c r="A727" s="1507" t="s">
        <v>990</v>
      </c>
      <c r="B727" s="1507"/>
      <c r="C727" s="1507"/>
      <c r="D727" s="1501"/>
      <c r="E727" s="1511"/>
      <c r="F727" s="2170"/>
      <c r="G727" s="2171"/>
      <c r="H727" s="2856" t="s">
        <v>90</v>
      </c>
      <c r="I727" s="2857"/>
      <c r="J727" s="4694"/>
      <c r="K727" s="2858"/>
      <c r="L727" s="2448"/>
      <c r="M727" s="2449"/>
      <c r="N727" s="2849"/>
      <c r="O727" s="2850"/>
      <c r="P727" s="2853"/>
      <c r="Q727" s="4672"/>
      <c r="R727" s="2854"/>
      <c r="S727" s="2855"/>
      <c r="T727" s="2854"/>
      <c r="U727" s="2854"/>
      <c r="V727" s="2854"/>
      <c r="W727" s="2854"/>
      <c r="X727" s="2854"/>
      <c r="Y727" s="2854"/>
      <c r="Z727" s="1516"/>
      <c r="AA727" s="1517"/>
      <c r="AB727" s="1582" t="s">
        <v>1037</v>
      </c>
      <c r="AC727" s="1521"/>
      <c r="AD727" s="1521"/>
      <c r="AE727" s="1523"/>
      <c r="AF727" s="2847"/>
      <c r="AG727" s="2848"/>
      <c r="AH727" s="2848"/>
      <c r="AI727" s="2847"/>
      <c r="AJ727" s="2848"/>
      <c r="AK727" s="2848"/>
      <c r="AL727" s="2329"/>
      <c r="AM727" s="2164"/>
      <c r="AN727" s="2164"/>
      <c r="AO727" s="2164"/>
      <c r="AP727" s="2164"/>
      <c r="AQ727" s="2164"/>
      <c r="AR727" s="2164"/>
      <c r="AS727" s="2164"/>
      <c r="AT727" s="2164"/>
      <c r="AU727" s="2164"/>
      <c r="AV727" s="2164"/>
      <c r="AW727" s="2164"/>
      <c r="AX727" s="2164"/>
      <c r="AY727" s="2164"/>
      <c r="AZ727" s="2164"/>
      <c r="BA727" s="2164"/>
      <c r="BB727" s="2164"/>
      <c r="BC727" s="2164"/>
      <c r="BD727" s="2164"/>
      <c r="BE727" s="2164"/>
      <c r="BF727" s="2164"/>
      <c r="BG727" s="4573"/>
    </row>
    <row customHeight="1" ht="11.25">
      <c r="A728" s="1507" t="s">
        <v>990</v>
      </c>
      <c r="B728" s="1507"/>
      <c r="C728" s="1507"/>
      <c r="D728" s="1501"/>
      <c r="E728" s="1511"/>
      <c r="F728" s="2170"/>
      <c r="G728" s="2171"/>
      <c r="H728" s="2856" t="s">
        <v>90</v>
      </c>
      <c r="I728" s="2857"/>
      <c r="J728" s="4694"/>
      <c r="K728" s="2858"/>
      <c r="L728" s="2448"/>
      <c r="M728" s="2449"/>
      <c r="N728" s="1516"/>
      <c r="O728" s="1517"/>
      <c r="P728" s="1509" t="s">
        <v>1038</v>
      </c>
      <c r="Q728" s="1517"/>
      <c r="R728" s="1517"/>
      <c r="S728" s="1517"/>
      <c r="T728" s="1517"/>
      <c r="U728" s="1517"/>
      <c r="V728" s="1517"/>
      <c r="W728" s="1517"/>
      <c r="X728" s="1517"/>
      <c r="Y728" s="1517"/>
      <c r="Z728" s="1517"/>
      <c r="AA728" s="1517"/>
      <c r="AB728" s="1517"/>
      <c r="AC728" s="1517"/>
      <c r="AD728" s="1517"/>
      <c r="AE728" s="1524"/>
      <c r="AF728" s="2847"/>
      <c r="AG728" s="2848"/>
      <c r="AH728" s="2848"/>
      <c r="AI728" s="2847"/>
      <c r="AJ728" s="2848"/>
      <c r="AK728" s="2848"/>
      <c r="AL728" s="2329"/>
      <c r="AM728" s="2164"/>
      <c r="AN728" s="2164"/>
      <c r="AO728" s="2164"/>
      <c r="AP728" s="2164"/>
      <c r="AQ728" s="2164"/>
      <c r="AR728" s="2164"/>
      <c r="AS728" s="2164"/>
      <c r="AT728" s="2164"/>
      <c r="AU728" s="2164"/>
      <c r="AV728" s="2164"/>
      <c r="AW728" s="2164"/>
      <c r="AX728" s="2164"/>
      <c r="AY728" s="2164"/>
      <c r="AZ728" s="2164"/>
      <c r="BA728" s="2164"/>
      <c r="BB728" s="2164"/>
      <c r="BC728" s="2164"/>
      <c r="BD728" s="2164"/>
      <c r="BE728" s="2164"/>
      <c r="BF728" s="2164"/>
      <c r="BG728" s="4573"/>
    </row>
    <row customHeight="1" ht="11.25">
      <c r="A729" s="1507" t="s">
        <v>990</v>
      </c>
      <c r="B729" s="1507" t="s">
        <v>1022</v>
      </c>
      <c r="C729" s="1507"/>
      <c r="D729" s="1501"/>
      <c r="E729" s="1511"/>
      <c r="F729" s="2170"/>
      <c r="G729" s="7510" t="s">
        <v>684</v>
      </c>
      <c r="H729" s="2856" t="s">
        <v>108</v>
      </c>
      <c r="I729" s="2857" t="s">
        <v>1023</v>
      </c>
      <c r="J729" s="2826" t="s">
        <v>1024</v>
      </c>
      <c r="K729" s="2858" t="s">
        <v>1191</v>
      </c>
      <c r="L729" s="2448" t="s">
        <v>19</v>
      </c>
      <c r="M729" s="2449"/>
      <c r="N729" s="2327"/>
      <c r="O729" s="1518" t="s">
        <v>371</v>
      </c>
      <c r="P729" s="1519"/>
      <c r="Q729" s="1519"/>
      <c r="R729" s="1519"/>
      <c r="S729" s="1519"/>
      <c r="T729" s="1519"/>
      <c r="U729" s="1519"/>
      <c r="V729" s="1519"/>
      <c r="W729" s="1519"/>
      <c r="X729" s="1519"/>
      <c r="Y729" s="1519"/>
      <c r="Z729" s="1519"/>
      <c r="AA729" s="1519"/>
      <c r="AB729" s="1519"/>
      <c r="AC729" s="1519"/>
      <c r="AD729" s="1519"/>
      <c r="AE729" s="1519"/>
      <c r="AF729" s="2847">
        <v>1</v>
      </c>
      <c r="AG729" s="2848" t="s">
        <v>1026</v>
      </c>
      <c r="AH729" s="2848" t="s">
        <v>1104</v>
      </c>
      <c r="AI729" s="2847"/>
      <c r="AJ729" s="2848"/>
      <c r="AK729" s="2848"/>
      <c r="AL729" s="2329"/>
      <c r="AM729" s="2164"/>
      <c r="AN729" s="2164"/>
      <c r="AO729" s="2164"/>
      <c r="AP729" s="2164"/>
      <c r="AQ729" s="2164"/>
      <c r="AR729" s="2164"/>
      <c r="AS729" s="2164"/>
      <c r="AT729" s="2164"/>
      <c r="AU729" s="2164"/>
      <c r="AV729" s="2164"/>
      <c r="AW729" s="2164"/>
      <c r="AX729" s="2164"/>
      <c r="AY729" s="2164"/>
      <c r="AZ729" s="2164"/>
      <c r="BA729" s="2164"/>
      <c r="BB729" s="2164"/>
      <c r="BC729" s="2164"/>
      <c r="BD729" s="2164"/>
      <c r="BE729" s="2164"/>
      <c r="BF729" s="2164"/>
      <c r="BG729" s="7511"/>
    </row>
    <row customHeight="1" ht="11.25">
      <c r="A730" s="1507" t="s">
        <v>990</v>
      </c>
      <c r="B730" s="1507"/>
      <c r="C730" s="1507"/>
      <c r="D730" s="1501"/>
      <c r="E730" s="1511"/>
      <c r="F730" s="2170"/>
      <c r="G730" s="2171"/>
      <c r="H730" s="2856" t="s">
        <v>91</v>
      </c>
      <c r="I730" s="2857"/>
      <c r="J730" s="2826"/>
      <c r="K730" s="2858"/>
      <c r="L730" s="2448"/>
      <c r="M730" s="2449"/>
      <c r="N730" s="2849"/>
      <c r="O730" s="2850">
        <v>1</v>
      </c>
      <c r="P730" s="2851" t="s">
        <v>65</v>
      </c>
      <c r="Q730" s="7512" t="s">
        <v>1105</v>
      </c>
      <c r="R730" s="7513" t="s">
        <v>1083</v>
      </c>
      <c r="S730" s="7513" t="s">
        <v>1030</v>
      </c>
      <c r="T730" s="7513" t="s">
        <v>1030</v>
      </c>
      <c r="U730" s="7513" t="s">
        <v>1031</v>
      </c>
      <c r="V730" s="7513" t="s">
        <v>1032</v>
      </c>
      <c r="W730" s="7513" t="s">
        <v>1033</v>
      </c>
      <c r="X730" s="7513" t="s">
        <v>1106</v>
      </c>
      <c r="Y730" s="7513" t="s">
        <v>1107</v>
      </c>
      <c r="Z730" s="1516"/>
      <c r="AA730" s="1517"/>
      <c r="AB730" s="1517"/>
      <c r="AC730" s="1521"/>
      <c r="AD730" s="1521"/>
      <c r="AE730" s="1522"/>
      <c r="AF730" s="2847"/>
      <c r="AG730" s="2848"/>
      <c r="AH730" s="2848"/>
      <c r="AI730" s="2847"/>
      <c r="AJ730" s="2848"/>
      <c r="AK730" s="2848"/>
      <c r="AL730" s="2329"/>
      <c r="AM730" s="2164"/>
      <c r="AN730" s="2164"/>
      <c r="AO730" s="2164"/>
      <c r="AP730" s="2164"/>
      <c r="AQ730" s="2164"/>
      <c r="AR730" s="2164"/>
      <c r="AS730" s="2164"/>
      <c r="AT730" s="2164"/>
      <c r="AU730" s="2164"/>
      <c r="AV730" s="2164"/>
      <c r="AW730" s="2164"/>
      <c r="AX730" s="2164"/>
      <c r="AY730" s="2164"/>
      <c r="AZ730" s="2164"/>
      <c r="BA730" s="2164"/>
      <c r="BB730" s="2164"/>
      <c r="BC730" s="2164"/>
      <c r="BD730" s="2164"/>
      <c r="BE730" s="2164"/>
      <c r="BF730" s="2164"/>
      <c r="BG730" s="7511"/>
    </row>
    <row customHeight="1" ht="11.25">
      <c r="A731" s="1507" t="s">
        <v>990</v>
      </c>
      <c r="B731" s="1507"/>
      <c r="C731" s="1507"/>
      <c r="D731" s="1501"/>
      <c r="E731" s="1511"/>
      <c r="F731" s="2170"/>
      <c r="G731" s="2171"/>
      <c r="H731" s="2856" t="s">
        <v>91</v>
      </c>
      <c r="I731" s="2857"/>
      <c r="J731" s="2826"/>
      <c r="K731" s="2858"/>
      <c r="L731" s="2448"/>
      <c r="M731" s="2449"/>
      <c r="N731" s="2849"/>
      <c r="O731" s="2850"/>
      <c r="P731" s="2852"/>
      <c r="Q731" s="7512"/>
      <c r="R731" s="2854"/>
      <c r="S731" s="2855"/>
      <c r="T731" s="2854"/>
      <c r="U731" s="2854"/>
      <c r="V731" s="2854"/>
      <c r="W731" s="2854"/>
      <c r="X731" s="2854"/>
      <c r="Y731" s="2854"/>
      <c r="Z731" s="2169"/>
      <c r="AA731" s="2135">
        <v>1</v>
      </c>
      <c r="AB731" s="1520" t="s">
        <v>1035</v>
      </c>
      <c r="AC731" s="1510">
        <v>17677.0864</v>
      </c>
      <c r="AD731" s="1520" t="str">
        <f>AB731</f>
        <v>      Амортизационные отчисления с выделением результатов переоценки основных средств и нематериальных активов</v>
      </c>
      <c r="AE731" s="1510"/>
      <c r="AF731" s="2847"/>
      <c r="AG731" s="2848"/>
      <c r="AH731" s="2848"/>
      <c r="AI731" s="2847"/>
      <c r="AJ731" s="2848"/>
      <c r="AK731" s="2848"/>
      <c r="AL731" s="2329"/>
      <c r="AM731" s="2164"/>
      <c r="AN731" s="2164"/>
      <c r="AO731" s="2164"/>
      <c r="AP731" s="2164"/>
      <c r="AQ731" s="2164"/>
      <c r="AR731" s="2164"/>
      <c r="AS731" s="2164"/>
      <c r="AT731" s="2164"/>
      <c r="AU731" s="2164"/>
      <c r="AV731" s="2164"/>
      <c r="AW731" s="2164"/>
      <c r="AX731" s="2164"/>
      <c r="AY731" s="2164"/>
      <c r="AZ731" s="2164"/>
      <c r="BA731" s="2164"/>
      <c r="BB731" s="2164"/>
      <c r="BC731" s="2164"/>
      <c r="BD731" s="2164"/>
      <c r="BE731" s="2164"/>
      <c r="BF731" s="2164"/>
      <c r="BG731" s="7511"/>
    </row>
    <row customHeight="1" ht="11.25">
      <c r="A732" s="1507" t="s">
        <v>990</v>
      </c>
      <c r="B732" s="1507"/>
      <c r="C732" s="1507"/>
      <c r="D732" s="1501"/>
      <c r="E732" s="1511"/>
      <c r="F732" s="2171"/>
      <c r="G732" s="2171"/>
      <c r="H732" s="2171"/>
      <c r="I732" s="2171"/>
      <c r="J732" s="2171"/>
      <c r="K732" s="2171"/>
      <c r="L732" s="2171"/>
      <c r="M732" s="2171"/>
      <c r="N732" s="2171"/>
      <c r="O732" s="2171"/>
      <c r="P732" s="2171"/>
      <c r="Q732" s="2171"/>
      <c r="R732" s="2171"/>
      <c r="S732" s="2171"/>
      <c r="T732" s="2171"/>
      <c r="U732" s="2171"/>
      <c r="V732" s="2171"/>
      <c r="W732" s="2171"/>
      <c r="X732" s="2171"/>
      <c r="Y732" s="2171"/>
      <c r="Z732" s="7510" t="s">
        <v>684</v>
      </c>
      <c r="AA732" s="2155" t="s">
        <v>107</v>
      </c>
      <c r="AB732" s="1520" t="s">
        <v>1036</v>
      </c>
      <c r="AC732" s="1510">
        <v>3535.41728</v>
      </c>
      <c r="AD732" s="1520" t="str">
        <f>AB732</f>
        <v>  Прочие собственные средства</v>
      </c>
      <c r="AE732" s="1510"/>
      <c r="AF732" s="2172"/>
      <c r="AG732" s="2100"/>
      <c r="AH732" s="2100"/>
      <c r="AI732" s="2172"/>
      <c r="AJ732" s="2100"/>
      <c r="AK732" s="2328"/>
      <c r="AL732" s="2329"/>
      <c r="AM732" s="2164"/>
      <c r="AN732" s="2164"/>
      <c r="AO732" s="2164"/>
      <c r="AP732" s="2164"/>
      <c r="AQ732" s="2164"/>
      <c r="AR732" s="2164"/>
      <c r="AS732" s="2164"/>
      <c r="AT732" s="2164"/>
      <c r="AU732" s="2164"/>
      <c r="AV732" s="2164"/>
      <c r="AW732" s="2164"/>
      <c r="AX732" s="2164"/>
      <c r="AY732" s="2164"/>
      <c r="AZ732" s="2164"/>
      <c r="BA732" s="2164"/>
      <c r="BB732" s="2164"/>
      <c r="BC732" s="2164"/>
      <c r="BD732" s="2164"/>
      <c r="BE732" s="2164"/>
      <c r="BF732" s="2164"/>
      <c r="BG732" s="7511"/>
    </row>
    <row customHeight="1" ht="11.25">
      <c r="A733" s="1507" t="s">
        <v>990</v>
      </c>
      <c r="B733" s="1507"/>
      <c r="C733" s="1507"/>
      <c r="D733" s="1501"/>
      <c r="E733" s="1511"/>
      <c r="F733" s="2170"/>
      <c r="G733" s="2171"/>
      <c r="H733" s="2856" t="s">
        <v>91</v>
      </c>
      <c r="I733" s="2857"/>
      <c r="J733" s="2826"/>
      <c r="K733" s="2858"/>
      <c r="L733" s="2448"/>
      <c r="M733" s="2449"/>
      <c r="N733" s="2849"/>
      <c r="O733" s="2850"/>
      <c r="P733" s="2853"/>
      <c r="Q733" s="7512"/>
      <c r="R733" s="2854"/>
      <c r="S733" s="2855"/>
      <c r="T733" s="2854"/>
      <c r="U733" s="2854"/>
      <c r="V733" s="2854"/>
      <c r="W733" s="2854"/>
      <c r="X733" s="2854"/>
      <c r="Y733" s="2854"/>
      <c r="Z733" s="1516"/>
      <c r="AA733" s="1517"/>
      <c r="AB733" s="1582" t="s">
        <v>1037</v>
      </c>
      <c r="AC733" s="1521"/>
      <c r="AD733" s="1521"/>
      <c r="AE733" s="1523"/>
      <c r="AF733" s="2847"/>
      <c r="AG733" s="2848"/>
      <c r="AH733" s="2848"/>
      <c r="AI733" s="2847"/>
      <c r="AJ733" s="2848"/>
      <c r="AK733" s="2848"/>
      <c r="AL733" s="2329"/>
      <c r="AM733" s="2164"/>
      <c r="AN733" s="2164"/>
      <c r="AO733" s="2164"/>
      <c r="AP733" s="2164"/>
      <c r="AQ733" s="2164"/>
      <c r="AR733" s="2164"/>
      <c r="AS733" s="2164"/>
      <c r="AT733" s="2164"/>
      <c r="AU733" s="2164"/>
      <c r="AV733" s="2164"/>
      <c r="AW733" s="2164"/>
      <c r="AX733" s="2164"/>
      <c r="AY733" s="2164"/>
      <c r="AZ733" s="2164"/>
      <c r="BA733" s="2164"/>
      <c r="BB733" s="2164"/>
      <c r="BC733" s="2164"/>
      <c r="BD733" s="2164"/>
      <c r="BE733" s="2164"/>
      <c r="BF733" s="2164"/>
      <c r="BG733" s="7511"/>
    </row>
    <row customHeight="1" ht="11.25">
      <c r="A734" s="1507" t="s">
        <v>990</v>
      </c>
      <c r="B734" s="1507"/>
      <c r="C734" s="1507"/>
      <c r="D734" s="1501"/>
      <c r="E734" s="1511"/>
      <c r="F734" s="2170"/>
      <c r="G734" s="2171"/>
      <c r="H734" s="2856" t="s">
        <v>91</v>
      </c>
      <c r="I734" s="2857"/>
      <c r="J734" s="2826"/>
      <c r="K734" s="2858"/>
      <c r="L734" s="2448"/>
      <c r="M734" s="2449"/>
      <c r="N734" s="1516"/>
      <c r="O734" s="1517"/>
      <c r="P734" s="1509" t="s">
        <v>1038</v>
      </c>
      <c r="Q734" s="1517"/>
      <c r="R734" s="1517"/>
      <c r="S734" s="1517"/>
      <c r="T734" s="1517"/>
      <c r="U734" s="1517"/>
      <c r="V734" s="1517"/>
      <c r="W734" s="1517"/>
      <c r="X734" s="1517"/>
      <c r="Y734" s="1517"/>
      <c r="Z734" s="1517"/>
      <c r="AA734" s="1517"/>
      <c r="AB734" s="1517"/>
      <c r="AC734" s="1517"/>
      <c r="AD734" s="1517"/>
      <c r="AE734" s="1524"/>
      <c r="AF734" s="2847"/>
      <c r="AG734" s="2848"/>
      <c r="AH734" s="2848"/>
      <c r="AI734" s="2847"/>
      <c r="AJ734" s="2848"/>
      <c r="AK734" s="2848"/>
      <c r="AL734" s="2329"/>
      <c r="AM734" s="2164"/>
      <c r="AN734" s="2164"/>
      <c r="AO734" s="2164"/>
      <c r="AP734" s="2164"/>
      <c r="AQ734" s="2164"/>
      <c r="AR734" s="2164"/>
      <c r="AS734" s="2164"/>
      <c r="AT734" s="2164"/>
      <c r="AU734" s="2164"/>
      <c r="AV734" s="2164"/>
      <c r="AW734" s="2164"/>
      <c r="AX734" s="2164"/>
      <c r="AY734" s="2164"/>
      <c r="AZ734" s="2164"/>
      <c r="BA734" s="2164"/>
      <c r="BB734" s="2164"/>
      <c r="BC734" s="2164"/>
      <c r="BD734" s="2164"/>
      <c r="BE734" s="2164"/>
      <c r="BF734" s="2164"/>
      <c r="BG734" s="7511"/>
    </row>
    <row customHeight="1" ht="11.25">
      <c r="A735" s="1507" t="s">
        <v>990</v>
      </c>
      <c r="B735" s="1507" t="s">
        <v>1022</v>
      </c>
      <c r="C735" s="1507"/>
      <c r="D735" s="1501"/>
      <c r="E735" s="1511"/>
      <c r="F735" s="2170"/>
      <c r="G735" s="7510" t="s">
        <v>684</v>
      </c>
      <c r="H735" s="2856" t="s">
        <v>92</v>
      </c>
      <c r="I735" s="2857" t="s">
        <v>1023</v>
      </c>
      <c r="J735" s="2826" t="s">
        <v>1071</v>
      </c>
      <c r="K735" s="2858" t="s">
        <v>1152</v>
      </c>
      <c r="L735" s="2448" t="s">
        <v>19</v>
      </c>
      <c r="M735" s="2449"/>
      <c r="N735" s="2327"/>
      <c r="O735" s="1518" t="s">
        <v>371</v>
      </c>
      <c r="P735" s="1519"/>
      <c r="Q735" s="1519"/>
      <c r="R735" s="1519"/>
      <c r="S735" s="1519"/>
      <c r="T735" s="1519"/>
      <c r="U735" s="1519"/>
      <c r="V735" s="1519"/>
      <c r="W735" s="1519"/>
      <c r="X735" s="1519"/>
      <c r="Y735" s="1519"/>
      <c r="Z735" s="1519"/>
      <c r="AA735" s="1519"/>
      <c r="AB735" s="1519"/>
      <c r="AC735" s="1519"/>
      <c r="AD735" s="1519"/>
      <c r="AE735" s="1519"/>
      <c r="AF735" s="2847">
        <v>6</v>
      </c>
      <c r="AG735" s="2848" t="s">
        <v>1067</v>
      </c>
      <c r="AH735" s="2848" t="s">
        <v>1104</v>
      </c>
      <c r="AI735" s="2847"/>
      <c r="AJ735" s="2848"/>
      <c r="AK735" s="2848"/>
      <c r="AL735" s="2329"/>
      <c r="AM735" s="2164"/>
      <c r="AN735" s="2164"/>
      <c r="AO735" s="2164"/>
      <c r="AP735" s="2164"/>
      <c r="AQ735" s="2164"/>
      <c r="AR735" s="2164"/>
      <c r="AS735" s="2164"/>
      <c r="AT735" s="2164"/>
      <c r="AU735" s="2164"/>
      <c r="AV735" s="2164"/>
      <c r="AW735" s="2164"/>
      <c r="AX735" s="2164"/>
      <c r="AY735" s="2164"/>
      <c r="AZ735" s="2164"/>
      <c r="BA735" s="2164"/>
      <c r="BB735" s="2164"/>
      <c r="BC735" s="2164"/>
      <c r="BD735" s="2164"/>
      <c r="BE735" s="2164"/>
      <c r="BF735" s="2164"/>
      <c r="BG735" s="7511"/>
    </row>
    <row customHeight="1" ht="11.25">
      <c r="A736" s="1507" t="s">
        <v>990</v>
      </c>
      <c r="B736" s="1507"/>
      <c r="C736" s="1507"/>
      <c r="D736" s="1501"/>
      <c r="E736" s="1511"/>
      <c r="F736" s="2170"/>
      <c r="G736" s="2171"/>
      <c r="H736" s="2856" t="s">
        <v>108</v>
      </c>
      <c r="I736" s="2857"/>
      <c r="J736" s="2826"/>
      <c r="K736" s="2858"/>
      <c r="L736" s="2448"/>
      <c r="M736" s="2449"/>
      <c r="N736" s="2849"/>
      <c r="O736" s="2850">
        <v>1</v>
      </c>
      <c r="P736" s="2851" t="s">
        <v>65</v>
      </c>
      <c r="Q736" s="7512" t="s">
        <v>1153</v>
      </c>
      <c r="R736" s="7513" t="s">
        <v>1083</v>
      </c>
      <c r="S736" s="7513" t="s">
        <v>1154</v>
      </c>
      <c r="T736" s="7513" t="s">
        <v>1154</v>
      </c>
      <c r="U736" s="7513" t="s">
        <v>1155</v>
      </c>
      <c r="V736" s="7513" t="s">
        <v>1156</v>
      </c>
      <c r="W736" s="7513" t="s">
        <v>1157</v>
      </c>
      <c r="X736" s="7513" t="s">
        <v>1158</v>
      </c>
      <c r="Y736" s="7513" t="s">
        <v>92</v>
      </c>
      <c r="Z736" s="1516"/>
      <c r="AA736" s="1517"/>
      <c r="AB736" s="1517"/>
      <c r="AC736" s="1521"/>
      <c r="AD736" s="1521"/>
      <c r="AE736" s="1522"/>
      <c r="AF736" s="2847"/>
      <c r="AG736" s="2848"/>
      <c r="AH736" s="2848"/>
      <c r="AI736" s="2847"/>
      <c r="AJ736" s="2848"/>
      <c r="AK736" s="2848"/>
      <c r="AL736" s="2329"/>
      <c r="AM736" s="2164"/>
      <c r="AN736" s="2164"/>
      <c r="AO736" s="2164"/>
      <c r="AP736" s="2164"/>
      <c r="AQ736" s="2164"/>
      <c r="AR736" s="2164"/>
      <c r="AS736" s="2164"/>
      <c r="AT736" s="2164"/>
      <c r="AU736" s="2164"/>
      <c r="AV736" s="2164"/>
      <c r="AW736" s="2164"/>
      <c r="AX736" s="2164"/>
      <c r="AY736" s="2164"/>
      <c r="AZ736" s="2164"/>
      <c r="BA736" s="2164"/>
      <c r="BB736" s="2164"/>
      <c r="BC736" s="2164"/>
      <c r="BD736" s="2164"/>
      <c r="BE736" s="2164"/>
      <c r="BF736" s="2164"/>
      <c r="BG736" s="7511"/>
    </row>
    <row customHeight="1" ht="11.25">
      <c r="A737" s="1507" t="s">
        <v>990</v>
      </c>
      <c r="B737" s="1507"/>
      <c r="C737" s="1507"/>
      <c r="D737" s="1501"/>
      <c r="E737" s="1511"/>
      <c r="F737" s="2170"/>
      <c r="G737" s="2171"/>
      <c r="H737" s="2856" t="s">
        <v>108</v>
      </c>
      <c r="I737" s="2857"/>
      <c r="J737" s="2826"/>
      <c r="K737" s="2858"/>
      <c r="L737" s="2448"/>
      <c r="M737" s="2449"/>
      <c r="N737" s="2849"/>
      <c r="O737" s="2850"/>
      <c r="P737" s="2852"/>
      <c r="Q737" s="7512"/>
      <c r="R737" s="2854"/>
      <c r="S737" s="2855"/>
      <c r="T737" s="2854"/>
      <c r="U737" s="2854"/>
      <c r="V737" s="2854"/>
      <c r="W737" s="2854"/>
      <c r="X737" s="2854"/>
      <c r="Y737" s="2854"/>
      <c r="Z737" s="2169"/>
      <c r="AA737" s="2135">
        <v>1</v>
      </c>
      <c r="AB737" s="1520" t="s">
        <v>1035</v>
      </c>
      <c r="AC737" s="1510">
        <v>61476</v>
      </c>
      <c r="AD737" s="1520" t="str">
        <f>AB737</f>
        <v>      Амортизационные отчисления с выделением результатов переоценки основных средств и нематериальных активов</v>
      </c>
      <c r="AE737" s="1510"/>
      <c r="AF737" s="2847"/>
      <c r="AG737" s="2848"/>
      <c r="AH737" s="2848"/>
      <c r="AI737" s="2847"/>
      <c r="AJ737" s="2848"/>
      <c r="AK737" s="2848"/>
      <c r="AL737" s="2329"/>
      <c r="AM737" s="2164"/>
      <c r="AN737" s="2164"/>
      <c r="AO737" s="2164"/>
      <c r="AP737" s="2164"/>
      <c r="AQ737" s="2164"/>
      <c r="AR737" s="2164"/>
      <c r="AS737" s="2164"/>
      <c r="AT737" s="2164"/>
      <c r="AU737" s="2164"/>
      <c r="AV737" s="2164"/>
      <c r="AW737" s="2164"/>
      <c r="AX737" s="2164"/>
      <c r="AY737" s="2164"/>
      <c r="AZ737" s="2164"/>
      <c r="BA737" s="2164"/>
      <c r="BB737" s="2164"/>
      <c r="BC737" s="2164"/>
      <c r="BD737" s="2164"/>
      <c r="BE737" s="2164"/>
      <c r="BF737" s="2164"/>
      <c r="BG737" s="7511"/>
    </row>
    <row customHeight="1" ht="11.25">
      <c r="A738" s="1507" t="s">
        <v>990</v>
      </c>
      <c r="B738" s="1507"/>
      <c r="C738" s="1507"/>
      <c r="D738" s="1501"/>
      <c r="E738" s="1511"/>
      <c r="F738" s="2171"/>
      <c r="G738" s="2171"/>
      <c r="H738" s="2171"/>
      <c r="I738" s="2171"/>
      <c r="J738" s="2171"/>
      <c r="K738" s="2171"/>
      <c r="L738" s="2171"/>
      <c r="M738" s="2171"/>
      <c r="N738" s="2171"/>
      <c r="O738" s="2171"/>
      <c r="P738" s="2171"/>
      <c r="Q738" s="2171"/>
      <c r="R738" s="2171"/>
      <c r="S738" s="2171"/>
      <c r="T738" s="2171"/>
      <c r="U738" s="2171"/>
      <c r="V738" s="2171"/>
      <c r="W738" s="2171"/>
      <c r="X738" s="2171"/>
      <c r="Y738" s="2171"/>
      <c r="Z738" s="7510" t="s">
        <v>684</v>
      </c>
      <c r="AA738" s="2155" t="s">
        <v>107</v>
      </c>
      <c r="AB738" s="1520" t="s">
        <v>1036</v>
      </c>
      <c r="AC738" s="1510">
        <v>11279.21356</v>
      </c>
      <c r="AD738" s="1520" t="str">
        <f>AB738</f>
        <v>  Прочие собственные средства</v>
      </c>
      <c r="AE738" s="1510"/>
      <c r="AF738" s="2172"/>
      <c r="AG738" s="2100"/>
      <c r="AH738" s="2100"/>
      <c r="AI738" s="2172"/>
      <c r="AJ738" s="2100"/>
      <c r="AK738" s="2328"/>
      <c r="AL738" s="2329"/>
      <c r="AM738" s="2164"/>
      <c r="AN738" s="2164"/>
      <c r="AO738" s="2164"/>
      <c r="AP738" s="2164"/>
      <c r="AQ738" s="2164"/>
      <c r="AR738" s="2164"/>
      <c r="AS738" s="2164"/>
      <c r="AT738" s="2164"/>
      <c r="AU738" s="2164"/>
      <c r="AV738" s="2164"/>
      <c r="AW738" s="2164"/>
      <c r="AX738" s="2164"/>
      <c r="AY738" s="2164"/>
      <c r="AZ738" s="2164"/>
      <c r="BA738" s="2164"/>
      <c r="BB738" s="2164"/>
      <c r="BC738" s="2164"/>
      <c r="BD738" s="2164"/>
      <c r="BE738" s="2164"/>
      <c r="BF738" s="2164"/>
      <c r="BG738" s="7511"/>
    </row>
    <row customHeight="1" ht="11.25">
      <c r="A739" s="1507" t="s">
        <v>990</v>
      </c>
      <c r="B739" s="1507"/>
      <c r="C739" s="1507"/>
      <c r="D739" s="1501"/>
      <c r="E739" s="1511"/>
      <c r="F739" s="2170"/>
      <c r="G739" s="2171"/>
      <c r="H739" s="2856" t="s">
        <v>108</v>
      </c>
      <c r="I739" s="2857"/>
      <c r="J739" s="2826"/>
      <c r="K739" s="2858"/>
      <c r="L739" s="2448"/>
      <c r="M739" s="2449"/>
      <c r="N739" s="2849"/>
      <c r="O739" s="2850"/>
      <c r="P739" s="2853"/>
      <c r="Q739" s="7512"/>
      <c r="R739" s="2854"/>
      <c r="S739" s="2855"/>
      <c r="T739" s="2854"/>
      <c r="U739" s="2854"/>
      <c r="V739" s="2854"/>
      <c r="W739" s="2854"/>
      <c r="X739" s="2854"/>
      <c r="Y739" s="2854"/>
      <c r="Z739" s="1516"/>
      <c r="AA739" s="1517"/>
      <c r="AB739" s="1582" t="s">
        <v>1037</v>
      </c>
      <c r="AC739" s="1521"/>
      <c r="AD739" s="1521"/>
      <c r="AE739" s="1523"/>
      <c r="AF739" s="2847"/>
      <c r="AG739" s="2848"/>
      <c r="AH739" s="2848"/>
      <c r="AI739" s="2847"/>
      <c r="AJ739" s="2848"/>
      <c r="AK739" s="2848"/>
      <c r="AL739" s="2329"/>
      <c r="AM739" s="2164"/>
      <c r="AN739" s="2164"/>
      <c r="AO739" s="2164"/>
      <c r="AP739" s="2164"/>
      <c r="AQ739" s="2164"/>
      <c r="AR739" s="2164"/>
      <c r="AS739" s="2164"/>
      <c r="AT739" s="2164"/>
      <c r="AU739" s="2164"/>
      <c r="AV739" s="2164"/>
      <c r="AW739" s="2164"/>
      <c r="AX739" s="2164"/>
      <c r="AY739" s="2164"/>
      <c r="AZ739" s="2164"/>
      <c r="BA739" s="2164"/>
      <c r="BB739" s="2164"/>
      <c r="BC739" s="2164"/>
      <c r="BD739" s="2164"/>
      <c r="BE739" s="2164"/>
      <c r="BF739" s="2164"/>
      <c r="BG739" s="7511"/>
    </row>
    <row customHeight="1" ht="11.25">
      <c r="A740" s="1507" t="s">
        <v>990</v>
      </c>
      <c r="B740" s="1507"/>
      <c r="C740" s="1507"/>
      <c r="D740" s="1501"/>
      <c r="E740" s="1511"/>
      <c r="F740" s="2170"/>
      <c r="G740" s="2171"/>
      <c r="H740" s="2856" t="s">
        <v>108</v>
      </c>
      <c r="I740" s="2857"/>
      <c r="J740" s="2826"/>
      <c r="K740" s="2858"/>
      <c r="L740" s="2448"/>
      <c r="M740" s="2449"/>
      <c r="N740" s="1516"/>
      <c r="O740" s="1517"/>
      <c r="P740" s="1509" t="s">
        <v>1038</v>
      </c>
      <c r="Q740" s="1517"/>
      <c r="R740" s="1517"/>
      <c r="S740" s="1517"/>
      <c r="T740" s="1517"/>
      <c r="U740" s="1517"/>
      <c r="V740" s="1517"/>
      <c r="W740" s="1517"/>
      <c r="X740" s="1517"/>
      <c r="Y740" s="1517"/>
      <c r="Z740" s="1517"/>
      <c r="AA740" s="1517"/>
      <c r="AB740" s="1517"/>
      <c r="AC740" s="1517"/>
      <c r="AD740" s="1517"/>
      <c r="AE740" s="1524"/>
      <c r="AF740" s="2847"/>
      <c r="AG740" s="2848"/>
      <c r="AH740" s="2848"/>
      <c r="AI740" s="2847"/>
      <c r="AJ740" s="2848"/>
      <c r="AK740" s="2848"/>
      <c r="AL740" s="2329"/>
      <c r="AM740" s="2164"/>
      <c r="AN740" s="2164"/>
      <c r="AO740" s="2164"/>
      <c r="AP740" s="2164"/>
      <c r="AQ740" s="2164"/>
      <c r="AR740" s="2164"/>
      <c r="AS740" s="2164"/>
      <c r="AT740" s="2164"/>
      <c r="AU740" s="2164"/>
      <c r="AV740" s="2164"/>
      <c r="AW740" s="2164"/>
      <c r="AX740" s="2164"/>
      <c r="AY740" s="2164"/>
      <c r="AZ740" s="2164"/>
      <c r="BA740" s="2164"/>
      <c r="BB740" s="2164"/>
      <c r="BC740" s="2164"/>
      <c r="BD740" s="2164"/>
      <c r="BE740" s="2164"/>
      <c r="BF740" s="2164"/>
      <c r="BG740" s="7511"/>
    </row>
    <row customHeight="1" ht="11.25">
      <c r="A741" s="1507" t="s">
        <v>990</v>
      </c>
      <c r="B741" s="1507" t="s">
        <v>1022</v>
      </c>
      <c r="C741" s="1507"/>
      <c r="D741" s="1501"/>
      <c r="E741" s="1511"/>
      <c r="F741" s="2170"/>
      <c r="G741" s="7510" t="s">
        <v>684</v>
      </c>
      <c r="H741" s="2856" t="s">
        <v>93</v>
      </c>
      <c r="I741" s="2857" t="s">
        <v>1023</v>
      </c>
      <c r="J741" s="2826" t="s">
        <v>1071</v>
      </c>
      <c r="K741" s="2858" t="s">
        <v>1160</v>
      </c>
      <c r="L741" s="2448" t="s">
        <v>19</v>
      </c>
      <c r="M741" s="2449"/>
      <c r="N741" s="2327"/>
      <c r="O741" s="1518" t="s">
        <v>371</v>
      </c>
      <c r="P741" s="1519"/>
      <c r="Q741" s="1519"/>
      <c r="R741" s="1519"/>
      <c r="S741" s="1519"/>
      <c r="T741" s="1519"/>
      <c r="U741" s="1519"/>
      <c r="V741" s="1519"/>
      <c r="W741" s="1519"/>
      <c r="X741" s="1519"/>
      <c r="Y741" s="1519"/>
      <c r="Z741" s="1519"/>
      <c r="AA741" s="1519"/>
      <c r="AB741" s="1519"/>
      <c r="AC741" s="1519"/>
      <c r="AD741" s="1519"/>
      <c r="AE741" s="1519"/>
      <c r="AF741" s="2847">
        <v>6</v>
      </c>
      <c r="AG741" s="2848" t="s">
        <v>1067</v>
      </c>
      <c r="AH741" s="2848" t="s">
        <v>1104</v>
      </c>
      <c r="AI741" s="2847"/>
      <c r="AJ741" s="2848"/>
      <c r="AK741" s="2848"/>
      <c r="AL741" s="2329"/>
      <c r="AM741" s="2164"/>
      <c r="AN741" s="2164"/>
      <c r="AO741" s="2164"/>
      <c r="AP741" s="2164"/>
      <c r="AQ741" s="2164"/>
      <c r="AR741" s="2164"/>
      <c r="AS741" s="2164"/>
      <c r="AT741" s="2164"/>
      <c r="AU741" s="2164"/>
      <c r="AV741" s="2164"/>
      <c r="AW741" s="2164"/>
      <c r="AX741" s="2164"/>
      <c r="AY741" s="2164"/>
      <c r="AZ741" s="2164"/>
      <c r="BA741" s="2164"/>
      <c r="BB741" s="2164"/>
      <c r="BC741" s="2164"/>
      <c r="BD741" s="2164"/>
      <c r="BE741" s="2164"/>
      <c r="BF741" s="2164"/>
      <c r="BG741" s="7511"/>
    </row>
    <row customHeight="1" ht="11.25">
      <c r="A742" s="1507" t="s">
        <v>990</v>
      </c>
      <c r="B742" s="1507"/>
      <c r="C742" s="1507"/>
      <c r="D742" s="1501"/>
      <c r="E742" s="1511"/>
      <c r="F742" s="2170"/>
      <c r="G742" s="2171"/>
      <c r="H742" s="2856" t="s">
        <v>92</v>
      </c>
      <c r="I742" s="2857"/>
      <c r="J742" s="2826"/>
      <c r="K742" s="2858"/>
      <c r="L742" s="2448"/>
      <c r="M742" s="2449"/>
      <c r="N742" s="2849"/>
      <c r="O742" s="2850">
        <v>1</v>
      </c>
      <c r="P742" s="2851" t="s">
        <v>65</v>
      </c>
      <c r="Q742" s="7512" t="s">
        <v>1161</v>
      </c>
      <c r="R742" s="7513" t="s">
        <v>1083</v>
      </c>
      <c r="S742" s="7513" t="s">
        <v>1162</v>
      </c>
      <c r="T742" s="7513" t="s">
        <v>1163</v>
      </c>
      <c r="U742" s="7513" t="s">
        <v>1164</v>
      </c>
      <c r="V742" s="7513" t="s">
        <v>1165</v>
      </c>
      <c r="W742" s="7513" t="s">
        <v>1166</v>
      </c>
      <c r="X742" s="7513" t="s">
        <v>1167</v>
      </c>
      <c r="Y742" s="7513" t="s">
        <v>1168</v>
      </c>
      <c r="Z742" s="1516"/>
      <c r="AA742" s="1517"/>
      <c r="AB742" s="1517"/>
      <c r="AC742" s="1521"/>
      <c r="AD742" s="1521"/>
      <c r="AE742" s="1522"/>
      <c r="AF742" s="2847"/>
      <c r="AG742" s="2848"/>
      <c r="AH742" s="2848"/>
      <c r="AI742" s="2847"/>
      <c r="AJ742" s="2848"/>
      <c r="AK742" s="2848"/>
      <c r="AL742" s="2329"/>
      <c r="AM742" s="2164"/>
      <c r="AN742" s="2164"/>
      <c r="AO742" s="2164"/>
      <c r="AP742" s="2164"/>
      <c r="AQ742" s="2164"/>
      <c r="AR742" s="2164"/>
      <c r="AS742" s="2164"/>
      <c r="AT742" s="2164"/>
      <c r="AU742" s="2164"/>
      <c r="AV742" s="2164"/>
      <c r="AW742" s="2164"/>
      <c r="AX742" s="2164"/>
      <c r="AY742" s="2164"/>
      <c r="AZ742" s="2164"/>
      <c r="BA742" s="2164"/>
      <c r="BB742" s="2164"/>
      <c r="BC742" s="2164"/>
      <c r="BD742" s="2164"/>
      <c r="BE742" s="2164"/>
      <c r="BF742" s="2164"/>
      <c r="BG742" s="7511"/>
    </row>
    <row customHeight="1" ht="11.25">
      <c r="A743" s="1507" t="s">
        <v>990</v>
      </c>
      <c r="B743" s="1507"/>
      <c r="C743" s="1507"/>
      <c r="D743" s="1501"/>
      <c r="E743" s="1511"/>
      <c r="F743" s="2170"/>
      <c r="G743" s="2171"/>
      <c r="H743" s="2856" t="s">
        <v>92</v>
      </c>
      <c r="I743" s="2857"/>
      <c r="J743" s="2826"/>
      <c r="K743" s="2858"/>
      <c r="L743" s="2448"/>
      <c r="M743" s="2449"/>
      <c r="N743" s="2849"/>
      <c r="O743" s="2850"/>
      <c r="P743" s="2852"/>
      <c r="Q743" s="7512"/>
      <c r="R743" s="2854"/>
      <c r="S743" s="2855"/>
      <c r="T743" s="2854"/>
      <c r="U743" s="2854"/>
      <c r="V743" s="2854"/>
      <c r="W743" s="2854"/>
      <c r="X743" s="2854"/>
      <c r="Y743" s="2854"/>
      <c r="Z743" s="2169"/>
      <c r="AA743" s="2135">
        <v>1</v>
      </c>
      <c r="AB743" s="1520" t="s">
        <v>1035</v>
      </c>
      <c r="AC743" s="1510">
        <v>61356</v>
      </c>
      <c r="AD743" s="1520" t="str">
        <f>AB743</f>
        <v>      Амортизационные отчисления с выделением результатов переоценки основных средств и нематериальных активов</v>
      </c>
      <c r="AE743" s="1510"/>
      <c r="AF743" s="2847"/>
      <c r="AG743" s="2848"/>
      <c r="AH743" s="2848"/>
      <c r="AI743" s="2847"/>
      <c r="AJ743" s="2848"/>
      <c r="AK743" s="2848"/>
      <c r="AL743" s="2329"/>
      <c r="AM743" s="2164"/>
      <c r="AN743" s="2164"/>
      <c r="AO743" s="2164"/>
      <c r="AP743" s="2164"/>
      <c r="AQ743" s="2164"/>
      <c r="AR743" s="2164"/>
      <c r="AS743" s="2164"/>
      <c r="AT743" s="2164"/>
      <c r="AU743" s="2164"/>
      <c r="AV743" s="2164"/>
      <c r="AW743" s="2164"/>
      <c r="AX743" s="2164"/>
      <c r="AY743" s="2164"/>
      <c r="AZ743" s="2164"/>
      <c r="BA743" s="2164"/>
      <c r="BB743" s="2164"/>
      <c r="BC743" s="2164"/>
      <c r="BD743" s="2164"/>
      <c r="BE743" s="2164"/>
      <c r="BF743" s="2164"/>
      <c r="BG743" s="7511"/>
    </row>
    <row customHeight="1" ht="11.25">
      <c r="A744" s="1507" t="s">
        <v>990</v>
      </c>
      <c r="B744" s="1507"/>
      <c r="C744" s="1507"/>
      <c r="D744" s="1501"/>
      <c r="E744" s="1511"/>
      <c r="F744" s="2171"/>
      <c r="G744" s="2171"/>
      <c r="H744" s="2171"/>
      <c r="I744" s="2171"/>
      <c r="J744" s="2171"/>
      <c r="K744" s="2171"/>
      <c r="L744" s="2171"/>
      <c r="M744" s="2171"/>
      <c r="N744" s="2171"/>
      <c r="O744" s="2171"/>
      <c r="P744" s="2171"/>
      <c r="Q744" s="2171"/>
      <c r="R744" s="2171"/>
      <c r="S744" s="2171"/>
      <c r="T744" s="2171"/>
      <c r="U744" s="2171"/>
      <c r="V744" s="2171"/>
      <c r="W744" s="2171"/>
      <c r="X744" s="2171"/>
      <c r="Y744" s="2171"/>
      <c r="Z744" s="7510" t="s">
        <v>684</v>
      </c>
      <c r="AA744" s="2155" t="s">
        <v>107</v>
      </c>
      <c r="AB744" s="1520" t="s">
        <v>1036</v>
      </c>
      <c r="AC744" s="1510">
        <v>11044.08</v>
      </c>
      <c r="AD744" s="1520" t="str">
        <f>AB744</f>
        <v>  Прочие собственные средства</v>
      </c>
      <c r="AE744" s="1510"/>
      <c r="AF744" s="2172"/>
      <c r="AG744" s="2100"/>
      <c r="AH744" s="2100"/>
      <c r="AI744" s="2172"/>
      <c r="AJ744" s="2100"/>
      <c r="AK744" s="2328"/>
      <c r="AL744" s="2329"/>
      <c r="AM744" s="2164"/>
      <c r="AN744" s="2164"/>
      <c r="AO744" s="2164"/>
      <c r="AP744" s="2164"/>
      <c r="AQ744" s="2164"/>
      <c r="AR744" s="2164"/>
      <c r="AS744" s="2164"/>
      <c r="AT744" s="2164"/>
      <c r="AU744" s="2164"/>
      <c r="AV744" s="2164"/>
      <c r="AW744" s="2164"/>
      <c r="AX744" s="2164"/>
      <c r="AY744" s="2164"/>
      <c r="AZ744" s="2164"/>
      <c r="BA744" s="2164"/>
      <c r="BB744" s="2164"/>
      <c r="BC744" s="2164"/>
      <c r="BD744" s="2164"/>
      <c r="BE744" s="2164"/>
      <c r="BF744" s="2164"/>
      <c r="BG744" s="7511"/>
    </row>
    <row customHeight="1" ht="11.25">
      <c r="A745" s="1507" t="s">
        <v>990</v>
      </c>
      <c r="B745" s="1507"/>
      <c r="C745" s="1507"/>
      <c r="D745" s="1501"/>
      <c r="E745" s="1511"/>
      <c r="F745" s="2170"/>
      <c r="G745" s="2171"/>
      <c r="H745" s="2856" t="s">
        <v>92</v>
      </c>
      <c r="I745" s="2857"/>
      <c r="J745" s="2826"/>
      <c r="K745" s="2858"/>
      <c r="L745" s="2448"/>
      <c r="M745" s="2449"/>
      <c r="N745" s="2849"/>
      <c r="O745" s="2850"/>
      <c r="P745" s="2853"/>
      <c r="Q745" s="7512"/>
      <c r="R745" s="2854"/>
      <c r="S745" s="2855"/>
      <c r="T745" s="2854"/>
      <c r="U745" s="2854"/>
      <c r="V745" s="2854"/>
      <c r="W745" s="2854"/>
      <c r="X745" s="2854"/>
      <c r="Y745" s="2854"/>
      <c r="Z745" s="1516"/>
      <c r="AA745" s="1517"/>
      <c r="AB745" s="1582" t="s">
        <v>1037</v>
      </c>
      <c r="AC745" s="1521"/>
      <c r="AD745" s="1521"/>
      <c r="AE745" s="1523"/>
      <c r="AF745" s="2847"/>
      <c r="AG745" s="2848"/>
      <c r="AH745" s="2848"/>
      <c r="AI745" s="2847"/>
      <c r="AJ745" s="2848"/>
      <c r="AK745" s="2848"/>
      <c r="AL745" s="2329"/>
      <c r="AM745" s="2164"/>
      <c r="AN745" s="2164"/>
      <c r="AO745" s="2164"/>
      <c r="AP745" s="2164"/>
      <c r="AQ745" s="2164"/>
      <c r="AR745" s="2164"/>
      <c r="AS745" s="2164"/>
      <c r="AT745" s="2164"/>
      <c r="AU745" s="2164"/>
      <c r="AV745" s="2164"/>
      <c r="AW745" s="2164"/>
      <c r="AX745" s="2164"/>
      <c r="AY745" s="2164"/>
      <c r="AZ745" s="2164"/>
      <c r="BA745" s="2164"/>
      <c r="BB745" s="2164"/>
      <c r="BC745" s="2164"/>
      <c r="BD745" s="2164"/>
      <c r="BE745" s="2164"/>
      <c r="BF745" s="2164"/>
      <c r="BG745" s="7511"/>
    </row>
    <row customHeight="1" ht="11.25">
      <c r="A746" s="1507" t="s">
        <v>990</v>
      </c>
      <c r="B746" s="1507"/>
      <c r="C746" s="1507"/>
      <c r="D746" s="1501"/>
      <c r="E746" s="1511"/>
      <c r="F746" s="2170"/>
      <c r="G746" s="2171"/>
      <c r="H746" s="2856" t="s">
        <v>92</v>
      </c>
      <c r="I746" s="2857"/>
      <c r="J746" s="2826"/>
      <c r="K746" s="2858"/>
      <c r="L746" s="2448"/>
      <c r="M746" s="2449"/>
      <c r="N746" s="1516"/>
      <c r="O746" s="1517"/>
      <c r="P746" s="1509" t="s">
        <v>1038</v>
      </c>
      <c r="Q746" s="1517"/>
      <c r="R746" s="1517"/>
      <c r="S746" s="1517"/>
      <c r="T746" s="1517"/>
      <c r="U746" s="1517"/>
      <c r="V746" s="1517"/>
      <c r="W746" s="1517"/>
      <c r="X746" s="1517"/>
      <c r="Y746" s="1517"/>
      <c r="Z746" s="1517"/>
      <c r="AA746" s="1517"/>
      <c r="AB746" s="1517"/>
      <c r="AC746" s="1517"/>
      <c r="AD746" s="1517"/>
      <c r="AE746" s="1524"/>
      <c r="AF746" s="2847"/>
      <c r="AG746" s="2848"/>
      <c r="AH746" s="2848"/>
      <c r="AI746" s="2847"/>
      <c r="AJ746" s="2848"/>
      <c r="AK746" s="2848"/>
      <c r="AL746" s="2329"/>
      <c r="AM746" s="2164"/>
      <c r="AN746" s="2164"/>
      <c r="AO746" s="2164"/>
      <c r="AP746" s="2164"/>
      <c r="AQ746" s="2164"/>
      <c r="AR746" s="2164"/>
      <c r="AS746" s="2164"/>
      <c r="AT746" s="2164"/>
      <c r="AU746" s="2164"/>
      <c r="AV746" s="2164"/>
      <c r="AW746" s="2164"/>
      <c r="AX746" s="2164"/>
      <c r="AY746" s="2164"/>
      <c r="AZ746" s="2164"/>
      <c r="BA746" s="2164"/>
      <c r="BB746" s="2164"/>
      <c r="BC746" s="2164"/>
      <c r="BD746" s="2164"/>
      <c r="BE746" s="2164"/>
      <c r="BF746" s="2164"/>
      <c r="BG746" s="7511"/>
    </row>
    <row customHeight="1" ht="11.25">
      <c r="A747" s="1507" t="s">
        <v>990</v>
      </c>
      <c r="B747" s="1507" t="s">
        <v>22</v>
      </c>
      <c r="C747" s="1507"/>
      <c r="D747" s="1501"/>
      <c r="E747" s="1511"/>
      <c r="F747" s="2170"/>
      <c r="G747" s="7510" t="s">
        <v>684</v>
      </c>
      <c r="H747" s="2856" t="s">
        <v>109</v>
      </c>
      <c r="I747" s="2857" t="s">
        <v>1039</v>
      </c>
      <c r="J747" s="7514" t="s">
        <v>22</v>
      </c>
      <c r="K747" s="2858" t="s">
        <v>1174</v>
      </c>
      <c r="L747" s="2448" t="s">
        <v>19</v>
      </c>
      <c r="M747" s="2449"/>
      <c r="N747" s="2327"/>
      <c r="O747" s="1518" t="s">
        <v>371</v>
      </c>
      <c r="P747" s="1519"/>
      <c r="Q747" s="1519"/>
      <c r="R747" s="1519"/>
      <c r="S747" s="1519"/>
      <c r="T747" s="1519"/>
      <c r="U747" s="1519"/>
      <c r="V747" s="1519"/>
      <c r="W747" s="1519"/>
      <c r="X747" s="1519"/>
      <c r="Y747" s="1519"/>
      <c r="Z747" s="1519"/>
      <c r="AA747" s="1519"/>
      <c r="AB747" s="1519"/>
      <c r="AC747" s="1519"/>
      <c r="AD747" s="1519"/>
      <c r="AE747" s="1519"/>
      <c r="AF747" s="2847">
        <v>1</v>
      </c>
      <c r="AG747" s="2848" t="s">
        <v>1026</v>
      </c>
      <c r="AH747" s="2848" t="s">
        <v>1104</v>
      </c>
      <c r="AI747" s="2847"/>
      <c r="AJ747" s="2848"/>
      <c r="AK747" s="2848"/>
      <c r="AL747" s="2329"/>
      <c r="AM747" s="2164"/>
      <c r="AN747" s="2164"/>
      <c r="AO747" s="2164"/>
      <c r="AP747" s="2164"/>
      <c r="AQ747" s="2164"/>
      <c r="AR747" s="2164"/>
      <c r="AS747" s="2164"/>
      <c r="AT747" s="2164"/>
      <c r="AU747" s="2164"/>
      <c r="AV747" s="2164"/>
      <c r="AW747" s="2164"/>
      <c r="AX747" s="2164"/>
      <c r="AY747" s="2164"/>
      <c r="AZ747" s="2164"/>
      <c r="BA747" s="2164"/>
      <c r="BB747" s="2164"/>
      <c r="BC747" s="2164"/>
      <c r="BD747" s="2164"/>
      <c r="BE747" s="2164"/>
      <c r="BF747" s="2164"/>
      <c r="BG747" s="7511"/>
    </row>
    <row customHeight="1" ht="11.25">
      <c r="A748" s="1507" t="s">
        <v>990</v>
      </c>
      <c r="B748" s="1507"/>
      <c r="C748" s="1507"/>
      <c r="D748" s="1501"/>
      <c r="E748" s="1511"/>
      <c r="F748" s="2170"/>
      <c r="G748" s="2171"/>
      <c r="H748" s="2856" t="s">
        <v>93</v>
      </c>
      <c r="I748" s="2857"/>
      <c r="J748" s="7514"/>
      <c r="K748" s="2858"/>
      <c r="L748" s="2448"/>
      <c r="M748" s="2449"/>
      <c r="N748" s="2849"/>
      <c r="O748" s="2850">
        <v>1</v>
      </c>
      <c r="P748" s="2851" t="s">
        <v>19</v>
      </c>
      <c r="Q748" s="7516" t="s">
        <v>22</v>
      </c>
      <c r="R748" s="7516" t="s">
        <v>22</v>
      </c>
      <c r="S748" s="7516" t="s">
        <v>22</v>
      </c>
      <c r="T748" s="7516" t="s">
        <v>22</v>
      </c>
      <c r="U748" s="7516" t="s">
        <v>22</v>
      </c>
      <c r="V748" s="7516" t="s">
        <v>22</v>
      </c>
      <c r="W748" s="7516" t="s">
        <v>22</v>
      </c>
      <c r="X748" s="7516" t="s">
        <v>22</v>
      </c>
      <c r="Y748" s="7516" t="s">
        <v>22</v>
      </c>
      <c r="Z748" s="1516"/>
      <c r="AA748" s="1517"/>
      <c r="AB748" s="1517"/>
      <c r="AC748" s="1521"/>
      <c r="AD748" s="1521"/>
      <c r="AE748" s="1522"/>
      <c r="AF748" s="2847"/>
      <c r="AG748" s="2848"/>
      <c r="AH748" s="2848"/>
      <c r="AI748" s="2847"/>
      <c r="AJ748" s="2848"/>
      <c r="AK748" s="2848"/>
      <c r="AL748" s="2329"/>
      <c r="AM748" s="2164"/>
      <c r="AN748" s="2164"/>
      <c r="AO748" s="2164"/>
      <c r="AP748" s="2164"/>
      <c r="AQ748" s="2164"/>
      <c r="AR748" s="2164"/>
      <c r="AS748" s="2164"/>
      <c r="AT748" s="2164"/>
      <c r="AU748" s="2164"/>
      <c r="AV748" s="2164"/>
      <c r="AW748" s="2164"/>
      <c r="AX748" s="2164"/>
      <c r="AY748" s="2164"/>
      <c r="AZ748" s="2164"/>
      <c r="BA748" s="2164"/>
      <c r="BB748" s="2164"/>
      <c r="BC748" s="2164"/>
      <c r="BD748" s="2164"/>
      <c r="BE748" s="2164"/>
      <c r="BF748" s="2164"/>
      <c r="BG748" s="7511"/>
    </row>
    <row customHeight="1" ht="11.25">
      <c r="A749" s="1507" t="s">
        <v>990</v>
      </c>
      <c r="B749" s="1507"/>
      <c r="C749" s="1507"/>
      <c r="D749" s="1501"/>
      <c r="E749" s="1511"/>
      <c r="F749" s="2170"/>
      <c r="G749" s="2171"/>
      <c r="H749" s="2856" t="s">
        <v>93</v>
      </c>
      <c r="I749" s="2857"/>
      <c r="J749" s="7514"/>
      <c r="K749" s="2858"/>
      <c r="L749" s="2448"/>
      <c r="M749" s="2449"/>
      <c r="N749" s="2849"/>
      <c r="O749" s="2850"/>
      <c r="P749" s="2852"/>
      <c r="Q749" s="7512"/>
      <c r="R749" s="2854"/>
      <c r="S749" s="2855"/>
      <c r="T749" s="2854"/>
      <c r="U749" s="2854"/>
      <c r="V749" s="2854"/>
      <c r="W749" s="2854"/>
      <c r="X749" s="2854"/>
      <c r="Y749" s="2854"/>
      <c r="Z749" s="2169"/>
      <c r="AA749" s="2135">
        <v>1</v>
      </c>
      <c r="AB749" s="1520" t="s">
        <v>1035</v>
      </c>
      <c r="AC749" s="1510">
        <v>13540.88024</v>
      </c>
      <c r="AD749" s="1520" t="str">
        <f>AB749</f>
        <v>      Амортизационные отчисления с выделением результатов переоценки основных средств и нематериальных активов</v>
      </c>
      <c r="AE749" s="1510"/>
      <c r="AF749" s="2847"/>
      <c r="AG749" s="2848"/>
      <c r="AH749" s="2848"/>
      <c r="AI749" s="2847"/>
      <c r="AJ749" s="2848"/>
      <c r="AK749" s="2848"/>
      <c r="AL749" s="2329"/>
      <c r="AM749" s="2164"/>
      <c r="AN749" s="2164"/>
      <c r="AO749" s="2164"/>
      <c r="AP749" s="2164"/>
      <c r="AQ749" s="2164"/>
      <c r="AR749" s="2164"/>
      <c r="AS749" s="2164"/>
      <c r="AT749" s="2164"/>
      <c r="AU749" s="2164"/>
      <c r="AV749" s="2164"/>
      <c r="AW749" s="2164"/>
      <c r="AX749" s="2164"/>
      <c r="AY749" s="2164"/>
      <c r="AZ749" s="2164"/>
      <c r="BA749" s="2164"/>
      <c r="BB749" s="2164"/>
      <c r="BC749" s="2164"/>
      <c r="BD749" s="2164"/>
      <c r="BE749" s="2164"/>
      <c r="BF749" s="2164"/>
      <c r="BG749" s="7511"/>
    </row>
    <row customHeight="1" ht="11.25">
      <c r="A750" s="1507" t="s">
        <v>990</v>
      </c>
      <c r="B750" s="1507"/>
      <c r="C750" s="1507"/>
      <c r="D750" s="1501"/>
      <c r="E750" s="1511"/>
      <c r="F750" s="2171"/>
      <c r="G750" s="2171"/>
      <c r="H750" s="2171"/>
      <c r="I750" s="2171"/>
      <c r="J750" s="2171"/>
      <c r="K750" s="2171"/>
      <c r="L750" s="2171"/>
      <c r="M750" s="2171"/>
      <c r="N750" s="2171"/>
      <c r="O750" s="2171"/>
      <c r="P750" s="2171"/>
      <c r="Q750" s="2171"/>
      <c r="R750" s="2171"/>
      <c r="S750" s="2171"/>
      <c r="T750" s="2171"/>
      <c r="U750" s="2171"/>
      <c r="V750" s="2171"/>
      <c r="W750" s="2171"/>
      <c r="X750" s="2171"/>
      <c r="Y750" s="2171"/>
      <c r="Z750" s="7510" t="s">
        <v>684</v>
      </c>
      <c r="AA750" s="2155" t="s">
        <v>107</v>
      </c>
      <c r="AB750" s="1520" t="s">
        <v>1036</v>
      </c>
      <c r="AC750" s="1510">
        <v>2708.17605</v>
      </c>
      <c r="AD750" s="1520" t="str">
        <f>AB750</f>
        <v>  Прочие собственные средства</v>
      </c>
      <c r="AE750" s="1510"/>
      <c r="AF750" s="2172"/>
      <c r="AG750" s="2100"/>
      <c r="AH750" s="2100"/>
      <c r="AI750" s="2172"/>
      <c r="AJ750" s="2100"/>
      <c r="AK750" s="2328"/>
      <c r="AL750" s="2329"/>
      <c r="AM750" s="2164"/>
      <c r="AN750" s="2164"/>
      <c r="AO750" s="2164"/>
      <c r="AP750" s="2164"/>
      <c r="AQ750" s="2164"/>
      <c r="AR750" s="2164"/>
      <c r="AS750" s="2164"/>
      <c r="AT750" s="2164"/>
      <c r="AU750" s="2164"/>
      <c r="AV750" s="2164"/>
      <c r="AW750" s="2164"/>
      <c r="AX750" s="2164"/>
      <c r="AY750" s="2164"/>
      <c r="AZ750" s="2164"/>
      <c r="BA750" s="2164"/>
      <c r="BB750" s="2164"/>
      <c r="BC750" s="2164"/>
      <c r="BD750" s="2164"/>
      <c r="BE750" s="2164"/>
      <c r="BF750" s="2164"/>
      <c r="BG750" s="7511"/>
    </row>
    <row customHeight="1" ht="11.25">
      <c r="A751" s="1507" t="s">
        <v>990</v>
      </c>
      <c r="B751" s="1507"/>
      <c r="C751" s="1507"/>
      <c r="D751" s="1501"/>
      <c r="E751" s="1511"/>
      <c r="F751" s="2170"/>
      <c r="G751" s="2171"/>
      <c r="H751" s="2856" t="s">
        <v>93</v>
      </c>
      <c r="I751" s="2857"/>
      <c r="J751" s="7514"/>
      <c r="K751" s="2858"/>
      <c r="L751" s="2448"/>
      <c r="M751" s="2449"/>
      <c r="N751" s="2849"/>
      <c r="O751" s="2850"/>
      <c r="P751" s="2853"/>
      <c r="Q751" s="7512"/>
      <c r="R751" s="2854"/>
      <c r="S751" s="2855"/>
      <c r="T751" s="2854"/>
      <c r="U751" s="2854"/>
      <c r="V751" s="2854"/>
      <c r="W751" s="2854"/>
      <c r="X751" s="2854"/>
      <c r="Y751" s="2854"/>
      <c r="Z751" s="1516"/>
      <c r="AA751" s="1517"/>
      <c r="AB751" s="1582" t="s">
        <v>1037</v>
      </c>
      <c r="AC751" s="1521"/>
      <c r="AD751" s="1521"/>
      <c r="AE751" s="1523"/>
      <c r="AF751" s="2847"/>
      <c r="AG751" s="2848"/>
      <c r="AH751" s="2848"/>
      <c r="AI751" s="2847"/>
      <c r="AJ751" s="2848"/>
      <c r="AK751" s="2848"/>
      <c r="AL751" s="2329"/>
      <c r="AM751" s="2164"/>
      <c r="AN751" s="2164"/>
      <c r="AO751" s="2164"/>
      <c r="AP751" s="2164"/>
      <c r="AQ751" s="2164"/>
      <c r="AR751" s="2164"/>
      <c r="AS751" s="2164"/>
      <c r="AT751" s="2164"/>
      <c r="AU751" s="2164"/>
      <c r="AV751" s="2164"/>
      <c r="AW751" s="2164"/>
      <c r="AX751" s="2164"/>
      <c r="AY751" s="2164"/>
      <c r="AZ751" s="2164"/>
      <c r="BA751" s="2164"/>
      <c r="BB751" s="2164"/>
      <c r="BC751" s="2164"/>
      <c r="BD751" s="2164"/>
      <c r="BE751" s="2164"/>
      <c r="BF751" s="2164"/>
      <c r="BG751" s="7511"/>
    </row>
    <row customHeight="1" ht="11.25">
      <c r="A752" s="1507" t="s">
        <v>990</v>
      </c>
      <c r="B752" s="1507"/>
      <c r="C752" s="1507"/>
      <c r="D752" s="1501"/>
      <c r="E752" s="1511"/>
      <c r="F752" s="2170"/>
      <c r="G752" s="2171"/>
      <c r="H752" s="2856" t="s">
        <v>93</v>
      </c>
      <c r="I752" s="2857"/>
      <c r="J752" s="7514"/>
      <c r="K752" s="2858"/>
      <c r="L752" s="2448"/>
      <c r="M752" s="2449"/>
      <c r="N752" s="1516"/>
      <c r="O752" s="1517"/>
      <c r="P752" s="1509" t="s">
        <v>1038</v>
      </c>
      <c r="Q752" s="1517"/>
      <c r="R752" s="1517"/>
      <c r="S752" s="1517"/>
      <c r="T752" s="1517"/>
      <c r="U752" s="1517"/>
      <c r="V752" s="1517"/>
      <c r="W752" s="1517"/>
      <c r="X752" s="1517"/>
      <c r="Y752" s="1517"/>
      <c r="Z752" s="1517"/>
      <c r="AA752" s="1517"/>
      <c r="AB752" s="1517"/>
      <c r="AC752" s="1517"/>
      <c r="AD752" s="1517"/>
      <c r="AE752" s="1524"/>
      <c r="AF752" s="2847"/>
      <c r="AG752" s="2848"/>
      <c r="AH752" s="2848"/>
      <c r="AI752" s="2847"/>
      <c r="AJ752" s="2848"/>
      <c r="AK752" s="2848"/>
      <c r="AL752" s="2329"/>
      <c r="AM752" s="2164"/>
      <c r="AN752" s="2164"/>
      <c r="AO752" s="2164"/>
      <c r="AP752" s="2164"/>
      <c r="AQ752" s="2164"/>
      <c r="AR752" s="2164"/>
      <c r="AS752" s="2164"/>
      <c r="AT752" s="2164"/>
      <c r="AU752" s="2164"/>
      <c r="AV752" s="2164"/>
      <c r="AW752" s="2164"/>
      <c r="AX752" s="2164"/>
      <c r="AY752" s="2164"/>
      <c r="AZ752" s="2164"/>
      <c r="BA752" s="2164"/>
      <c r="BB752" s="2164"/>
      <c r="BC752" s="2164"/>
      <c r="BD752" s="2164"/>
      <c r="BE752" s="2164"/>
      <c r="BF752" s="2164"/>
      <c r="BG752" s="7511"/>
    </row>
    <row customHeight="1" ht="12">
      <c r="A753" s="1507" t="s">
        <v>990</v>
      </c>
      <c r="B753" s="1507"/>
      <c r="C753" s="1507"/>
      <c r="D753" s="1501"/>
      <c r="E753" s="1511"/>
      <c r="F753" s="2878"/>
      <c r="G753" s="1531"/>
      <c r="H753" s="1531"/>
      <c r="I753" s="2876" t="s">
        <v>1179</v>
      </c>
      <c r="J753" s="2876"/>
      <c r="K753" s="2876"/>
      <c r="L753" s="1514"/>
      <c r="M753" s="1514"/>
      <c r="N753" s="1515"/>
      <c r="O753" s="1515"/>
      <c r="P753" s="1515"/>
      <c r="Q753" s="1515"/>
      <c r="R753" s="1515"/>
      <c r="S753" s="1515"/>
      <c r="T753" s="1515"/>
      <c r="U753" s="1515"/>
      <c r="V753" s="1515"/>
      <c r="W753" s="1515"/>
      <c r="X753" s="1515"/>
      <c r="Y753" s="1515"/>
      <c r="Z753" s="1515"/>
      <c r="AA753" s="1515"/>
      <c r="AB753" s="1515"/>
      <c r="AC753" s="1515"/>
      <c r="AD753" s="1515"/>
      <c r="AE753" s="1515"/>
      <c r="AF753" s="1515"/>
      <c r="AG753" s="1514"/>
      <c r="AH753" s="1514"/>
      <c r="AI753" s="1515"/>
      <c r="AJ753" s="1514"/>
      <c r="AK753" s="1515"/>
      <c r="AL753" s="2329"/>
      <c r="AM753" s="2164"/>
      <c r="AN753" s="2164"/>
      <c r="AO753" s="2164"/>
      <c r="AP753" s="2164"/>
      <c r="AQ753" s="2164"/>
      <c r="AR753" s="2164"/>
      <c r="AS753" s="2164"/>
      <c r="AT753" s="2164"/>
      <c r="AU753" s="2164"/>
      <c r="AV753" s="2164"/>
      <c r="AW753" s="2164"/>
      <c r="AX753" s="2164"/>
      <c r="AY753" s="2164"/>
      <c r="AZ753" s="2164"/>
      <c r="BA753" s="2164"/>
      <c r="BB753" s="2164"/>
      <c r="BC753" s="2164"/>
      <c r="BD753" s="2164"/>
      <c r="BE753" s="2164"/>
      <c r="BF753" s="2164"/>
      <c r="BG753" s="4573"/>
    </row>
    <row customHeight="1" ht="10.5">
      <c r="E754" s="1248"/>
      <c r="F754" s="1259"/>
      <c r="G754" s="1259"/>
      <c r="H754" s="1513"/>
      <c r="I754" s="1259"/>
      <c r="J754" s="1259"/>
      <c r="K754" s="1259"/>
      <c r="L754" s="1472"/>
      <c r="M754" s="1472"/>
      <c r="N754" s="1259"/>
      <c r="O754" s="1259"/>
      <c r="P754" s="1259"/>
      <c r="Q754" s="1259"/>
      <c r="R754" s="1259"/>
      <c r="S754" s="1259"/>
      <c r="T754" s="1259"/>
      <c r="U754" s="1259"/>
      <c r="V754" s="1259"/>
      <c r="W754" s="1259"/>
      <c r="X754" s="1259"/>
      <c r="Y754" s="1259"/>
      <c r="Z754" s="1259"/>
      <c r="AA754" s="1259"/>
      <c r="AB754" s="1259"/>
      <c r="AC754" s="1259"/>
      <c r="AD754" s="1472"/>
      <c r="AE754" s="1259"/>
      <c r="AF754" s="1259"/>
      <c r="AG754" s="1259"/>
      <c r="AH754" s="1490"/>
      <c r="AI754" s="1483"/>
      <c r="AJ754" s="1259"/>
      <c r="AK754" s="1259"/>
      <c r="AL754" s="1248"/>
      <c r="AM754" s="1248"/>
      <c r="AN754" s="1248"/>
      <c r="AO754" s="1248"/>
      <c r="AP754" s="1248"/>
      <c r="AQ754" s="1248"/>
      <c r="AR754" s="1248"/>
      <c r="AS754" s="1248"/>
      <c r="AT754" s="1248"/>
      <c r="AU754" s="1248"/>
      <c r="AV754" s="1248"/>
      <c r="AW754" s="1248"/>
      <c r="AX754" s="1248"/>
      <c r="AY754" s="1248"/>
      <c r="AZ754" s="1248"/>
      <c r="BA754" s="1248"/>
      <c r="BB754" s="1248"/>
      <c r="BC754" s="1248"/>
      <c r="BD754" s="1248"/>
      <c r="BE754" s="1248"/>
      <c r="BF754" s="1248"/>
      <c r="BG754" s="1099">
        <v>10</v>
      </c>
    </row>
    <row customHeight="1" ht="13.5">
      <c r="E755" s="1248"/>
      <c r="F755" s="1255" t="s">
        <v>1192</v>
      </c>
      <c r="G755" s="1255"/>
      <c r="H755" s="1512"/>
      <c r="I755" s="1255"/>
      <c r="J755" s="1255"/>
      <c r="K755" s="1252"/>
      <c r="L755" s="1468"/>
      <c r="M755" s="1468"/>
      <c r="N755" s="1254"/>
      <c r="O755" s="1254"/>
      <c r="P755" s="1254"/>
      <c r="Q755" s="1254"/>
      <c r="R755" s="1254"/>
      <c r="S755" s="1254"/>
      <c r="T755" s="1254"/>
      <c r="U755" s="1254"/>
      <c r="V755" s="1254"/>
      <c r="W755" s="1254"/>
      <c r="X755" s="1254"/>
      <c r="Y755" s="1254"/>
      <c r="Z755" s="1252"/>
      <c r="AA755" s="1252"/>
      <c r="AB755" s="1252"/>
      <c r="AC755" s="1252"/>
      <c r="AD755" s="1468"/>
      <c r="AE755" s="1252"/>
      <c r="AF755" s="1252"/>
      <c r="AG755" s="1252"/>
      <c r="AH755" s="1487"/>
      <c r="AI755" s="1480"/>
      <c r="AJ755" s="1252"/>
      <c r="AK755" s="1252"/>
      <c r="AL755" s="1248"/>
      <c r="AM755" s="1248"/>
      <c r="AN755" s="1248"/>
      <c r="AO755" s="1248"/>
      <c r="AP755" s="1248"/>
      <c r="AQ755" s="1248"/>
      <c r="AR755" s="1248"/>
      <c r="AS755" s="1248"/>
      <c r="AT755" s="1248"/>
      <c r="AU755" s="1248"/>
      <c r="AV755" s="1248"/>
      <c r="AW755" s="1248"/>
      <c r="AX755" s="1248"/>
      <c r="AY755" s="1248"/>
      <c r="AZ755" s="1248"/>
      <c r="BA755" s="1248"/>
      <c r="BB755" s="1248"/>
      <c r="BC755" s="1248"/>
      <c r="BD755" s="1248"/>
      <c r="BE755" s="1248"/>
      <c r="BF755" s="1248"/>
      <c r="BG755" s="1099">
        <v>13</v>
      </c>
    </row>
    <row customHeight="1" ht="10.5">
      <c r="BG756" s="1099">
        <v>10</v>
      </c>
    </row>
    <row customHeight="1" ht="10.5">
      <c r="E757" s="1248"/>
      <c r="F757" s="2748"/>
      <c r="G757" s="2748"/>
      <c r="H757" s="2748"/>
      <c r="I757" s="2748"/>
      <c r="J757" s="2748"/>
      <c r="K757" s="1252"/>
      <c r="L757" s="1468"/>
      <c r="M757" s="1468"/>
      <c r="N757" s="1254"/>
      <c r="O757" s="1254"/>
      <c r="P757" s="1254"/>
      <c r="Q757" s="1254"/>
      <c r="R757" s="1254"/>
      <c r="S757" s="1254"/>
      <c r="T757" s="1254"/>
      <c r="U757" s="1254"/>
      <c r="V757" s="1254"/>
      <c r="W757" s="1254"/>
      <c r="X757" s="1254"/>
      <c r="Y757" s="1254"/>
      <c r="Z757" s="1252"/>
      <c r="AA757" s="1252"/>
      <c r="AB757" s="1252"/>
      <c r="AC757" s="1252"/>
      <c r="AD757" s="1468"/>
      <c r="AE757" s="1252"/>
      <c r="AF757" s="1252"/>
      <c r="AG757" s="1252"/>
      <c r="AH757" s="1487"/>
      <c r="AI757" s="1480"/>
      <c r="AJ757" s="1252"/>
      <c r="AK757" s="1252"/>
      <c r="AL757" s="1248"/>
      <c r="AM757" s="1248"/>
      <c r="AN757" s="1248"/>
      <c r="AO757" s="1248"/>
      <c r="AP757" s="1248"/>
      <c r="AQ757" s="1248"/>
      <c r="AR757" s="1248"/>
      <c r="AS757" s="1248"/>
      <c r="AT757" s="1248"/>
      <c r="AU757" s="1248"/>
      <c r="AV757" s="1248"/>
      <c r="AW757" s="1248"/>
      <c r="AX757" s="1248"/>
      <c r="AY757" s="1248"/>
      <c r="AZ757" s="1248"/>
      <c r="BA757" s="1248"/>
      <c r="BB757" s="1248"/>
      <c r="BC757" s="1248"/>
      <c r="BD757" s="1248"/>
      <c r="BE757" s="1248"/>
      <c r="BF757" s="1248"/>
      <c r="BG757" s="1099">
        <v>10</v>
      </c>
    </row>
    <row customHeight="1" ht="10.5">
      <c r="E758" s="1248"/>
      <c r="F758" s="2748"/>
      <c r="G758" s="2748"/>
      <c r="H758" s="2748"/>
      <c r="I758" s="2748"/>
      <c r="J758" s="2748"/>
      <c r="K758" s="1252"/>
      <c r="L758" s="1468"/>
      <c r="M758" s="1468"/>
      <c r="N758" s="1254"/>
      <c r="O758" s="1254"/>
      <c r="P758" s="1254"/>
      <c r="Q758" s="1254"/>
      <c r="R758" s="1254"/>
      <c r="S758" s="1254"/>
      <c r="T758" s="1254"/>
      <c r="U758" s="1254"/>
      <c r="V758" s="1254"/>
      <c r="W758" s="1254"/>
      <c r="X758" s="1254"/>
      <c r="Y758" s="1254"/>
      <c r="Z758" s="1252"/>
      <c r="AA758" s="1252"/>
      <c r="AB758" s="1252"/>
      <c r="AC758" s="1252"/>
      <c r="AD758" s="1468"/>
      <c r="AE758" s="1252"/>
      <c r="AF758" s="1252"/>
      <c r="AG758" s="1252"/>
      <c r="AH758" s="1487"/>
      <c r="AI758" s="1480"/>
      <c r="AJ758" s="1252"/>
      <c r="AK758" s="1252"/>
      <c r="AL758" s="1248"/>
      <c r="AM758" s="1248"/>
      <c r="AN758" s="1248"/>
      <c r="AO758" s="1248"/>
      <c r="AP758" s="1248"/>
      <c r="AQ758" s="1248"/>
      <c r="AR758" s="1248"/>
      <c r="AS758" s="1248"/>
      <c r="AT758" s="1248"/>
      <c r="AU758" s="1248"/>
      <c r="AV758" s="1248"/>
      <c r="AW758" s="1248"/>
      <c r="AX758" s="1248"/>
      <c r="AY758" s="1248"/>
      <c r="AZ758" s="1248"/>
      <c r="BA758" s="1248"/>
      <c r="BB758" s="1248"/>
      <c r="BC758" s="1248"/>
      <c r="BD758" s="1248"/>
      <c r="BE758" s="1248"/>
      <c r="BF758" s="1248"/>
      <c r="BG758" s="1099">
        <v>10</v>
      </c>
    </row>
    <row customHeight="1" ht="10.5">
      <c r="E759" s="1248"/>
      <c r="F759" s="2748"/>
      <c r="G759" s="2748"/>
      <c r="H759" s="2748"/>
      <c r="I759" s="2748"/>
      <c r="J759" s="2748"/>
      <c r="K759" s="1252"/>
      <c r="L759" s="1468"/>
      <c r="M759" s="1468"/>
      <c r="N759" s="1254"/>
      <c r="O759" s="1254"/>
      <c r="P759" s="1254"/>
      <c r="Q759" s="1254"/>
      <c r="R759" s="1254"/>
      <c r="S759" s="1254"/>
      <c r="T759" s="1254"/>
      <c r="U759" s="1254"/>
      <c r="V759" s="1254"/>
      <c r="W759" s="1254"/>
      <c r="X759" s="1254"/>
      <c r="Y759" s="1254"/>
      <c r="Z759" s="1252"/>
      <c r="AA759" s="1252"/>
      <c r="AB759" s="1252"/>
      <c r="AC759" s="1252"/>
      <c r="AD759" s="1468"/>
      <c r="AE759" s="1252"/>
      <c r="AF759" s="1252"/>
      <c r="AG759" s="1252"/>
      <c r="AH759" s="1487"/>
      <c r="AI759" s="1480"/>
      <c r="AJ759" s="1252"/>
      <c r="AK759" s="1252"/>
      <c r="AL759" s="1248"/>
      <c r="AM759" s="1248"/>
      <c r="AN759" s="1248"/>
      <c r="AO759" s="1248"/>
      <c r="AP759" s="1248"/>
      <c r="AQ759" s="1248"/>
      <c r="AR759" s="1248"/>
      <c r="AS759" s="1248"/>
      <c r="AT759" s="1248"/>
      <c r="AU759" s="1248"/>
      <c r="AV759" s="1248"/>
      <c r="AW759" s="1248"/>
      <c r="AX759" s="1248"/>
      <c r="AY759" s="1248"/>
      <c r="AZ759" s="1248"/>
      <c r="BA759" s="1248"/>
      <c r="BB759" s="1248"/>
      <c r="BC759" s="1248"/>
      <c r="BD759" s="1248"/>
      <c r="BE759" s="1248"/>
      <c r="BF759" s="1248"/>
      <c r="BG759" s="1099">
        <v>10</v>
      </c>
    </row>
    <row customHeight="1" ht="10.5" hidden="1">
      <c r="A760" s="1236" t="s">
        <v>82</v>
      </c>
      <c r="B760" s="1236">
        <v>0</v>
      </c>
      <c r="C760" s="1236">
        <v>0</v>
      </c>
      <c r="D760" s="758">
        <v>0</v>
      </c>
      <c r="E760" s="850">
        <v>3</v>
      </c>
      <c r="F760" s="1099">
        <v>14</v>
      </c>
      <c r="G760" s="1099">
        <v>3</v>
      </c>
      <c r="H760" s="1496">
        <v>7</v>
      </c>
      <c r="I760" s="1099">
        <v>16</v>
      </c>
      <c r="J760" s="1099">
        <v>16</v>
      </c>
      <c r="K760" s="1099">
        <v>25</v>
      </c>
      <c r="L760" s="1466">
        <v>7</v>
      </c>
      <c r="M760" s="1466">
        <v>15</v>
      </c>
      <c r="N760" s="1099">
        <v>3</v>
      </c>
      <c r="O760" s="1099">
        <v>4</v>
      </c>
      <c r="P760" s="1099">
        <v>8</v>
      </c>
      <c r="Q760" s="1099">
        <v>21</v>
      </c>
      <c r="R760" s="1099">
        <v>14</v>
      </c>
      <c r="S760" s="1099">
        <v>17</v>
      </c>
      <c r="T760" s="1099">
        <v>17</v>
      </c>
      <c r="U760" s="1099">
        <v>9</v>
      </c>
      <c r="V760" s="1099">
        <v>12</v>
      </c>
      <c r="W760" s="1099">
        <v>9</v>
      </c>
      <c r="X760" s="1099">
        <v>21</v>
      </c>
      <c r="Y760" s="1099">
        <v>12</v>
      </c>
      <c r="Z760" s="1099">
        <v>3</v>
      </c>
      <c r="AA760" s="1099">
        <v>6</v>
      </c>
      <c r="AB760" s="1099">
        <v>38</v>
      </c>
      <c r="AC760" s="1099">
        <v>15</v>
      </c>
      <c r="AD760" s="1466">
        <v>0</v>
      </c>
      <c r="AE760" s="1099">
        <v>0</v>
      </c>
      <c r="AF760" s="1099">
        <v>16</v>
      </c>
      <c r="AG760" s="1099">
        <v>16</v>
      </c>
      <c r="AH760" s="1485">
        <v>16</v>
      </c>
      <c r="AI760" s="1478">
        <v>0</v>
      </c>
      <c r="AJ760" s="1099">
        <v>0</v>
      </c>
      <c r="AK760" s="1099">
        <v>0</v>
      </c>
      <c r="AL760" s="1099">
        <v>8</v>
      </c>
      <c r="AM760" s="1099">
        <v>8</v>
      </c>
      <c r="AN760" s="1099">
        <v>8</v>
      </c>
      <c r="AO760" s="1099">
        <v>8</v>
      </c>
      <c r="AP760" s="1099">
        <v>8</v>
      </c>
      <c r="AQ760" s="1099">
        <v>8</v>
      </c>
      <c r="AR760" s="1099">
        <v>8</v>
      </c>
      <c r="AS760" s="1099">
        <v>8</v>
      </c>
      <c r="AT760" s="1099">
        <v>8</v>
      </c>
      <c r="AU760" s="1099">
        <v>8</v>
      </c>
      <c r="AV760" s="1099">
        <v>8</v>
      </c>
      <c r="AW760" s="1099">
        <v>8</v>
      </c>
      <c r="AX760" s="1099">
        <v>8</v>
      </c>
      <c r="AY760" s="1099">
        <v>8</v>
      </c>
      <c r="AZ760" s="1099">
        <v>8</v>
      </c>
      <c r="BA760" s="1099">
        <v>8</v>
      </c>
      <c r="BB760" s="1099">
        <v>8</v>
      </c>
      <c r="BC760" s="1099">
        <v>8</v>
      </c>
      <c r="BD760" s="1099">
        <v>8</v>
      </c>
      <c r="BE760" s="1099">
        <v>8</v>
      </c>
      <c r="BF760" s="1099">
        <v>8</v>
      </c>
      <c r="BG760" s="1099">
        <v>10</v>
      </c>
    </row>
  </sheetData>
  <sheetProtection sheet="1" formatColumns="0" formatRows="0" autoFilter="0" sort="1" insertRows="1" insertColumns="1" deleteRows="1" deleteColumns="1"/>
  <mergeCells count="3140">
    <mergeCell ref="AB9:AE10"/>
    <mergeCell ref="S11:Y11"/>
    <mergeCell ref="N10:Y10"/>
    <mergeCell ref="K9:Y9"/>
    <mergeCell ref="N11:O12"/>
    <mergeCell ref="P11:P12"/>
    <mergeCell ref="Q11:Q12"/>
    <mergeCell ref="F759:J75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758:J758"/>
    <mergeCell ref="F757:J757"/>
    <mergeCell ref="F5:K5"/>
    <mergeCell ref="P16:P18"/>
    <mergeCell ref="Q16:Q18"/>
    <mergeCell ref="R16:R18"/>
    <mergeCell ref="G15:G19"/>
    <mergeCell ref="AJ15:AJ19"/>
    <mergeCell ref="AK15:AK19"/>
    <mergeCell ref="I280:K280"/>
    <mergeCell ref="F15:F28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82:P284"/>
    <mergeCell ref="Q282:Q284"/>
    <mergeCell ref="R282:R284"/>
    <mergeCell ref="G281:G285"/>
    <mergeCell ref="AJ281:AJ285"/>
    <mergeCell ref="AK281:AK285"/>
    <mergeCell ref="I459:K459"/>
    <mergeCell ref="F281:F459"/>
    <mergeCell ref="AF281:AF285"/>
    <mergeCell ref="AG281:AG285"/>
    <mergeCell ref="AH281:AH285"/>
    <mergeCell ref="AI281:AI285"/>
    <mergeCell ref="S282:S284"/>
    <mergeCell ref="T282:T284"/>
    <mergeCell ref="U282:U284"/>
    <mergeCell ref="V282:V284"/>
    <mergeCell ref="W282:W284"/>
    <mergeCell ref="X282:X284"/>
    <mergeCell ref="Y282:Y284"/>
    <mergeCell ref="H281:H285"/>
    <mergeCell ref="I281:I285"/>
    <mergeCell ref="J281:J285"/>
    <mergeCell ref="K281:K285"/>
    <mergeCell ref="L281:L285"/>
    <mergeCell ref="M281:M285"/>
    <mergeCell ref="N282:N284"/>
    <mergeCell ref="O282:O284"/>
    <mergeCell ref="P461:P463"/>
    <mergeCell ref="Q461:Q463"/>
    <mergeCell ref="R461:R463"/>
    <mergeCell ref="G460:G464"/>
    <mergeCell ref="AJ460:AJ464"/>
    <mergeCell ref="AK460:AK464"/>
    <mergeCell ref="I568:K568"/>
    <mergeCell ref="F460:F568"/>
    <mergeCell ref="AF460:AF464"/>
    <mergeCell ref="AG460:AG464"/>
    <mergeCell ref="AH460:AH464"/>
    <mergeCell ref="AI460:AI464"/>
    <mergeCell ref="S461:S463"/>
    <mergeCell ref="T461:T463"/>
    <mergeCell ref="U461:U463"/>
    <mergeCell ref="V461:V463"/>
    <mergeCell ref="W461:W463"/>
    <mergeCell ref="X461:X463"/>
    <mergeCell ref="Y461:Y463"/>
    <mergeCell ref="H460:H464"/>
    <mergeCell ref="I460:I464"/>
    <mergeCell ref="J460:J464"/>
    <mergeCell ref="K460:K464"/>
    <mergeCell ref="L460:L464"/>
    <mergeCell ref="M460:M464"/>
    <mergeCell ref="N461:N463"/>
    <mergeCell ref="O461:O463"/>
    <mergeCell ref="P570:P572"/>
    <mergeCell ref="Q570:Q572"/>
    <mergeCell ref="R570:R572"/>
    <mergeCell ref="G569:G573"/>
    <mergeCell ref="AJ569:AJ573"/>
    <mergeCell ref="AK569:AK573"/>
    <mergeCell ref="I658:K658"/>
    <mergeCell ref="F569:F658"/>
    <mergeCell ref="AF569:AF573"/>
    <mergeCell ref="AG569:AG573"/>
    <mergeCell ref="AH569:AH573"/>
    <mergeCell ref="AI569:AI573"/>
    <mergeCell ref="S570:S572"/>
    <mergeCell ref="T570:T572"/>
    <mergeCell ref="U570:U572"/>
    <mergeCell ref="V570:V572"/>
    <mergeCell ref="W570:W572"/>
    <mergeCell ref="X570:X572"/>
    <mergeCell ref="Y570:Y572"/>
    <mergeCell ref="H569:H573"/>
    <mergeCell ref="I569:I573"/>
    <mergeCell ref="J569:J573"/>
    <mergeCell ref="K569:K573"/>
    <mergeCell ref="L569:L573"/>
    <mergeCell ref="M569:M573"/>
    <mergeCell ref="N570:N572"/>
    <mergeCell ref="O570:O572"/>
    <mergeCell ref="P660:P662"/>
    <mergeCell ref="Q660:Q662"/>
    <mergeCell ref="R660:R662"/>
    <mergeCell ref="G659:G663"/>
    <mergeCell ref="AJ659:AJ663"/>
    <mergeCell ref="AK659:AK663"/>
    <mergeCell ref="I700:K700"/>
    <mergeCell ref="F659:F700"/>
    <mergeCell ref="AF659:AF663"/>
    <mergeCell ref="AG659:AG663"/>
    <mergeCell ref="AH659:AH663"/>
    <mergeCell ref="AI659:AI663"/>
    <mergeCell ref="S660:S662"/>
    <mergeCell ref="T660:T662"/>
    <mergeCell ref="U660:U662"/>
    <mergeCell ref="V660:V662"/>
    <mergeCell ref="W660:W662"/>
    <mergeCell ref="X660:X662"/>
    <mergeCell ref="Y660:Y662"/>
    <mergeCell ref="H659:H663"/>
    <mergeCell ref="I659:I663"/>
    <mergeCell ref="J659:J663"/>
    <mergeCell ref="K659:K663"/>
    <mergeCell ref="L659:L663"/>
    <mergeCell ref="M659:M663"/>
    <mergeCell ref="N660:N662"/>
    <mergeCell ref="O660:O662"/>
    <mergeCell ref="P702:P704"/>
    <mergeCell ref="Q702:Q704"/>
    <mergeCell ref="R702:R704"/>
    <mergeCell ref="G701:G705"/>
    <mergeCell ref="AJ701:AJ705"/>
    <mergeCell ref="AK701:AK705"/>
    <mergeCell ref="I753:K753"/>
    <mergeCell ref="F701:F753"/>
    <mergeCell ref="AF701:AF705"/>
    <mergeCell ref="AG701:AG705"/>
    <mergeCell ref="AH701:AH705"/>
    <mergeCell ref="AI701:AI705"/>
    <mergeCell ref="S702:S704"/>
    <mergeCell ref="T702:T704"/>
    <mergeCell ref="U702:U704"/>
    <mergeCell ref="V702:V704"/>
    <mergeCell ref="W702:W704"/>
    <mergeCell ref="X702:X704"/>
    <mergeCell ref="Y702:Y704"/>
    <mergeCell ref="H701:H705"/>
    <mergeCell ref="I701:I705"/>
    <mergeCell ref="J701:J705"/>
    <mergeCell ref="K701:K705"/>
    <mergeCell ref="L701:L705"/>
    <mergeCell ref="M701:M705"/>
    <mergeCell ref="N702:N704"/>
    <mergeCell ref="O702:O704"/>
    <mergeCell ref="H20:H25"/>
    <mergeCell ref="I20:I25"/>
    <mergeCell ref="J20:J25"/>
    <mergeCell ref="K20:K25"/>
    <mergeCell ref="L20:L25"/>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G20:G25"/>
    <mergeCell ref="H286:H291"/>
    <mergeCell ref="I286:I291"/>
    <mergeCell ref="J286:J291"/>
    <mergeCell ref="K286:K291"/>
    <mergeCell ref="L286:L291"/>
    <mergeCell ref="M286:M291"/>
    <mergeCell ref="AF286:AF291"/>
    <mergeCell ref="AG286:AG291"/>
    <mergeCell ref="AH286:AH291"/>
    <mergeCell ref="AI286:AI291"/>
    <mergeCell ref="AJ286:AJ291"/>
    <mergeCell ref="AK286:AK291"/>
    <mergeCell ref="N287:N290"/>
    <mergeCell ref="O287:O290"/>
    <mergeCell ref="P287:P290"/>
    <mergeCell ref="Q287:Q290"/>
    <mergeCell ref="R287:R290"/>
    <mergeCell ref="S287:S290"/>
    <mergeCell ref="T287:T290"/>
    <mergeCell ref="U287:U290"/>
    <mergeCell ref="V287:V290"/>
    <mergeCell ref="W287:W290"/>
    <mergeCell ref="X287:X290"/>
    <mergeCell ref="Y287:Y290"/>
    <mergeCell ref="G286:G291"/>
    <mergeCell ref="H465:H470"/>
    <mergeCell ref="I465:I470"/>
    <mergeCell ref="J465:J470"/>
    <mergeCell ref="K465:K470"/>
    <mergeCell ref="L465:L470"/>
    <mergeCell ref="M465:M470"/>
    <mergeCell ref="AF465:AF470"/>
    <mergeCell ref="AG465:AG470"/>
    <mergeCell ref="AH465:AH470"/>
    <mergeCell ref="AI465:AI470"/>
    <mergeCell ref="AJ465:AJ470"/>
    <mergeCell ref="AK465:AK470"/>
    <mergeCell ref="N466:N469"/>
    <mergeCell ref="O466:O469"/>
    <mergeCell ref="P466:P469"/>
    <mergeCell ref="Q466:Q469"/>
    <mergeCell ref="R466:R469"/>
    <mergeCell ref="S466:S469"/>
    <mergeCell ref="T466:T469"/>
    <mergeCell ref="U466:U469"/>
    <mergeCell ref="V466:V469"/>
    <mergeCell ref="W466:W469"/>
    <mergeCell ref="X466:X469"/>
    <mergeCell ref="Y466:Y469"/>
    <mergeCell ref="G465:G470"/>
    <mergeCell ref="H574:H579"/>
    <mergeCell ref="I574:I579"/>
    <mergeCell ref="J574:J579"/>
    <mergeCell ref="K574:K579"/>
    <mergeCell ref="L574:L579"/>
    <mergeCell ref="M574:M579"/>
    <mergeCell ref="AF574:AF579"/>
    <mergeCell ref="AG574:AG579"/>
    <mergeCell ref="AH574:AH579"/>
    <mergeCell ref="AI574:AI579"/>
    <mergeCell ref="AJ574:AJ579"/>
    <mergeCell ref="AK574:AK579"/>
    <mergeCell ref="N575:N578"/>
    <mergeCell ref="O575:O578"/>
    <mergeCell ref="P575:P578"/>
    <mergeCell ref="Q575:Q578"/>
    <mergeCell ref="R575:R578"/>
    <mergeCell ref="S575:S578"/>
    <mergeCell ref="T575:T578"/>
    <mergeCell ref="U575:U578"/>
    <mergeCell ref="V575:V578"/>
    <mergeCell ref="W575:W578"/>
    <mergeCell ref="X575:X578"/>
    <mergeCell ref="Y575:Y578"/>
    <mergeCell ref="G574:G579"/>
    <mergeCell ref="H26:H31"/>
    <mergeCell ref="I26:I31"/>
    <mergeCell ref="J26:J31"/>
    <mergeCell ref="K26:K31"/>
    <mergeCell ref="L26:L31"/>
    <mergeCell ref="M26:M31"/>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G26:G31"/>
    <mergeCell ref="H292:H297"/>
    <mergeCell ref="I292:I297"/>
    <mergeCell ref="J292:J297"/>
    <mergeCell ref="K292:K297"/>
    <mergeCell ref="L292:L297"/>
    <mergeCell ref="M292:M297"/>
    <mergeCell ref="AF292:AF297"/>
    <mergeCell ref="AG292:AG297"/>
    <mergeCell ref="AH292:AH297"/>
    <mergeCell ref="AI292:AI297"/>
    <mergeCell ref="AJ292:AJ297"/>
    <mergeCell ref="AK292:AK297"/>
    <mergeCell ref="N293:N296"/>
    <mergeCell ref="O293:O296"/>
    <mergeCell ref="P293:P296"/>
    <mergeCell ref="Q293:Q296"/>
    <mergeCell ref="R293:R296"/>
    <mergeCell ref="S293:S296"/>
    <mergeCell ref="T293:T296"/>
    <mergeCell ref="U293:U296"/>
    <mergeCell ref="V293:V296"/>
    <mergeCell ref="W293:W296"/>
    <mergeCell ref="X293:X296"/>
    <mergeCell ref="Y293:Y296"/>
    <mergeCell ref="G292:G297"/>
    <mergeCell ref="H471:H476"/>
    <mergeCell ref="I471:I476"/>
    <mergeCell ref="J471:J476"/>
    <mergeCell ref="K471:K476"/>
    <mergeCell ref="L471:L476"/>
    <mergeCell ref="M471:M476"/>
    <mergeCell ref="AF471:AF476"/>
    <mergeCell ref="AG471:AG476"/>
    <mergeCell ref="AH471:AH476"/>
    <mergeCell ref="AI471:AI476"/>
    <mergeCell ref="AJ471:AJ476"/>
    <mergeCell ref="AK471:AK476"/>
    <mergeCell ref="N472:N475"/>
    <mergeCell ref="O472:O475"/>
    <mergeCell ref="P472:P475"/>
    <mergeCell ref="Q472:Q475"/>
    <mergeCell ref="R472:R475"/>
    <mergeCell ref="S472:S475"/>
    <mergeCell ref="T472:T475"/>
    <mergeCell ref="U472:U475"/>
    <mergeCell ref="V472:V475"/>
    <mergeCell ref="W472:W475"/>
    <mergeCell ref="X472:X475"/>
    <mergeCell ref="Y472:Y475"/>
    <mergeCell ref="G471:G476"/>
    <mergeCell ref="H580:H585"/>
    <mergeCell ref="I580:I585"/>
    <mergeCell ref="J580:J585"/>
    <mergeCell ref="K580:K585"/>
    <mergeCell ref="L580:L585"/>
    <mergeCell ref="M580:M585"/>
    <mergeCell ref="AF580:AF585"/>
    <mergeCell ref="AG580:AG585"/>
    <mergeCell ref="AH580:AH585"/>
    <mergeCell ref="AI580:AI585"/>
    <mergeCell ref="AJ580:AJ585"/>
    <mergeCell ref="AK580:AK585"/>
    <mergeCell ref="N581:N584"/>
    <mergeCell ref="O581:O584"/>
    <mergeCell ref="P581:P584"/>
    <mergeCell ref="Q581:Q584"/>
    <mergeCell ref="R581:R584"/>
    <mergeCell ref="S581:S584"/>
    <mergeCell ref="T581:T584"/>
    <mergeCell ref="U581:U584"/>
    <mergeCell ref="V581:V584"/>
    <mergeCell ref="W581:W584"/>
    <mergeCell ref="X581:X584"/>
    <mergeCell ref="Y581:Y584"/>
    <mergeCell ref="G580:G585"/>
    <mergeCell ref="H32:H37"/>
    <mergeCell ref="I32:I37"/>
    <mergeCell ref="J32:J37"/>
    <mergeCell ref="K32:K37"/>
    <mergeCell ref="L32:L37"/>
    <mergeCell ref="M32:M37"/>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G32:G37"/>
    <mergeCell ref="H298:H303"/>
    <mergeCell ref="I298:I303"/>
    <mergeCell ref="J298:J303"/>
    <mergeCell ref="K298:K303"/>
    <mergeCell ref="L298:L303"/>
    <mergeCell ref="M298:M303"/>
    <mergeCell ref="AF298:AF303"/>
    <mergeCell ref="AG298:AG303"/>
    <mergeCell ref="AH298:AH303"/>
    <mergeCell ref="AI298:AI303"/>
    <mergeCell ref="AJ298:AJ303"/>
    <mergeCell ref="AK298:AK303"/>
    <mergeCell ref="N299:N302"/>
    <mergeCell ref="O299:O302"/>
    <mergeCell ref="P299:P302"/>
    <mergeCell ref="Q299:Q302"/>
    <mergeCell ref="R299:R302"/>
    <mergeCell ref="S299:S302"/>
    <mergeCell ref="T299:T302"/>
    <mergeCell ref="U299:U302"/>
    <mergeCell ref="V299:V302"/>
    <mergeCell ref="W299:W302"/>
    <mergeCell ref="X299:X302"/>
    <mergeCell ref="Y299:Y302"/>
    <mergeCell ref="G298:G303"/>
    <mergeCell ref="H477:H482"/>
    <mergeCell ref="I477:I482"/>
    <mergeCell ref="J477:J482"/>
    <mergeCell ref="K477:K482"/>
    <mergeCell ref="L477:L482"/>
    <mergeCell ref="M477:M482"/>
    <mergeCell ref="AF477:AF482"/>
    <mergeCell ref="AG477:AG482"/>
    <mergeCell ref="AH477:AH482"/>
    <mergeCell ref="AI477:AI482"/>
    <mergeCell ref="AJ477:AJ482"/>
    <mergeCell ref="AK477:AK482"/>
    <mergeCell ref="N478:N481"/>
    <mergeCell ref="O478:O481"/>
    <mergeCell ref="P478:P481"/>
    <mergeCell ref="Q478:Q481"/>
    <mergeCell ref="R478:R481"/>
    <mergeCell ref="S478:S481"/>
    <mergeCell ref="T478:T481"/>
    <mergeCell ref="U478:U481"/>
    <mergeCell ref="V478:V481"/>
    <mergeCell ref="W478:W481"/>
    <mergeCell ref="X478:X481"/>
    <mergeCell ref="Y478:Y481"/>
    <mergeCell ref="G477:G482"/>
    <mergeCell ref="H38:H43"/>
    <mergeCell ref="I38:I43"/>
    <mergeCell ref="J38:J43"/>
    <mergeCell ref="K38:K43"/>
    <mergeCell ref="L38:L43"/>
    <mergeCell ref="M38:M43"/>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38:G43"/>
    <mergeCell ref="H304:H309"/>
    <mergeCell ref="I304:I309"/>
    <mergeCell ref="J304:J309"/>
    <mergeCell ref="K304:K309"/>
    <mergeCell ref="L304:L309"/>
    <mergeCell ref="M304:M309"/>
    <mergeCell ref="AF304:AF309"/>
    <mergeCell ref="AG304:AG309"/>
    <mergeCell ref="AH304:AH309"/>
    <mergeCell ref="AI304:AI309"/>
    <mergeCell ref="AJ304:AJ309"/>
    <mergeCell ref="AK304:AK309"/>
    <mergeCell ref="N305:N308"/>
    <mergeCell ref="O305:O308"/>
    <mergeCell ref="P305:P308"/>
    <mergeCell ref="Q305:Q308"/>
    <mergeCell ref="R305:R308"/>
    <mergeCell ref="S305:S308"/>
    <mergeCell ref="T305:T308"/>
    <mergeCell ref="U305:U308"/>
    <mergeCell ref="V305:V308"/>
    <mergeCell ref="W305:W308"/>
    <mergeCell ref="X305:X308"/>
    <mergeCell ref="Y305:Y308"/>
    <mergeCell ref="G304:G309"/>
    <mergeCell ref="H44:H49"/>
    <mergeCell ref="I44:I49"/>
    <mergeCell ref="J44:J49"/>
    <mergeCell ref="K44:K49"/>
    <mergeCell ref="L44:L49"/>
    <mergeCell ref="M44:M49"/>
    <mergeCell ref="AF44:AF49"/>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44:G49"/>
    <mergeCell ref="H310:H315"/>
    <mergeCell ref="I310:I315"/>
    <mergeCell ref="J310:J315"/>
    <mergeCell ref="K310:K315"/>
    <mergeCell ref="L310:L315"/>
    <mergeCell ref="M310:M315"/>
    <mergeCell ref="AF310:AF315"/>
    <mergeCell ref="AG310:AG315"/>
    <mergeCell ref="AH310:AH315"/>
    <mergeCell ref="AI310:AI315"/>
    <mergeCell ref="AJ310:AJ315"/>
    <mergeCell ref="AK310:AK315"/>
    <mergeCell ref="N311:N314"/>
    <mergeCell ref="O311:O314"/>
    <mergeCell ref="P311:P314"/>
    <mergeCell ref="Q311:Q314"/>
    <mergeCell ref="R311:R314"/>
    <mergeCell ref="S311:S314"/>
    <mergeCell ref="T311:T314"/>
    <mergeCell ref="U311:U314"/>
    <mergeCell ref="V311:V314"/>
    <mergeCell ref="W311:W314"/>
    <mergeCell ref="X311:X314"/>
    <mergeCell ref="Y311:Y314"/>
    <mergeCell ref="G310:G315"/>
    <mergeCell ref="H50:H55"/>
    <mergeCell ref="I50:I55"/>
    <mergeCell ref="J50:J55"/>
    <mergeCell ref="K50:K55"/>
    <mergeCell ref="L50:L55"/>
    <mergeCell ref="M50:M55"/>
    <mergeCell ref="AF50:AF55"/>
    <mergeCell ref="AG50:AG55"/>
    <mergeCell ref="AH50:AH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G50:G55"/>
    <mergeCell ref="H316:H321"/>
    <mergeCell ref="I316:I321"/>
    <mergeCell ref="J316:J321"/>
    <mergeCell ref="K316:K321"/>
    <mergeCell ref="L316:L321"/>
    <mergeCell ref="M316:M321"/>
    <mergeCell ref="AF316:AF321"/>
    <mergeCell ref="AG316:AG321"/>
    <mergeCell ref="AH316:AH321"/>
    <mergeCell ref="AI316:AI321"/>
    <mergeCell ref="AJ316:AJ321"/>
    <mergeCell ref="AK316:AK321"/>
    <mergeCell ref="N317:N320"/>
    <mergeCell ref="O317:O320"/>
    <mergeCell ref="P317:P320"/>
    <mergeCell ref="Q317:Q320"/>
    <mergeCell ref="R317:R320"/>
    <mergeCell ref="S317:S320"/>
    <mergeCell ref="T317:T320"/>
    <mergeCell ref="U317:U320"/>
    <mergeCell ref="V317:V320"/>
    <mergeCell ref="W317:W320"/>
    <mergeCell ref="X317:X320"/>
    <mergeCell ref="Y317:Y320"/>
    <mergeCell ref="G316:G321"/>
    <mergeCell ref="H56:H60"/>
    <mergeCell ref="I56:I60"/>
    <mergeCell ref="J56:J60"/>
    <mergeCell ref="K56:K60"/>
    <mergeCell ref="L56:L60"/>
    <mergeCell ref="M56:M60"/>
    <mergeCell ref="AF56:AF60"/>
    <mergeCell ref="AG56:AG60"/>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61:H66"/>
    <mergeCell ref="I61:I66"/>
    <mergeCell ref="J61:J66"/>
    <mergeCell ref="K61:K66"/>
    <mergeCell ref="L61:L66"/>
    <mergeCell ref="M61:M66"/>
    <mergeCell ref="AF61:AF66"/>
    <mergeCell ref="AG61:AG66"/>
    <mergeCell ref="AH61:AH66"/>
    <mergeCell ref="AI61:AI66"/>
    <mergeCell ref="AJ61:AJ66"/>
    <mergeCell ref="AK61:AK66"/>
    <mergeCell ref="N62:N65"/>
    <mergeCell ref="O62:O65"/>
    <mergeCell ref="P62:P65"/>
    <mergeCell ref="Q62:Q65"/>
    <mergeCell ref="R62:R65"/>
    <mergeCell ref="S62:S65"/>
    <mergeCell ref="T62:T65"/>
    <mergeCell ref="U62:U65"/>
    <mergeCell ref="V62:V65"/>
    <mergeCell ref="W62:W65"/>
    <mergeCell ref="X62:X65"/>
    <mergeCell ref="Y62:Y65"/>
    <mergeCell ref="G61:G66"/>
    <mergeCell ref="H586:H591"/>
    <mergeCell ref="I586:I591"/>
    <mergeCell ref="J586:J591"/>
    <mergeCell ref="K586:K591"/>
    <mergeCell ref="L586:L591"/>
    <mergeCell ref="M586:M591"/>
    <mergeCell ref="AF586:AF591"/>
    <mergeCell ref="AG586:AG591"/>
    <mergeCell ref="AH586:AH591"/>
    <mergeCell ref="AI586:AI591"/>
    <mergeCell ref="AJ586:AJ591"/>
    <mergeCell ref="AK586:AK591"/>
    <mergeCell ref="N587:N590"/>
    <mergeCell ref="O587:O590"/>
    <mergeCell ref="P587:P590"/>
    <mergeCell ref="Q587:Q590"/>
    <mergeCell ref="R587:R590"/>
    <mergeCell ref="S587:S590"/>
    <mergeCell ref="T587:T590"/>
    <mergeCell ref="U587:U590"/>
    <mergeCell ref="V587:V590"/>
    <mergeCell ref="W587:W590"/>
    <mergeCell ref="X587:X590"/>
    <mergeCell ref="Y587:Y590"/>
    <mergeCell ref="G586:G591"/>
    <mergeCell ref="H322:H327"/>
    <mergeCell ref="I322:I327"/>
    <mergeCell ref="J322:J327"/>
    <mergeCell ref="K322:K327"/>
    <mergeCell ref="L322:L327"/>
    <mergeCell ref="M322:M327"/>
    <mergeCell ref="AF322:AF327"/>
    <mergeCell ref="AG322:AG327"/>
    <mergeCell ref="AH322:AH327"/>
    <mergeCell ref="AI322:AI327"/>
    <mergeCell ref="AJ322:AJ327"/>
    <mergeCell ref="AK322:AK327"/>
    <mergeCell ref="N323:N326"/>
    <mergeCell ref="O323:O326"/>
    <mergeCell ref="P323:P326"/>
    <mergeCell ref="Q323:Q326"/>
    <mergeCell ref="R323:R326"/>
    <mergeCell ref="S323:S326"/>
    <mergeCell ref="T323:T326"/>
    <mergeCell ref="U323:U326"/>
    <mergeCell ref="V323:V326"/>
    <mergeCell ref="W323:W326"/>
    <mergeCell ref="X323:X326"/>
    <mergeCell ref="Y323:Y326"/>
    <mergeCell ref="G322:G327"/>
    <mergeCell ref="H328:H333"/>
    <mergeCell ref="I328:I333"/>
    <mergeCell ref="J328:J333"/>
    <mergeCell ref="K328:K333"/>
    <mergeCell ref="L328:L333"/>
    <mergeCell ref="M328:M333"/>
    <mergeCell ref="AF328:AF333"/>
    <mergeCell ref="AG328:AG333"/>
    <mergeCell ref="AH328:AH333"/>
    <mergeCell ref="AI328:AI333"/>
    <mergeCell ref="AJ328:AJ333"/>
    <mergeCell ref="AK328:AK333"/>
    <mergeCell ref="N329:N332"/>
    <mergeCell ref="O329:O332"/>
    <mergeCell ref="P329:P332"/>
    <mergeCell ref="Q329:Q332"/>
    <mergeCell ref="R329:R332"/>
    <mergeCell ref="S329:S332"/>
    <mergeCell ref="T329:T332"/>
    <mergeCell ref="U329:U332"/>
    <mergeCell ref="V329:V332"/>
    <mergeCell ref="W329:W332"/>
    <mergeCell ref="X329:X332"/>
    <mergeCell ref="Y329:Y332"/>
    <mergeCell ref="G328:G333"/>
    <mergeCell ref="H483:H488"/>
    <mergeCell ref="I483:I488"/>
    <mergeCell ref="J483:J488"/>
    <mergeCell ref="K483:K488"/>
    <mergeCell ref="L483:L488"/>
    <mergeCell ref="M483:M488"/>
    <mergeCell ref="AF483:AF488"/>
    <mergeCell ref="AG483:AG488"/>
    <mergeCell ref="AH483:AH488"/>
    <mergeCell ref="AI483:AI488"/>
    <mergeCell ref="AJ483:AJ488"/>
    <mergeCell ref="AK483:AK488"/>
    <mergeCell ref="N484:N487"/>
    <mergeCell ref="O484:O487"/>
    <mergeCell ref="P484:P487"/>
    <mergeCell ref="Q484:Q487"/>
    <mergeCell ref="R484:R487"/>
    <mergeCell ref="S484:S487"/>
    <mergeCell ref="T484:T487"/>
    <mergeCell ref="U484:U487"/>
    <mergeCell ref="V484:V487"/>
    <mergeCell ref="W484:W487"/>
    <mergeCell ref="X484:X487"/>
    <mergeCell ref="Y484:Y487"/>
    <mergeCell ref="G483:G488"/>
    <mergeCell ref="H592:H597"/>
    <mergeCell ref="I592:I597"/>
    <mergeCell ref="J592:J597"/>
    <mergeCell ref="K592:K597"/>
    <mergeCell ref="L592:L597"/>
    <mergeCell ref="M592:M597"/>
    <mergeCell ref="AF592:AF597"/>
    <mergeCell ref="AG592:AG597"/>
    <mergeCell ref="AH592:AH597"/>
    <mergeCell ref="AI592:AI597"/>
    <mergeCell ref="AJ592:AJ597"/>
    <mergeCell ref="AK592:AK597"/>
    <mergeCell ref="N593:N596"/>
    <mergeCell ref="O593:O596"/>
    <mergeCell ref="P593:P596"/>
    <mergeCell ref="Q593:Q596"/>
    <mergeCell ref="R593:R596"/>
    <mergeCell ref="S593:S596"/>
    <mergeCell ref="T593:T596"/>
    <mergeCell ref="U593:U596"/>
    <mergeCell ref="V593:V596"/>
    <mergeCell ref="W593:W596"/>
    <mergeCell ref="X593:X596"/>
    <mergeCell ref="Y593:Y596"/>
    <mergeCell ref="G592:G597"/>
    <mergeCell ref="H664:H669"/>
    <mergeCell ref="I664:I669"/>
    <mergeCell ref="J664:J669"/>
    <mergeCell ref="K664:K669"/>
    <mergeCell ref="L664:L669"/>
    <mergeCell ref="M664:M669"/>
    <mergeCell ref="AF664:AF669"/>
    <mergeCell ref="AG664:AG669"/>
    <mergeCell ref="AH664:AH669"/>
    <mergeCell ref="AI664:AI669"/>
    <mergeCell ref="AJ664:AJ669"/>
    <mergeCell ref="AK664:AK669"/>
    <mergeCell ref="N665:N668"/>
    <mergeCell ref="O665:O668"/>
    <mergeCell ref="P665:P668"/>
    <mergeCell ref="Q665:Q668"/>
    <mergeCell ref="R665:R668"/>
    <mergeCell ref="S665:S668"/>
    <mergeCell ref="T665:T668"/>
    <mergeCell ref="U665:U668"/>
    <mergeCell ref="V665:V668"/>
    <mergeCell ref="W665:W668"/>
    <mergeCell ref="X665:X668"/>
    <mergeCell ref="Y665:Y668"/>
    <mergeCell ref="G664:G669"/>
    <mergeCell ref="H706:H711"/>
    <mergeCell ref="I706:I711"/>
    <mergeCell ref="J706:J711"/>
    <mergeCell ref="K706:K711"/>
    <mergeCell ref="L706:L711"/>
    <mergeCell ref="M706:M711"/>
    <mergeCell ref="AF706:AF711"/>
    <mergeCell ref="AG706:AG711"/>
    <mergeCell ref="AH706:AH711"/>
    <mergeCell ref="AI706:AI711"/>
    <mergeCell ref="AJ706:AJ711"/>
    <mergeCell ref="AK706:AK711"/>
    <mergeCell ref="N707:N710"/>
    <mergeCell ref="O707:O710"/>
    <mergeCell ref="P707:P710"/>
    <mergeCell ref="Q707:Q710"/>
    <mergeCell ref="R707:R710"/>
    <mergeCell ref="S707:S710"/>
    <mergeCell ref="T707:T710"/>
    <mergeCell ref="U707:U710"/>
    <mergeCell ref="V707:V710"/>
    <mergeCell ref="W707:W710"/>
    <mergeCell ref="X707:X710"/>
    <mergeCell ref="Y707:Y710"/>
    <mergeCell ref="G706:G711"/>
    <mergeCell ref="H598:H603"/>
    <mergeCell ref="I598:I603"/>
    <mergeCell ref="J598:J603"/>
    <mergeCell ref="K598:K603"/>
    <mergeCell ref="L598:L603"/>
    <mergeCell ref="M598:M603"/>
    <mergeCell ref="AF598:AF603"/>
    <mergeCell ref="AG598:AG603"/>
    <mergeCell ref="AH598:AH603"/>
    <mergeCell ref="AI598:AI603"/>
    <mergeCell ref="AJ598:AJ603"/>
    <mergeCell ref="AK598:AK603"/>
    <mergeCell ref="N599:N602"/>
    <mergeCell ref="O599:O602"/>
    <mergeCell ref="P599:P602"/>
    <mergeCell ref="Q599:Q602"/>
    <mergeCell ref="R599:R602"/>
    <mergeCell ref="S599:S602"/>
    <mergeCell ref="T599:T602"/>
    <mergeCell ref="U599:U602"/>
    <mergeCell ref="V599:V602"/>
    <mergeCell ref="W599:W602"/>
    <mergeCell ref="X599:X602"/>
    <mergeCell ref="Y599:Y602"/>
    <mergeCell ref="G598:G603"/>
    <mergeCell ref="H670:H675"/>
    <mergeCell ref="I670:I675"/>
    <mergeCell ref="J670:J675"/>
    <mergeCell ref="K670:K675"/>
    <mergeCell ref="L670:L675"/>
    <mergeCell ref="M670:M675"/>
    <mergeCell ref="AF670:AF675"/>
    <mergeCell ref="AG670:AG675"/>
    <mergeCell ref="AH670:AH675"/>
    <mergeCell ref="AI670:AI675"/>
    <mergeCell ref="AJ670:AJ675"/>
    <mergeCell ref="AK670:AK675"/>
    <mergeCell ref="N671:N674"/>
    <mergeCell ref="O671:O674"/>
    <mergeCell ref="P671:P674"/>
    <mergeCell ref="Q671:Q674"/>
    <mergeCell ref="R671:R674"/>
    <mergeCell ref="S671:S674"/>
    <mergeCell ref="T671:T674"/>
    <mergeCell ref="U671:U674"/>
    <mergeCell ref="V671:V674"/>
    <mergeCell ref="W671:W674"/>
    <mergeCell ref="X671:X674"/>
    <mergeCell ref="Y671:Y674"/>
    <mergeCell ref="G670:G675"/>
    <mergeCell ref="H712:H717"/>
    <mergeCell ref="I712:I717"/>
    <mergeCell ref="J712:J717"/>
    <mergeCell ref="K712:K717"/>
    <mergeCell ref="L712:L717"/>
    <mergeCell ref="M712:M717"/>
    <mergeCell ref="AF712:AF717"/>
    <mergeCell ref="AG712:AG717"/>
    <mergeCell ref="AH712:AH717"/>
    <mergeCell ref="AI712:AI717"/>
    <mergeCell ref="AJ712:AJ717"/>
    <mergeCell ref="AK712:AK717"/>
    <mergeCell ref="N713:N716"/>
    <mergeCell ref="O713:O716"/>
    <mergeCell ref="P713:P716"/>
    <mergeCell ref="Q713:Q716"/>
    <mergeCell ref="R713:R716"/>
    <mergeCell ref="S713:S716"/>
    <mergeCell ref="T713:T716"/>
    <mergeCell ref="U713:U716"/>
    <mergeCell ref="V713:V716"/>
    <mergeCell ref="W713:W716"/>
    <mergeCell ref="X713:X716"/>
    <mergeCell ref="Y713:Y716"/>
    <mergeCell ref="G712:G717"/>
    <mergeCell ref="H604:H609"/>
    <mergeCell ref="I604:I609"/>
    <mergeCell ref="J604:J609"/>
    <mergeCell ref="K604:K609"/>
    <mergeCell ref="L604:L609"/>
    <mergeCell ref="M604:M609"/>
    <mergeCell ref="AF604:AF609"/>
    <mergeCell ref="AG604:AG609"/>
    <mergeCell ref="AH604:AH609"/>
    <mergeCell ref="AI604:AI609"/>
    <mergeCell ref="AJ604:AJ609"/>
    <mergeCell ref="AK604:AK609"/>
    <mergeCell ref="N605:N608"/>
    <mergeCell ref="O605:O608"/>
    <mergeCell ref="P605:P608"/>
    <mergeCell ref="Q605:Q608"/>
    <mergeCell ref="R605:R608"/>
    <mergeCell ref="S605:S608"/>
    <mergeCell ref="T605:T608"/>
    <mergeCell ref="U605:U608"/>
    <mergeCell ref="V605:V608"/>
    <mergeCell ref="W605:W608"/>
    <mergeCell ref="X605:X608"/>
    <mergeCell ref="Y605:Y608"/>
    <mergeCell ref="G604:G609"/>
    <mergeCell ref="H67:H73"/>
    <mergeCell ref="I67:I73"/>
    <mergeCell ref="J67:J73"/>
    <mergeCell ref="K67:K73"/>
    <mergeCell ref="L67:L73"/>
    <mergeCell ref="M67:M73"/>
    <mergeCell ref="AF67:AF73"/>
    <mergeCell ref="AG67:AG73"/>
    <mergeCell ref="AH67:AH73"/>
    <mergeCell ref="AI67:AI73"/>
    <mergeCell ref="AJ67:AJ73"/>
    <mergeCell ref="AK67:AK73"/>
    <mergeCell ref="N68:N72"/>
    <mergeCell ref="O68:O72"/>
    <mergeCell ref="P68:P72"/>
    <mergeCell ref="Q68:Q72"/>
    <mergeCell ref="R68:R72"/>
    <mergeCell ref="S68:S72"/>
    <mergeCell ref="T68:T72"/>
    <mergeCell ref="U68:U72"/>
    <mergeCell ref="V68:V72"/>
    <mergeCell ref="W68:W72"/>
    <mergeCell ref="X68:X72"/>
    <mergeCell ref="Y68:Y72"/>
    <mergeCell ref="G67:G73"/>
    <mergeCell ref="H334:H340"/>
    <mergeCell ref="I334:I340"/>
    <mergeCell ref="J334:J340"/>
    <mergeCell ref="K334:K340"/>
    <mergeCell ref="L334:L340"/>
    <mergeCell ref="M334:M340"/>
    <mergeCell ref="AF334:AF340"/>
    <mergeCell ref="AG334:AG340"/>
    <mergeCell ref="AH334:AH340"/>
    <mergeCell ref="AI334:AI340"/>
    <mergeCell ref="AJ334:AJ340"/>
    <mergeCell ref="AK334:AK340"/>
    <mergeCell ref="N335:N339"/>
    <mergeCell ref="O335:O339"/>
    <mergeCell ref="P335:P339"/>
    <mergeCell ref="Q335:Q339"/>
    <mergeCell ref="R335:R339"/>
    <mergeCell ref="S335:S339"/>
    <mergeCell ref="T335:T339"/>
    <mergeCell ref="U335:U339"/>
    <mergeCell ref="V335:V339"/>
    <mergeCell ref="W335:W339"/>
    <mergeCell ref="X335:X339"/>
    <mergeCell ref="Y335:Y339"/>
    <mergeCell ref="G334:G340"/>
    <mergeCell ref="H489:H494"/>
    <mergeCell ref="I489:I494"/>
    <mergeCell ref="J489:J494"/>
    <mergeCell ref="K489:K494"/>
    <mergeCell ref="L489:L494"/>
    <mergeCell ref="M489:M494"/>
    <mergeCell ref="AF489:AF494"/>
    <mergeCell ref="AG489:AG494"/>
    <mergeCell ref="AH489:AH494"/>
    <mergeCell ref="AI489:AI494"/>
    <mergeCell ref="AJ489:AJ494"/>
    <mergeCell ref="AK489:AK494"/>
    <mergeCell ref="N490:N493"/>
    <mergeCell ref="O490:O493"/>
    <mergeCell ref="P490:P493"/>
    <mergeCell ref="Q490:Q493"/>
    <mergeCell ref="R490:R493"/>
    <mergeCell ref="S490:S493"/>
    <mergeCell ref="T490:T493"/>
    <mergeCell ref="U490:U493"/>
    <mergeCell ref="V490:V493"/>
    <mergeCell ref="W490:W493"/>
    <mergeCell ref="X490:X493"/>
    <mergeCell ref="Y490:Y493"/>
    <mergeCell ref="G489:G494"/>
    <mergeCell ref="H74:H78"/>
    <mergeCell ref="I74:I78"/>
    <mergeCell ref="J74:J78"/>
    <mergeCell ref="K74:K78"/>
    <mergeCell ref="L74:L78"/>
    <mergeCell ref="M74:M78"/>
    <mergeCell ref="AF74:AF78"/>
    <mergeCell ref="AG74:AG78"/>
    <mergeCell ref="AH74:AH78"/>
    <mergeCell ref="AI74:AI78"/>
    <mergeCell ref="AJ74:AJ78"/>
    <mergeCell ref="AK74:AK78"/>
    <mergeCell ref="N75:N77"/>
    <mergeCell ref="O75:O77"/>
    <mergeCell ref="P75:P77"/>
    <mergeCell ref="Q75:Q77"/>
    <mergeCell ref="R75:R77"/>
    <mergeCell ref="S75:S77"/>
    <mergeCell ref="T75:T77"/>
    <mergeCell ref="U75:U77"/>
    <mergeCell ref="V75:V77"/>
    <mergeCell ref="W75:W77"/>
    <mergeCell ref="X75:X77"/>
    <mergeCell ref="Y75:Y77"/>
    <mergeCell ref="G74:G78"/>
    <mergeCell ref="H341:H345"/>
    <mergeCell ref="I341:I345"/>
    <mergeCell ref="J341:J345"/>
    <mergeCell ref="K341:K345"/>
    <mergeCell ref="L341:L345"/>
    <mergeCell ref="M341:M345"/>
    <mergeCell ref="AF341:AF345"/>
    <mergeCell ref="AG341:AG345"/>
    <mergeCell ref="AH341:AH345"/>
    <mergeCell ref="AI341:AI345"/>
    <mergeCell ref="AJ341:AJ345"/>
    <mergeCell ref="AK341:AK345"/>
    <mergeCell ref="N342:N344"/>
    <mergeCell ref="O342:O344"/>
    <mergeCell ref="P342:P344"/>
    <mergeCell ref="Q342:Q344"/>
    <mergeCell ref="R342:R344"/>
    <mergeCell ref="S342:S344"/>
    <mergeCell ref="T342:T344"/>
    <mergeCell ref="U342:U344"/>
    <mergeCell ref="V342:V344"/>
    <mergeCell ref="W342:W344"/>
    <mergeCell ref="X342:X344"/>
    <mergeCell ref="Y342:Y344"/>
    <mergeCell ref="G341:G345"/>
    <mergeCell ref="H79:H84"/>
    <mergeCell ref="I79:I84"/>
    <mergeCell ref="J79:J84"/>
    <mergeCell ref="K79:K84"/>
    <mergeCell ref="L79:L84"/>
    <mergeCell ref="M79:M84"/>
    <mergeCell ref="AF79:AF84"/>
    <mergeCell ref="AG79:AG84"/>
    <mergeCell ref="AH79:AH84"/>
    <mergeCell ref="AI79:AI84"/>
    <mergeCell ref="AJ79:AJ84"/>
    <mergeCell ref="AK79:AK84"/>
    <mergeCell ref="N80:N83"/>
    <mergeCell ref="O80:O83"/>
    <mergeCell ref="P80:P83"/>
    <mergeCell ref="Q80:Q83"/>
    <mergeCell ref="R80:R83"/>
    <mergeCell ref="S80:S83"/>
    <mergeCell ref="T80:T83"/>
    <mergeCell ref="U80:U83"/>
    <mergeCell ref="V80:V83"/>
    <mergeCell ref="W80:W83"/>
    <mergeCell ref="X80:X83"/>
    <mergeCell ref="Y80:Y83"/>
    <mergeCell ref="G79:G84"/>
    <mergeCell ref="H85:H90"/>
    <mergeCell ref="I85:I90"/>
    <mergeCell ref="J85:J90"/>
    <mergeCell ref="K85:K90"/>
    <mergeCell ref="L85:L90"/>
    <mergeCell ref="M85:M90"/>
    <mergeCell ref="AF85:AF90"/>
    <mergeCell ref="AG85:AG90"/>
    <mergeCell ref="AH85:AH90"/>
    <mergeCell ref="AI85:AI90"/>
    <mergeCell ref="AJ85:AJ90"/>
    <mergeCell ref="AK85:AK90"/>
    <mergeCell ref="N86:N89"/>
    <mergeCell ref="O86:O89"/>
    <mergeCell ref="P86:P89"/>
    <mergeCell ref="Q86:Q89"/>
    <mergeCell ref="R86:R89"/>
    <mergeCell ref="S86:S89"/>
    <mergeCell ref="T86:T89"/>
    <mergeCell ref="U86:U89"/>
    <mergeCell ref="V86:V89"/>
    <mergeCell ref="W86:W89"/>
    <mergeCell ref="X86:X89"/>
    <mergeCell ref="Y86:Y89"/>
    <mergeCell ref="G85:G90"/>
    <mergeCell ref="H346:H351"/>
    <mergeCell ref="I346:I351"/>
    <mergeCell ref="J346:J351"/>
    <mergeCell ref="K346:K351"/>
    <mergeCell ref="L346:L351"/>
    <mergeCell ref="M346:M351"/>
    <mergeCell ref="AF346:AF351"/>
    <mergeCell ref="AG346:AG351"/>
    <mergeCell ref="AH346:AH351"/>
    <mergeCell ref="AI346:AI351"/>
    <mergeCell ref="AJ346:AJ351"/>
    <mergeCell ref="AK346:AK351"/>
    <mergeCell ref="N347:N350"/>
    <mergeCell ref="O347:O350"/>
    <mergeCell ref="P347:P350"/>
    <mergeCell ref="Q347:Q350"/>
    <mergeCell ref="R347:R350"/>
    <mergeCell ref="S347:S350"/>
    <mergeCell ref="T347:T350"/>
    <mergeCell ref="U347:U350"/>
    <mergeCell ref="V347:V350"/>
    <mergeCell ref="W347:W350"/>
    <mergeCell ref="X347:X350"/>
    <mergeCell ref="Y347:Y350"/>
    <mergeCell ref="G346:G351"/>
    <mergeCell ref="H91:H96"/>
    <mergeCell ref="I91:I96"/>
    <mergeCell ref="J91:J96"/>
    <mergeCell ref="K91:K96"/>
    <mergeCell ref="L91:L96"/>
    <mergeCell ref="M91:M96"/>
    <mergeCell ref="AF91:AF96"/>
    <mergeCell ref="AG91:AG96"/>
    <mergeCell ref="AH91:AH96"/>
    <mergeCell ref="AI91:AI96"/>
    <mergeCell ref="AJ91:AJ96"/>
    <mergeCell ref="AK91:AK96"/>
    <mergeCell ref="N92:N95"/>
    <mergeCell ref="O92:O95"/>
    <mergeCell ref="P92:P95"/>
    <mergeCell ref="Q92:Q95"/>
    <mergeCell ref="R92:R95"/>
    <mergeCell ref="S92:S95"/>
    <mergeCell ref="T92:T95"/>
    <mergeCell ref="U92:U95"/>
    <mergeCell ref="V92:V95"/>
    <mergeCell ref="W92:W95"/>
    <mergeCell ref="X92:X95"/>
    <mergeCell ref="Y92:Y95"/>
    <mergeCell ref="G91:G96"/>
    <mergeCell ref="H97:H102"/>
    <mergeCell ref="I97:I102"/>
    <mergeCell ref="J97:J102"/>
    <mergeCell ref="K97:K102"/>
    <mergeCell ref="L97:L102"/>
    <mergeCell ref="M97:M102"/>
    <mergeCell ref="AF97:AF102"/>
    <mergeCell ref="AG97:AG102"/>
    <mergeCell ref="AH97:AH102"/>
    <mergeCell ref="AI97:AI102"/>
    <mergeCell ref="AJ97:AJ102"/>
    <mergeCell ref="AK97:AK102"/>
    <mergeCell ref="N98:N101"/>
    <mergeCell ref="O98:O101"/>
    <mergeCell ref="P98:P101"/>
    <mergeCell ref="Q98:Q101"/>
    <mergeCell ref="R98:R101"/>
    <mergeCell ref="S98:S101"/>
    <mergeCell ref="T98:T101"/>
    <mergeCell ref="U98:U101"/>
    <mergeCell ref="V98:V101"/>
    <mergeCell ref="W98:W101"/>
    <mergeCell ref="X98:X101"/>
    <mergeCell ref="Y98:Y101"/>
    <mergeCell ref="G97:G102"/>
    <mergeCell ref="H103:H108"/>
    <mergeCell ref="I103:I108"/>
    <mergeCell ref="J103:J108"/>
    <mergeCell ref="K103:K108"/>
    <mergeCell ref="L103:L108"/>
    <mergeCell ref="M103:M108"/>
    <mergeCell ref="AF103:AF108"/>
    <mergeCell ref="AG103:AG108"/>
    <mergeCell ref="AH103:AH108"/>
    <mergeCell ref="AI103:AI108"/>
    <mergeCell ref="AJ103:AJ108"/>
    <mergeCell ref="AK103:AK108"/>
    <mergeCell ref="N104:N107"/>
    <mergeCell ref="O104:O107"/>
    <mergeCell ref="P104:P107"/>
    <mergeCell ref="Q104:Q107"/>
    <mergeCell ref="R104:R107"/>
    <mergeCell ref="S104:S107"/>
    <mergeCell ref="T104:T107"/>
    <mergeCell ref="U104:U107"/>
    <mergeCell ref="V104:V107"/>
    <mergeCell ref="W104:W107"/>
    <mergeCell ref="X104:X107"/>
    <mergeCell ref="Y104:Y107"/>
    <mergeCell ref="G103:G108"/>
    <mergeCell ref="H352:H357"/>
    <mergeCell ref="I352:I357"/>
    <mergeCell ref="J352:J357"/>
    <mergeCell ref="K352:K357"/>
    <mergeCell ref="L352:L357"/>
    <mergeCell ref="M352:M357"/>
    <mergeCell ref="AF352:AF357"/>
    <mergeCell ref="AG352:AG357"/>
    <mergeCell ref="AH352:AH357"/>
    <mergeCell ref="AI352:AI357"/>
    <mergeCell ref="AJ352:AJ357"/>
    <mergeCell ref="AK352:AK357"/>
    <mergeCell ref="N353:N356"/>
    <mergeCell ref="O353:O356"/>
    <mergeCell ref="P353:P356"/>
    <mergeCell ref="Q353:Q356"/>
    <mergeCell ref="R353:R356"/>
    <mergeCell ref="S353:S356"/>
    <mergeCell ref="T353:T356"/>
    <mergeCell ref="U353:U356"/>
    <mergeCell ref="V353:V356"/>
    <mergeCell ref="W353:W356"/>
    <mergeCell ref="X353:X356"/>
    <mergeCell ref="Y353:Y356"/>
    <mergeCell ref="G352:G357"/>
    <mergeCell ref="H109:H114"/>
    <mergeCell ref="I109:I114"/>
    <mergeCell ref="J109:J114"/>
    <mergeCell ref="K109:K114"/>
    <mergeCell ref="L109:L114"/>
    <mergeCell ref="M109:M114"/>
    <mergeCell ref="AF109:AF114"/>
    <mergeCell ref="AG109:AG114"/>
    <mergeCell ref="AH109:AH114"/>
    <mergeCell ref="AI109:AI114"/>
    <mergeCell ref="AJ109:AJ114"/>
    <mergeCell ref="AK109:AK114"/>
    <mergeCell ref="N110:N113"/>
    <mergeCell ref="O110:O113"/>
    <mergeCell ref="P110:P113"/>
    <mergeCell ref="Q110:Q113"/>
    <mergeCell ref="R110:R113"/>
    <mergeCell ref="S110:S113"/>
    <mergeCell ref="T110:T113"/>
    <mergeCell ref="U110:U113"/>
    <mergeCell ref="V110:V113"/>
    <mergeCell ref="W110:W113"/>
    <mergeCell ref="X110:X113"/>
    <mergeCell ref="Y110:Y113"/>
    <mergeCell ref="G109:G114"/>
    <mergeCell ref="H358:H363"/>
    <mergeCell ref="I358:I363"/>
    <mergeCell ref="J358:J363"/>
    <mergeCell ref="K358:K363"/>
    <mergeCell ref="L358:L363"/>
    <mergeCell ref="M358:M363"/>
    <mergeCell ref="AF358:AF363"/>
    <mergeCell ref="AG358:AG363"/>
    <mergeCell ref="AH358:AH363"/>
    <mergeCell ref="AI358:AI363"/>
    <mergeCell ref="AJ358:AJ363"/>
    <mergeCell ref="AK358:AK363"/>
    <mergeCell ref="N359:N362"/>
    <mergeCell ref="O359:O362"/>
    <mergeCell ref="P359:P362"/>
    <mergeCell ref="Q359:Q362"/>
    <mergeCell ref="R359:R362"/>
    <mergeCell ref="S359:S362"/>
    <mergeCell ref="T359:T362"/>
    <mergeCell ref="U359:U362"/>
    <mergeCell ref="V359:V362"/>
    <mergeCell ref="W359:W362"/>
    <mergeCell ref="X359:X362"/>
    <mergeCell ref="Y359:Y362"/>
    <mergeCell ref="G358:G363"/>
    <mergeCell ref="H364:H369"/>
    <mergeCell ref="I364:I369"/>
    <mergeCell ref="J364:J369"/>
    <mergeCell ref="K364:K369"/>
    <mergeCell ref="L364:L369"/>
    <mergeCell ref="M364:M369"/>
    <mergeCell ref="AF364:AF369"/>
    <mergeCell ref="AG364:AG369"/>
    <mergeCell ref="AH364:AH369"/>
    <mergeCell ref="AI364:AI369"/>
    <mergeCell ref="AJ364:AJ369"/>
    <mergeCell ref="AK364:AK369"/>
    <mergeCell ref="N365:N368"/>
    <mergeCell ref="O365:O368"/>
    <mergeCell ref="P365:P368"/>
    <mergeCell ref="Q365:Q368"/>
    <mergeCell ref="R365:R368"/>
    <mergeCell ref="S365:S368"/>
    <mergeCell ref="T365:T368"/>
    <mergeCell ref="U365:U368"/>
    <mergeCell ref="V365:V368"/>
    <mergeCell ref="W365:W368"/>
    <mergeCell ref="X365:X368"/>
    <mergeCell ref="Y365:Y368"/>
    <mergeCell ref="G364:G369"/>
    <mergeCell ref="H115:H119"/>
    <mergeCell ref="I115:I119"/>
    <mergeCell ref="J115:J119"/>
    <mergeCell ref="K115:K119"/>
    <mergeCell ref="L115:L119"/>
    <mergeCell ref="M115:M119"/>
    <mergeCell ref="AF115:AF119"/>
    <mergeCell ref="AG115:AG119"/>
    <mergeCell ref="AH115:AH119"/>
    <mergeCell ref="AI115:AI119"/>
    <mergeCell ref="AJ115:AJ119"/>
    <mergeCell ref="AK115:AK119"/>
    <mergeCell ref="N116:N118"/>
    <mergeCell ref="O116:O118"/>
    <mergeCell ref="P116:P118"/>
    <mergeCell ref="Q116:Q118"/>
    <mergeCell ref="R116:R118"/>
    <mergeCell ref="S116:S118"/>
    <mergeCell ref="T116:T118"/>
    <mergeCell ref="U116:U118"/>
    <mergeCell ref="V116:V118"/>
    <mergeCell ref="W116:W118"/>
    <mergeCell ref="X116:X118"/>
    <mergeCell ref="Y116:Y118"/>
    <mergeCell ref="G115:G119"/>
    <mergeCell ref="H370:H374"/>
    <mergeCell ref="I370:I374"/>
    <mergeCell ref="J370:J374"/>
    <mergeCell ref="K370:K374"/>
    <mergeCell ref="L370:L374"/>
    <mergeCell ref="M370:M374"/>
    <mergeCell ref="AF370:AF374"/>
    <mergeCell ref="AG370:AG374"/>
    <mergeCell ref="AH370:AH374"/>
    <mergeCell ref="AI370:AI374"/>
    <mergeCell ref="AJ370:AJ374"/>
    <mergeCell ref="AK370:AK374"/>
    <mergeCell ref="N371:N373"/>
    <mergeCell ref="O371:O373"/>
    <mergeCell ref="P371:P373"/>
    <mergeCell ref="Q371:Q373"/>
    <mergeCell ref="R371:R373"/>
    <mergeCell ref="S371:S373"/>
    <mergeCell ref="T371:T373"/>
    <mergeCell ref="U371:U373"/>
    <mergeCell ref="V371:V373"/>
    <mergeCell ref="W371:W373"/>
    <mergeCell ref="X371:X373"/>
    <mergeCell ref="Y371:Y373"/>
    <mergeCell ref="G370:G374"/>
    <mergeCell ref="H120:H125"/>
    <mergeCell ref="I120:I125"/>
    <mergeCell ref="J120:J125"/>
    <mergeCell ref="K120:K125"/>
    <mergeCell ref="L120:L125"/>
    <mergeCell ref="M120:M125"/>
    <mergeCell ref="AF120:AF125"/>
    <mergeCell ref="AG120:AG125"/>
    <mergeCell ref="AH120:AH125"/>
    <mergeCell ref="AI120:AI125"/>
    <mergeCell ref="AJ120:AJ125"/>
    <mergeCell ref="AK120:AK125"/>
    <mergeCell ref="N121:N124"/>
    <mergeCell ref="O121:O124"/>
    <mergeCell ref="P121:P124"/>
    <mergeCell ref="Q121:Q124"/>
    <mergeCell ref="R121:R124"/>
    <mergeCell ref="S121:S124"/>
    <mergeCell ref="T121:T124"/>
    <mergeCell ref="U121:U124"/>
    <mergeCell ref="V121:V124"/>
    <mergeCell ref="W121:W124"/>
    <mergeCell ref="X121:X124"/>
    <mergeCell ref="Y121:Y124"/>
    <mergeCell ref="G120:G125"/>
    <mergeCell ref="H375:H380"/>
    <mergeCell ref="I375:I380"/>
    <mergeCell ref="J375:J380"/>
    <mergeCell ref="K375:K380"/>
    <mergeCell ref="L375:L380"/>
    <mergeCell ref="M375:M380"/>
    <mergeCell ref="AF375:AF380"/>
    <mergeCell ref="AG375:AG380"/>
    <mergeCell ref="AH375:AH380"/>
    <mergeCell ref="AI375:AI380"/>
    <mergeCell ref="AJ375:AJ380"/>
    <mergeCell ref="AK375:AK380"/>
    <mergeCell ref="N376:N379"/>
    <mergeCell ref="O376:O379"/>
    <mergeCell ref="P376:P379"/>
    <mergeCell ref="Q376:Q379"/>
    <mergeCell ref="R376:R379"/>
    <mergeCell ref="S376:S379"/>
    <mergeCell ref="T376:T379"/>
    <mergeCell ref="U376:U379"/>
    <mergeCell ref="V376:V379"/>
    <mergeCell ref="W376:W379"/>
    <mergeCell ref="X376:X379"/>
    <mergeCell ref="Y376:Y379"/>
    <mergeCell ref="G375:G380"/>
    <mergeCell ref="H495:H500"/>
    <mergeCell ref="I495:I500"/>
    <mergeCell ref="J495:J500"/>
    <mergeCell ref="K495:K500"/>
    <mergeCell ref="L495:L500"/>
    <mergeCell ref="M495:M500"/>
    <mergeCell ref="AF495:AF500"/>
    <mergeCell ref="AG495:AG500"/>
    <mergeCell ref="AH495:AH500"/>
    <mergeCell ref="AI495:AI500"/>
    <mergeCell ref="AJ495:AJ500"/>
    <mergeCell ref="AK495:AK500"/>
    <mergeCell ref="N496:N499"/>
    <mergeCell ref="O496:O499"/>
    <mergeCell ref="P496:P499"/>
    <mergeCell ref="Q496:Q499"/>
    <mergeCell ref="R496:R499"/>
    <mergeCell ref="S496:S499"/>
    <mergeCell ref="T496:T499"/>
    <mergeCell ref="U496:U499"/>
    <mergeCell ref="V496:V499"/>
    <mergeCell ref="W496:W499"/>
    <mergeCell ref="X496:X499"/>
    <mergeCell ref="Y496:Y499"/>
    <mergeCell ref="G495:G500"/>
    <mergeCell ref="H610:H615"/>
    <mergeCell ref="I610:I615"/>
    <mergeCell ref="J610:J615"/>
    <mergeCell ref="K610:K615"/>
    <mergeCell ref="L610:L615"/>
    <mergeCell ref="M610:M615"/>
    <mergeCell ref="AF610:AF615"/>
    <mergeCell ref="AG610:AG615"/>
    <mergeCell ref="AH610:AH615"/>
    <mergeCell ref="AI610:AI615"/>
    <mergeCell ref="AJ610:AJ615"/>
    <mergeCell ref="AK610:AK615"/>
    <mergeCell ref="N611:N614"/>
    <mergeCell ref="O611:O614"/>
    <mergeCell ref="P611:P614"/>
    <mergeCell ref="Q611:Q614"/>
    <mergeCell ref="R611:R614"/>
    <mergeCell ref="S611:S614"/>
    <mergeCell ref="T611:T614"/>
    <mergeCell ref="U611:U614"/>
    <mergeCell ref="V611:V614"/>
    <mergeCell ref="W611:W614"/>
    <mergeCell ref="X611:X614"/>
    <mergeCell ref="Y611:Y614"/>
    <mergeCell ref="G610:G615"/>
    <mergeCell ref="H676:H681"/>
    <mergeCell ref="I676:I681"/>
    <mergeCell ref="J676:J681"/>
    <mergeCell ref="K676:K681"/>
    <mergeCell ref="L676:L681"/>
    <mergeCell ref="M676:M681"/>
    <mergeCell ref="AF676:AF681"/>
    <mergeCell ref="AG676:AG681"/>
    <mergeCell ref="AH676:AH681"/>
    <mergeCell ref="AI676:AI681"/>
    <mergeCell ref="AJ676:AJ681"/>
    <mergeCell ref="AK676:AK681"/>
    <mergeCell ref="N677:N680"/>
    <mergeCell ref="O677:O680"/>
    <mergeCell ref="P677:P680"/>
    <mergeCell ref="Q677:Q680"/>
    <mergeCell ref="R677:R680"/>
    <mergeCell ref="S677:S680"/>
    <mergeCell ref="T677:T680"/>
    <mergeCell ref="U677:U680"/>
    <mergeCell ref="V677:V680"/>
    <mergeCell ref="W677:W680"/>
    <mergeCell ref="X677:X680"/>
    <mergeCell ref="Y677:Y680"/>
    <mergeCell ref="G676:G681"/>
    <mergeCell ref="H718:H723"/>
    <mergeCell ref="I718:I723"/>
    <mergeCell ref="J718:J723"/>
    <mergeCell ref="K718:K723"/>
    <mergeCell ref="L718:L723"/>
    <mergeCell ref="M718:M723"/>
    <mergeCell ref="AF718:AF723"/>
    <mergeCell ref="AG718:AG723"/>
    <mergeCell ref="AH718:AH723"/>
    <mergeCell ref="AI718:AI723"/>
    <mergeCell ref="AJ718:AJ723"/>
    <mergeCell ref="AK718:AK723"/>
    <mergeCell ref="N719:N722"/>
    <mergeCell ref="O719:O722"/>
    <mergeCell ref="P719:P722"/>
    <mergeCell ref="Q719:Q722"/>
    <mergeCell ref="R719:R722"/>
    <mergeCell ref="S719:S722"/>
    <mergeCell ref="T719:T722"/>
    <mergeCell ref="U719:U722"/>
    <mergeCell ref="V719:V722"/>
    <mergeCell ref="W719:W722"/>
    <mergeCell ref="X719:X722"/>
    <mergeCell ref="Y719:Y722"/>
    <mergeCell ref="G718:G723"/>
    <mergeCell ref="H126:H131"/>
    <mergeCell ref="I126:I131"/>
    <mergeCell ref="J126:J131"/>
    <mergeCell ref="K126:K131"/>
    <mergeCell ref="L126:L131"/>
    <mergeCell ref="M126:M131"/>
    <mergeCell ref="AF126:AF131"/>
    <mergeCell ref="AG126:AG131"/>
    <mergeCell ref="AH126:AH131"/>
    <mergeCell ref="AI126:AI131"/>
    <mergeCell ref="AJ126:AJ131"/>
    <mergeCell ref="AK126:AK131"/>
    <mergeCell ref="N127:N130"/>
    <mergeCell ref="O127:O130"/>
    <mergeCell ref="P127:P130"/>
    <mergeCell ref="Q127:Q130"/>
    <mergeCell ref="R127:R130"/>
    <mergeCell ref="S127:S130"/>
    <mergeCell ref="T127:T130"/>
    <mergeCell ref="U127:U130"/>
    <mergeCell ref="V127:V130"/>
    <mergeCell ref="W127:W130"/>
    <mergeCell ref="X127:X130"/>
    <mergeCell ref="Y127:Y130"/>
    <mergeCell ref="G126:G131"/>
    <mergeCell ref="H381:H386"/>
    <mergeCell ref="I381:I386"/>
    <mergeCell ref="J381:J386"/>
    <mergeCell ref="K381:K386"/>
    <mergeCell ref="L381:L386"/>
    <mergeCell ref="M381:M386"/>
    <mergeCell ref="AF381:AF386"/>
    <mergeCell ref="AG381:AG386"/>
    <mergeCell ref="AH381:AH386"/>
    <mergeCell ref="AI381:AI386"/>
    <mergeCell ref="AJ381:AJ386"/>
    <mergeCell ref="AK381:AK386"/>
    <mergeCell ref="N382:N385"/>
    <mergeCell ref="O382:O385"/>
    <mergeCell ref="P382:P385"/>
    <mergeCell ref="Q382:Q385"/>
    <mergeCell ref="R382:R385"/>
    <mergeCell ref="S382:S385"/>
    <mergeCell ref="T382:T385"/>
    <mergeCell ref="U382:U385"/>
    <mergeCell ref="V382:V385"/>
    <mergeCell ref="W382:W385"/>
    <mergeCell ref="X382:X385"/>
    <mergeCell ref="Y382:Y385"/>
    <mergeCell ref="G381:G386"/>
    <mergeCell ref="H501:H506"/>
    <mergeCell ref="I501:I506"/>
    <mergeCell ref="J501:J506"/>
    <mergeCell ref="K501:K506"/>
    <mergeCell ref="L501:L506"/>
    <mergeCell ref="M501:M506"/>
    <mergeCell ref="AF501:AF506"/>
    <mergeCell ref="AG501:AG506"/>
    <mergeCell ref="AH501:AH506"/>
    <mergeCell ref="AI501:AI506"/>
    <mergeCell ref="AJ501:AJ506"/>
    <mergeCell ref="AK501:AK506"/>
    <mergeCell ref="N502:N505"/>
    <mergeCell ref="O502:O505"/>
    <mergeCell ref="P502:P505"/>
    <mergeCell ref="Q502:Q505"/>
    <mergeCell ref="R502:R505"/>
    <mergeCell ref="S502:S505"/>
    <mergeCell ref="T502:T505"/>
    <mergeCell ref="U502:U505"/>
    <mergeCell ref="V502:V505"/>
    <mergeCell ref="W502:W505"/>
    <mergeCell ref="X502:X505"/>
    <mergeCell ref="Y502:Y505"/>
    <mergeCell ref="G501:G506"/>
    <mergeCell ref="H616:H621"/>
    <mergeCell ref="I616:I621"/>
    <mergeCell ref="J616:J621"/>
    <mergeCell ref="K616:K621"/>
    <mergeCell ref="L616:L621"/>
    <mergeCell ref="M616:M621"/>
    <mergeCell ref="AF616:AF621"/>
    <mergeCell ref="AG616:AG621"/>
    <mergeCell ref="AH616:AH621"/>
    <mergeCell ref="AI616:AI621"/>
    <mergeCell ref="AJ616:AJ621"/>
    <mergeCell ref="AK616:AK621"/>
    <mergeCell ref="N617:N620"/>
    <mergeCell ref="O617:O620"/>
    <mergeCell ref="P617:P620"/>
    <mergeCell ref="Q617:Q620"/>
    <mergeCell ref="R617:R620"/>
    <mergeCell ref="S617:S620"/>
    <mergeCell ref="T617:T620"/>
    <mergeCell ref="U617:U620"/>
    <mergeCell ref="V617:V620"/>
    <mergeCell ref="W617:W620"/>
    <mergeCell ref="X617:X620"/>
    <mergeCell ref="Y617:Y620"/>
    <mergeCell ref="G616:G621"/>
    <mergeCell ref="H682:H687"/>
    <mergeCell ref="I682:I687"/>
    <mergeCell ref="J682:J687"/>
    <mergeCell ref="K682:K687"/>
    <mergeCell ref="L682:L687"/>
    <mergeCell ref="M682:M687"/>
    <mergeCell ref="AF682:AF687"/>
    <mergeCell ref="AG682:AG687"/>
    <mergeCell ref="AH682:AH687"/>
    <mergeCell ref="AI682:AI687"/>
    <mergeCell ref="AJ682:AJ687"/>
    <mergeCell ref="AK682:AK687"/>
    <mergeCell ref="N683:N686"/>
    <mergeCell ref="O683:O686"/>
    <mergeCell ref="P683:P686"/>
    <mergeCell ref="Q683:Q686"/>
    <mergeCell ref="R683:R686"/>
    <mergeCell ref="S683:S686"/>
    <mergeCell ref="T683:T686"/>
    <mergeCell ref="U683:U686"/>
    <mergeCell ref="V683:V686"/>
    <mergeCell ref="W683:W686"/>
    <mergeCell ref="X683:X686"/>
    <mergeCell ref="Y683:Y686"/>
    <mergeCell ref="G682:G687"/>
    <mergeCell ref="H724:H728"/>
    <mergeCell ref="I724:I728"/>
    <mergeCell ref="J724:J728"/>
    <mergeCell ref="K724:K728"/>
    <mergeCell ref="L724:L728"/>
    <mergeCell ref="M724:M728"/>
    <mergeCell ref="AF724:AF728"/>
    <mergeCell ref="AG724:AG728"/>
    <mergeCell ref="AH724:AH728"/>
    <mergeCell ref="AI724:AI728"/>
    <mergeCell ref="AJ724:AJ728"/>
    <mergeCell ref="AK724:AK728"/>
    <mergeCell ref="N725:N727"/>
    <mergeCell ref="O725:O727"/>
    <mergeCell ref="P725:P727"/>
    <mergeCell ref="Q725:Q727"/>
    <mergeCell ref="R725:R727"/>
    <mergeCell ref="S725:S727"/>
    <mergeCell ref="T725:T727"/>
    <mergeCell ref="U725:U727"/>
    <mergeCell ref="V725:V727"/>
    <mergeCell ref="W725:W727"/>
    <mergeCell ref="X725:X727"/>
    <mergeCell ref="Y725:Y727"/>
    <mergeCell ref="G724:G728"/>
    <mergeCell ref="H132:H137"/>
    <mergeCell ref="I132:I137"/>
    <mergeCell ref="J132:J137"/>
    <mergeCell ref="K132:K137"/>
    <mergeCell ref="L132:L137"/>
    <mergeCell ref="M132:M137"/>
    <mergeCell ref="AF132:AF137"/>
    <mergeCell ref="AG132:AG137"/>
    <mergeCell ref="AH132:AH137"/>
    <mergeCell ref="AI132:AI137"/>
    <mergeCell ref="AJ132:AJ137"/>
    <mergeCell ref="AK132:AK137"/>
    <mergeCell ref="N133:N136"/>
    <mergeCell ref="O133:O136"/>
    <mergeCell ref="P133:P136"/>
    <mergeCell ref="Q133:Q136"/>
    <mergeCell ref="R133:R136"/>
    <mergeCell ref="S133:S136"/>
    <mergeCell ref="T133:T136"/>
    <mergeCell ref="U133:U136"/>
    <mergeCell ref="V133:V136"/>
    <mergeCell ref="W133:W136"/>
    <mergeCell ref="X133:X136"/>
    <mergeCell ref="Y133:Y136"/>
    <mergeCell ref="G132:G137"/>
    <mergeCell ref="H138:H142"/>
    <mergeCell ref="I138:I142"/>
    <mergeCell ref="J138:J142"/>
    <mergeCell ref="K138:K142"/>
    <mergeCell ref="L138:L142"/>
    <mergeCell ref="M138:M142"/>
    <mergeCell ref="AF138:AF142"/>
    <mergeCell ref="AG138:AG142"/>
    <mergeCell ref="AH138:AH142"/>
    <mergeCell ref="AI138:AI142"/>
    <mergeCell ref="AJ138:AJ142"/>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G138:G142"/>
    <mergeCell ref="H387:H391"/>
    <mergeCell ref="I387:I391"/>
    <mergeCell ref="J387:J391"/>
    <mergeCell ref="K387:K391"/>
    <mergeCell ref="L387:L391"/>
    <mergeCell ref="M387:M391"/>
    <mergeCell ref="AF387:AF391"/>
    <mergeCell ref="AG387:AG391"/>
    <mergeCell ref="AH387:AH391"/>
    <mergeCell ref="AI387:AI391"/>
    <mergeCell ref="AJ387:AJ391"/>
    <mergeCell ref="AK387:AK391"/>
    <mergeCell ref="N388:N390"/>
    <mergeCell ref="O388:O390"/>
    <mergeCell ref="P388:P390"/>
    <mergeCell ref="Q388:Q390"/>
    <mergeCell ref="R388:R390"/>
    <mergeCell ref="S388:S390"/>
    <mergeCell ref="T388:T390"/>
    <mergeCell ref="U388:U390"/>
    <mergeCell ref="V388:V390"/>
    <mergeCell ref="W388:W390"/>
    <mergeCell ref="X388:X390"/>
    <mergeCell ref="Y388:Y390"/>
    <mergeCell ref="G387:G391"/>
    <mergeCell ref="H143:H147"/>
    <mergeCell ref="I143:I147"/>
    <mergeCell ref="J143:J147"/>
    <mergeCell ref="K143:K147"/>
    <mergeCell ref="L143:L147"/>
    <mergeCell ref="M143:M147"/>
    <mergeCell ref="AF143:AF147"/>
    <mergeCell ref="AG143:AG147"/>
    <mergeCell ref="AH143:AH147"/>
    <mergeCell ref="AI143:AI14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43:G147"/>
    <mergeCell ref="H148:H152"/>
    <mergeCell ref="I148:I152"/>
    <mergeCell ref="J148:J152"/>
    <mergeCell ref="K148:K152"/>
    <mergeCell ref="L148:L152"/>
    <mergeCell ref="M148:M152"/>
    <mergeCell ref="AF148:AF152"/>
    <mergeCell ref="AG148:AG152"/>
    <mergeCell ref="AH148:AH152"/>
    <mergeCell ref="AI148:AI152"/>
    <mergeCell ref="AJ148:AJ152"/>
    <mergeCell ref="AK148:AK152"/>
    <mergeCell ref="N149:N151"/>
    <mergeCell ref="O149:O151"/>
    <mergeCell ref="P149:P151"/>
    <mergeCell ref="Q149:Q151"/>
    <mergeCell ref="R149:R151"/>
    <mergeCell ref="S149:S151"/>
    <mergeCell ref="T149:T151"/>
    <mergeCell ref="U149:U151"/>
    <mergeCell ref="V149:V151"/>
    <mergeCell ref="W149:W151"/>
    <mergeCell ref="X149:X151"/>
    <mergeCell ref="Y149:Y151"/>
    <mergeCell ref="G148:G152"/>
    <mergeCell ref="H153:H158"/>
    <mergeCell ref="I153:I158"/>
    <mergeCell ref="J153:J158"/>
    <mergeCell ref="K153:K158"/>
    <mergeCell ref="L153:L158"/>
    <mergeCell ref="M153:M158"/>
    <mergeCell ref="AF153:AF158"/>
    <mergeCell ref="AG153:AG158"/>
    <mergeCell ref="AH153:AH158"/>
    <mergeCell ref="AI153:AI158"/>
    <mergeCell ref="AJ153:AJ158"/>
    <mergeCell ref="AK153:AK158"/>
    <mergeCell ref="N154:N157"/>
    <mergeCell ref="O154:O157"/>
    <mergeCell ref="P154:P157"/>
    <mergeCell ref="Q154:Q157"/>
    <mergeCell ref="R154:R157"/>
    <mergeCell ref="S154:S157"/>
    <mergeCell ref="T154:T157"/>
    <mergeCell ref="U154:U157"/>
    <mergeCell ref="V154:V157"/>
    <mergeCell ref="W154:W157"/>
    <mergeCell ref="X154:X157"/>
    <mergeCell ref="Y154:Y157"/>
    <mergeCell ref="G153:G158"/>
    <mergeCell ref="H392:H397"/>
    <mergeCell ref="I392:I397"/>
    <mergeCell ref="J392:J397"/>
    <mergeCell ref="K392:K397"/>
    <mergeCell ref="L392:L397"/>
    <mergeCell ref="M392:M397"/>
    <mergeCell ref="AF392:AF397"/>
    <mergeCell ref="AG392:AG397"/>
    <mergeCell ref="AH392:AH397"/>
    <mergeCell ref="AI392:AI397"/>
    <mergeCell ref="AJ392:AJ397"/>
    <mergeCell ref="AK392:AK397"/>
    <mergeCell ref="N393:N396"/>
    <mergeCell ref="O393:O396"/>
    <mergeCell ref="P393:P396"/>
    <mergeCell ref="Q393:Q396"/>
    <mergeCell ref="R393:R396"/>
    <mergeCell ref="S393:S396"/>
    <mergeCell ref="T393:T396"/>
    <mergeCell ref="U393:U396"/>
    <mergeCell ref="V393:V396"/>
    <mergeCell ref="W393:W396"/>
    <mergeCell ref="X393:X396"/>
    <mergeCell ref="Y393:Y396"/>
    <mergeCell ref="G392:G397"/>
    <mergeCell ref="H507:H512"/>
    <mergeCell ref="I507:I512"/>
    <mergeCell ref="J507:J512"/>
    <mergeCell ref="K507:K512"/>
    <mergeCell ref="L507:L512"/>
    <mergeCell ref="M507:M512"/>
    <mergeCell ref="AF507:AF512"/>
    <mergeCell ref="AG507:AG512"/>
    <mergeCell ref="AH507:AH512"/>
    <mergeCell ref="AI507:AI512"/>
    <mergeCell ref="AJ507:AJ512"/>
    <mergeCell ref="AK507:AK512"/>
    <mergeCell ref="N508:N511"/>
    <mergeCell ref="O508:O511"/>
    <mergeCell ref="P508:P511"/>
    <mergeCell ref="Q508:Q511"/>
    <mergeCell ref="R508:R511"/>
    <mergeCell ref="S508:S511"/>
    <mergeCell ref="T508:T511"/>
    <mergeCell ref="U508:U511"/>
    <mergeCell ref="V508:V511"/>
    <mergeCell ref="W508:W511"/>
    <mergeCell ref="X508:X511"/>
    <mergeCell ref="Y508:Y511"/>
    <mergeCell ref="G507:G512"/>
    <mergeCell ref="H622:H627"/>
    <mergeCell ref="I622:I627"/>
    <mergeCell ref="J622:J627"/>
    <mergeCell ref="K622:K627"/>
    <mergeCell ref="L622:L627"/>
    <mergeCell ref="M622:M627"/>
    <mergeCell ref="AF622:AF627"/>
    <mergeCell ref="AG622:AG627"/>
    <mergeCell ref="AH622:AH627"/>
    <mergeCell ref="AI622:AI627"/>
    <mergeCell ref="AJ622:AJ627"/>
    <mergeCell ref="AK622:AK627"/>
    <mergeCell ref="N623:N626"/>
    <mergeCell ref="O623:O626"/>
    <mergeCell ref="P623:P626"/>
    <mergeCell ref="Q623:Q626"/>
    <mergeCell ref="R623:R626"/>
    <mergeCell ref="S623:S626"/>
    <mergeCell ref="T623:T626"/>
    <mergeCell ref="U623:U626"/>
    <mergeCell ref="V623:V626"/>
    <mergeCell ref="W623:W626"/>
    <mergeCell ref="X623:X626"/>
    <mergeCell ref="Y623:Y626"/>
    <mergeCell ref="G622:G627"/>
    <mergeCell ref="H729:H734"/>
    <mergeCell ref="I729:I734"/>
    <mergeCell ref="J729:J734"/>
    <mergeCell ref="K729:K734"/>
    <mergeCell ref="L729:L734"/>
    <mergeCell ref="M729:M734"/>
    <mergeCell ref="AF729:AF734"/>
    <mergeCell ref="AG729:AG734"/>
    <mergeCell ref="AH729:AH734"/>
    <mergeCell ref="AI729:AI734"/>
    <mergeCell ref="AJ729:AJ734"/>
    <mergeCell ref="AK729:AK734"/>
    <mergeCell ref="N730:N733"/>
    <mergeCell ref="O730:O733"/>
    <mergeCell ref="P730:P733"/>
    <mergeCell ref="Q730:Q733"/>
    <mergeCell ref="R730:R733"/>
    <mergeCell ref="S730:S733"/>
    <mergeCell ref="T730:T733"/>
    <mergeCell ref="U730:U733"/>
    <mergeCell ref="V730:V733"/>
    <mergeCell ref="W730:W733"/>
    <mergeCell ref="X730:X733"/>
    <mergeCell ref="Y730:Y733"/>
    <mergeCell ref="G729:G734"/>
    <mergeCell ref="H159:H164"/>
    <mergeCell ref="I159:I164"/>
    <mergeCell ref="J159:J164"/>
    <mergeCell ref="K159:K164"/>
    <mergeCell ref="L159:L164"/>
    <mergeCell ref="M159:M164"/>
    <mergeCell ref="AF159:AF164"/>
    <mergeCell ref="AG159:AG164"/>
    <mergeCell ref="AH159:AH164"/>
    <mergeCell ref="AI159:AI164"/>
    <mergeCell ref="AJ159:AJ164"/>
    <mergeCell ref="AK159:AK164"/>
    <mergeCell ref="N160:N163"/>
    <mergeCell ref="O160:O163"/>
    <mergeCell ref="P160:P163"/>
    <mergeCell ref="Q160:Q163"/>
    <mergeCell ref="R160:R163"/>
    <mergeCell ref="S160:S163"/>
    <mergeCell ref="T160:T163"/>
    <mergeCell ref="U160:U163"/>
    <mergeCell ref="V160:V163"/>
    <mergeCell ref="W160:W163"/>
    <mergeCell ref="X160:X163"/>
    <mergeCell ref="Y160:Y163"/>
    <mergeCell ref="G159:G164"/>
    <mergeCell ref="H165:H170"/>
    <mergeCell ref="I165:I170"/>
    <mergeCell ref="J165:J170"/>
    <mergeCell ref="K165:K170"/>
    <mergeCell ref="L165:L170"/>
    <mergeCell ref="M165:M170"/>
    <mergeCell ref="AF165:AF170"/>
    <mergeCell ref="AG165:AG170"/>
    <mergeCell ref="AH165:AH170"/>
    <mergeCell ref="AI165:AI170"/>
    <mergeCell ref="AJ165:AJ170"/>
    <mergeCell ref="AK165:AK170"/>
    <mergeCell ref="N166:N169"/>
    <mergeCell ref="O166:O169"/>
    <mergeCell ref="P166:P169"/>
    <mergeCell ref="Q166:Q169"/>
    <mergeCell ref="R166:R169"/>
    <mergeCell ref="S166:S169"/>
    <mergeCell ref="T166:T169"/>
    <mergeCell ref="U166:U169"/>
    <mergeCell ref="V166:V169"/>
    <mergeCell ref="W166:W169"/>
    <mergeCell ref="X166:X169"/>
    <mergeCell ref="Y166:Y169"/>
    <mergeCell ref="G165:G170"/>
    <mergeCell ref="H398:H403"/>
    <mergeCell ref="I398:I403"/>
    <mergeCell ref="J398:J403"/>
    <mergeCell ref="K398:K403"/>
    <mergeCell ref="L398:L403"/>
    <mergeCell ref="M398:M403"/>
    <mergeCell ref="AF398:AF403"/>
    <mergeCell ref="AG398:AG403"/>
    <mergeCell ref="AH398:AH403"/>
    <mergeCell ref="AI398:AI403"/>
    <mergeCell ref="AJ398:AJ403"/>
    <mergeCell ref="AK398:AK403"/>
    <mergeCell ref="N399:N402"/>
    <mergeCell ref="O399:O402"/>
    <mergeCell ref="P399:P402"/>
    <mergeCell ref="Q399:Q402"/>
    <mergeCell ref="R399:R402"/>
    <mergeCell ref="S399:S402"/>
    <mergeCell ref="T399:T402"/>
    <mergeCell ref="U399:U402"/>
    <mergeCell ref="V399:V402"/>
    <mergeCell ref="W399:W402"/>
    <mergeCell ref="X399:X402"/>
    <mergeCell ref="Y399:Y402"/>
    <mergeCell ref="G398:G403"/>
    <mergeCell ref="H513:H518"/>
    <mergeCell ref="I513:I518"/>
    <mergeCell ref="J513:J518"/>
    <mergeCell ref="K513:K518"/>
    <mergeCell ref="L513:L518"/>
    <mergeCell ref="M513:M518"/>
    <mergeCell ref="AF513:AF518"/>
    <mergeCell ref="AG513:AG518"/>
    <mergeCell ref="AH513:AH518"/>
    <mergeCell ref="AI513:AI518"/>
    <mergeCell ref="AJ513:AJ518"/>
    <mergeCell ref="AK513:AK518"/>
    <mergeCell ref="N514:N517"/>
    <mergeCell ref="O514:O517"/>
    <mergeCell ref="P514:P517"/>
    <mergeCell ref="Q514:Q517"/>
    <mergeCell ref="R514:R517"/>
    <mergeCell ref="S514:S517"/>
    <mergeCell ref="T514:T517"/>
    <mergeCell ref="U514:U517"/>
    <mergeCell ref="V514:V517"/>
    <mergeCell ref="W514:W517"/>
    <mergeCell ref="X514:X517"/>
    <mergeCell ref="Y514:Y517"/>
    <mergeCell ref="G513:G518"/>
    <mergeCell ref="H628:H633"/>
    <mergeCell ref="I628:I633"/>
    <mergeCell ref="J628:J633"/>
    <mergeCell ref="K628:K633"/>
    <mergeCell ref="L628:L633"/>
    <mergeCell ref="M628:M633"/>
    <mergeCell ref="AF628:AF633"/>
    <mergeCell ref="AG628:AG633"/>
    <mergeCell ref="AH628:AH633"/>
    <mergeCell ref="AI628:AI633"/>
    <mergeCell ref="AJ628:AJ633"/>
    <mergeCell ref="AK628:AK633"/>
    <mergeCell ref="N629:N632"/>
    <mergeCell ref="O629:O632"/>
    <mergeCell ref="P629:P632"/>
    <mergeCell ref="Q629:Q632"/>
    <mergeCell ref="R629:R632"/>
    <mergeCell ref="S629:S632"/>
    <mergeCell ref="T629:T632"/>
    <mergeCell ref="U629:U632"/>
    <mergeCell ref="V629:V632"/>
    <mergeCell ref="W629:W632"/>
    <mergeCell ref="X629:X632"/>
    <mergeCell ref="Y629:Y632"/>
    <mergeCell ref="G628:G633"/>
    <mergeCell ref="H171:H176"/>
    <mergeCell ref="I171:I176"/>
    <mergeCell ref="J171:J176"/>
    <mergeCell ref="K171:K176"/>
    <mergeCell ref="L171:L176"/>
    <mergeCell ref="M171:M176"/>
    <mergeCell ref="AF171:AF176"/>
    <mergeCell ref="AG171:AG176"/>
    <mergeCell ref="AH171:AH176"/>
    <mergeCell ref="AI171:AI176"/>
    <mergeCell ref="AJ171:AJ176"/>
    <mergeCell ref="AK171:AK176"/>
    <mergeCell ref="N172:N175"/>
    <mergeCell ref="O172:O175"/>
    <mergeCell ref="P172:P175"/>
    <mergeCell ref="Q172:Q175"/>
    <mergeCell ref="R172:R175"/>
    <mergeCell ref="S172:S175"/>
    <mergeCell ref="T172:T175"/>
    <mergeCell ref="U172:U175"/>
    <mergeCell ref="V172:V175"/>
    <mergeCell ref="W172:W175"/>
    <mergeCell ref="X172:X175"/>
    <mergeCell ref="Y172:Y175"/>
    <mergeCell ref="G171:G176"/>
    <mergeCell ref="H177:H182"/>
    <mergeCell ref="I177:I182"/>
    <mergeCell ref="J177:J182"/>
    <mergeCell ref="K177:K182"/>
    <mergeCell ref="L177:L182"/>
    <mergeCell ref="M177:M182"/>
    <mergeCell ref="AF177:AF182"/>
    <mergeCell ref="AG177:AG182"/>
    <mergeCell ref="AH177:AH182"/>
    <mergeCell ref="AI177:AI182"/>
    <mergeCell ref="AJ177:AJ182"/>
    <mergeCell ref="AK177:AK182"/>
    <mergeCell ref="N178:N181"/>
    <mergeCell ref="O178:O181"/>
    <mergeCell ref="P178:P181"/>
    <mergeCell ref="Q178:Q181"/>
    <mergeCell ref="R178:R181"/>
    <mergeCell ref="S178:S181"/>
    <mergeCell ref="T178:T181"/>
    <mergeCell ref="U178:U181"/>
    <mergeCell ref="V178:V181"/>
    <mergeCell ref="W178:W181"/>
    <mergeCell ref="X178:X181"/>
    <mergeCell ref="Y178:Y181"/>
    <mergeCell ref="G177:G182"/>
    <mergeCell ref="H183:H188"/>
    <mergeCell ref="I183:I188"/>
    <mergeCell ref="J183:J188"/>
    <mergeCell ref="K183:K188"/>
    <mergeCell ref="L183:L188"/>
    <mergeCell ref="M183:M188"/>
    <mergeCell ref="AF183:AF188"/>
    <mergeCell ref="AG183:AG188"/>
    <mergeCell ref="AH183:AH188"/>
    <mergeCell ref="AI183:AI188"/>
    <mergeCell ref="AJ183:AJ188"/>
    <mergeCell ref="AK183:AK188"/>
    <mergeCell ref="N184:N187"/>
    <mergeCell ref="O184:O187"/>
    <mergeCell ref="P184:P187"/>
    <mergeCell ref="Q184:Q187"/>
    <mergeCell ref="R184:R187"/>
    <mergeCell ref="S184:S187"/>
    <mergeCell ref="T184:T187"/>
    <mergeCell ref="U184:U187"/>
    <mergeCell ref="V184:V187"/>
    <mergeCell ref="W184:W187"/>
    <mergeCell ref="X184:X187"/>
    <mergeCell ref="Y184:Y187"/>
    <mergeCell ref="G183:G188"/>
    <mergeCell ref="H404:H409"/>
    <mergeCell ref="I404:I409"/>
    <mergeCell ref="J404:J409"/>
    <mergeCell ref="K404:K409"/>
    <mergeCell ref="L404:L409"/>
    <mergeCell ref="M404:M409"/>
    <mergeCell ref="AF404:AF409"/>
    <mergeCell ref="AG404:AG409"/>
    <mergeCell ref="AH404:AH409"/>
    <mergeCell ref="AI404:AI409"/>
    <mergeCell ref="AJ404:AJ409"/>
    <mergeCell ref="AK404:AK409"/>
    <mergeCell ref="N405:N408"/>
    <mergeCell ref="O405:O408"/>
    <mergeCell ref="P405:P408"/>
    <mergeCell ref="Q405:Q408"/>
    <mergeCell ref="R405:R408"/>
    <mergeCell ref="S405:S408"/>
    <mergeCell ref="T405:T408"/>
    <mergeCell ref="U405:U408"/>
    <mergeCell ref="V405:V408"/>
    <mergeCell ref="W405:W408"/>
    <mergeCell ref="X405:X408"/>
    <mergeCell ref="Y405:Y408"/>
    <mergeCell ref="G404:G409"/>
    <mergeCell ref="H189:H194"/>
    <mergeCell ref="I189:I194"/>
    <mergeCell ref="J189:J194"/>
    <mergeCell ref="K189:K194"/>
    <mergeCell ref="L189:L194"/>
    <mergeCell ref="M189:M194"/>
    <mergeCell ref="AF189:AF194"/>
    <mergeCell ref="AG189:AG194"/>
    <mergeCell ref="AH189:AH194"/>
    <mergeCell ref="AI189:AI194"/>
    <mergeCell ref="AJ189:AJ194"/>
    <mergeCell ref="AK189:AK194"/>
    <mergeCell ref="N190:N193"/>
    <mergeCell ref="O190:O193"/>
    <mergeCell ref="P190:P193"/>
    <mergeCell ref="Q190:Q193"/>
    <mergeCell ref="R190:R193"/>
    <mergeCell ref="S190:S193"/>
    <mergeCell ref="T190:T193"/>
    <mergeCell ref="U190:U193"/>
    <mergeCell ref="V190:V193"/>
    <mergeCell ref="W190:W193"/>
    <mergeCell ref="X190:X193"/>
    <mergeCell ref="Y190:Y193"/>
    <mergeCell ref="G189:G194"/>
    <mergeCell ref="H410:H415"/>
    <mergeCell ref="I410:I415"/>
    <mergeCell ref="J410:J415"/>
    <mergeCell ref="K410:K415"/>
    <mergeCell ref="L410:L415"/>
    <mergeCell ref="M410:M415"/>
    <mergeCell ref="AF410:AF415"/>
    <mergeCell ref="AG410:AG415"/>
    <mergeCell ref="AH410:AH415"/>
    <mergeCell ref="AI410:AI415"/>
    <mergeCell ref="AJ410:AJ415"/>
    <mergeCell ref="AK410:AK415"/>
    <mergeCell ref="N411:N414"/>
    <mergeCell ref="O411:O414"/>
    <mergeCell ref="P411:P414"/>
    <mergeCell ref="Q411:Q414"/>
    <mergeCell ref="R411:R414"/>
    <mergeCell ref="S411:S414"/>
    <mergeCell ref="T411:T414"/>
    <mergeCell ref="U411:U414"/>
    <mergeCell ref="V411:V414"/>
    <mergeCell ref="W411:W414"/>
    <mergeCell ref="X411:X414"/>
    <mergeCell ref="Y411:Y414"/>
    <mergeCell ref="G410:G415"/>
    <mergeCell ref="H195:H200"/>
    <mergeCell ref="I195:I200"/>
    <mergeCell ref="J195:J200"/>
    <mergeCell ref="K195:K200"/>
    <mergeCell ref="L195:L200"/>
    <mergeCell ref="M195:M200"/>
    <mergeCell ref="AF195:AF200"/>
    <mergeCell ref="AG195:AG200"/>
    <mergeCell ref="AH195:AH200"/>
    <mergeCell ref="AI195:AI200"/>
    <mergeCell ref="AJ195:AJ200"/>
    <mergeCell ref="AK195:AK200"/>
    <mergeCell ref="N196:N199"/>
    <mergeCell ref="O196:O199"/>
    <mergeCell ref="P196:P199"/>
    <mergeCell ref="Q196:Q199"/>
    <mergeCell ref="R196:R199"/>
    <mergeCell ref="S196:S199"/>
    <mergeCell ref="T196:T199"/>
    <mergeCell ref="U196:U199"/>
    <mergeCell ref="V196:V199"/>
    <mergeCell ref="W196:W199"/>
    <mergeCell ref="X196:X199"/>
    <mergeCell ref="Y196:Y199"/>
    <mergeCell ref="G195:G200"/>
    <mergeCell ref="H201:H206"/>
    <mergeCell ref="I201:I206"/>
    <mergeCell ref="J201:J206"/>
    <mergeCell ref="K201:K206"/>
    <mergeCell ref="L201:L206"/>
    <mergeCell ref="M201:M206"/>
    <mergeCell ref="AF201:AF206"/>
    <mergeCell ref="AG201:AG206"/>
    <mergeCell ref="AH201:AH206"/>
    <mergeCell ref="AI201:AI206"/>
    <mergeCell ref="AJ201:AJ206"/>
    <mergeCell ref="AK201:AK206"/>
    <mergeCell ref="N202:N205"/>
    <mergeCell ref="O202:O205"/>
    <mergeCell ref="P202:P205"/>
    <mergeCell ref="Q202:Q205"/>
    <mergeCell ref="R202:R205"/>
    <mergeCell ref="S202:S205"/>
    <mergeCell ref="T202:T205"/>
    <mergeCell ref="U202:U205"/>
    <mergeCell ref="V202:V205"/>
    <mergeCell ref="W202:W205"/>
    <mergeCell ref="X202:X205"/>
    <mergeCell ref="Y202:Y205"/>
    <mergeCell ref="G201:G206"/>
    <mergeCell ref="H207:H213"/>
    <mergeCell ref="I207:I213"/>
    <mergeCell ref="J207:J213"/>
    <mergeCell ref="K207:K213"/>
    <mergeCell ref="L207:L213"/>
    <mergeCell ref="M207:M213"/>
    <mergeCell ref="AF207:AF213"/>
    <mergeCell ref="AG207:AG213"/>
    <mergeCell ref="AH207:AH213"/>
    <mergeCell ref="AI207:AI213"/>
    <mergeCell ref="AJ207:AJ213"/>
    <mergeCell ref="AK207:AK213"/>
    <mergeCell ref="N208:N212"/>
    <mergeCell ref="O208:O212"/>
    <mergeCell ref="P208:P212"/>
    <mergeCell ref="Q208:Q212"/>
    <mergeCell ref="R208:R212"/>
    <mergeCell ref="S208:S212"/>
    <mergeCell ref="T208:T212"/>
    <mergeCell ref="U208:U212"/>
    <mergeCell ref="V208:V212"/>
    <mergeCell ref="W208:W212"/>
    <mergeCell ref="X208:X212"/>
    <mergeCell ref="Y208:Y212"/>
    <mergeCell ref="G207:G213"/>
    <mergeCell ref="H214:H220"/>
    <mergeCell ref="I214:I220"/>
    <mergeCell ref="J214:J220"/>
    <mergeCell ref="K214:K220"/>
    <mergeCell ref="L214:L220"/>
    <mergeCell ref="M214:M220"/>
    <mergeCell ref="AF214:AF220"/>
    <mergeCell ref="AG214:AG220"/>
    <mergeCell ref="AH214:AH220"/>
    <mergeCell ref="AI214:AI220"/>
    <mergeCell ref="AJ214:AJ220"/>
    <mergeCell ref="AK214:AK220"/>
    <mergeCell ref="N215:N219"/>
    <mergeCell ref="O215:O219"/>
    <mergeCell ref="P215:P219"/>
    <mergeCell ref="Q215:Q219"/>
    <mergeCell ref="R215:R219"/>
    <mergeCell ref="S215:S219"/>
    <mergeCell ref="T215:T219"/>
    <mergeCell ref="U215:U219"/>
    <mergeCell ref="V215:V219"/>
    <mergeCell ref="W215:W219"/>
    <mergeCell ref="X215:X219"/>
    <mergeCell ref="Y215:Y219"/>
    <mergeCell ref="G214:G220"/>
    <mergeCell ref="H221:H227"/>
    <mergeCell ref="I221:I227"/>
    <mergeCell ref="J221:J227"/>
    <mergeCell ref="K221:K227"/>
    <mergeCell ref="L221:L227"/>
    <mergeCell ref="M221:M227"/>
    <mergeCell ref="AF221:AF227"/>
    <mergeCell ref="AG221:AG227"/>
    <mergeCell ref="AH221:AH227"/>
    <mergeCell ref="AI221:AI227"/>
    <mergeCell ref="AJ221:AJ227"/>
    <mergeCell ref="AK221:AK227"/>
    <mergeCell ref="N222:N226"/>
    <mergeCell ref="O222:O226"/>
    <mergeCell ref="P222:P226"/>
    <mergeCell ref="Q222:Q226"/>
    <mergeCell ref="R222:R226"/>
    <mergeCell ref="S222:S226"/>
    <mergeCell ref="T222:T226"/>
    <mergeCell ref="U222:U226"/>
    <mergeCell ref="V222:V226"/>
    <mergeCell ref="W222:W226"/>
    <mergeCell ref="X222:X226"/>
    <mergeCell ref="Y222:Y226"/>
    <mergeCell ref="G221:G227"/>
    <mergeCell ref="H228:H232"/>
    <mergeCell ref="I228:I232"/>
    <mergeCell ref="J228:J232"/>
    <mergeCell ref="K228:K232"/>
    <mergeCell ref="L228:L232"/>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28:G232"/>
    <mergeCell ref="H233:H238"/>
    <mergeCell ref="I233:I238"/>
    <mergeCell ref="J233:J238"/>
    <mergeCell ref="K233:K238"/>
    <mergeCell ref="L233:L238"/>
    <mergeCell ref="M233:M238"/>
    <mergeCell ref="AF233:AF238"/>
    <mergeCell ref="AG233:AG238"/>
    <mergeCell ref="AH233:AH238"/>
    <mergeCell ref="AI233:AI238"/>
    <mergeCell ref="AJ233:AJ238"/>
    <mergeCell ref="AK233:AK238"/>
    <mergeCell ref="N234:N237"/>
    <mergeCell ref="O234:O237"/>
    <mergeCell ref="P234:P237"/>
    <mergeCell ref="Q234:Q237"/>
    <mergeCell ref="R234:R237"/>
    <mergeCell ref="S234:S237"/>
    <mergeCell ref="T234:T237"/>
    <mergeCell ref="U234:U237"/>
    <mergeCell ref="V234:V237"/>
    <mergeCell ref="W234:W237"/>
    <mergeCell ref="X234:X237"/>
    <mergeCell ref="Y234:Y237"/>
    <mergeCell ref="G233:G238"/>
    <mergeCell ref="H416:H422"/>
    <mergeCell ref="I416:I422"/>
    <mergeCell ref="J416:J422"/>
    <mergeCell ref="K416:K422"/>
    <mergeCell ref="L416:L422"/>
    <mergeCell ref="M416:M422"/>
    <mergeCell ref="AF416:AF422"/>
    <mergeCell ref="AG416:AG422"/>
    <mergeCell ref="AH416:AH422"/>
    <mergeCell ref="AI416:AI422"/>
    <mergeCell ref="AJ416:AJ422"/>
    <mergeCell ref="AK416:AK422"/>
    <mergeCell ref="N417:N421"/>
    <mergeCell ref="O417:O421"/>
    <mergeCell ref="P417:P421"/>
    <mergeCell ref="Q417:Q421"/>
    <mergeCell ref="R417:R421"/>
    <mergeCell ref="S417:S421"/>
    <mergeCell ref="T417:T421"/>
    <mergeCell ref="U417:U421"/>
    <mergeCell ref="V417:V421"/>
    <mergeCell ref="W417:W421"/>
    <mergeCell ref="X417:X421"/>
    <mergeCell ref="Y417:Y421"/>
    <mergeCell ref="G416:G422"/>
    <mergeCell ref="H519:H525"/>
    <mergeCell ref="I519:I525"/>
    <mergeCell ref="J519:J525"/>
    <mergeCell ref="K519:K525"/>
    <mergeCell ref="L519:L525"/>
    <mergeCell ref="M519:M525"/>
    <mergeCell ref="AF519:AF525"/>
    <mergeCell ref="AG519:AG525"/>
    <mergeCell ref="AH519:AH525"/>
    <mergeCell ref="AI519:AI525"/>
    <mergeCell ref="AJ519:AJ525"/>
    <mergeCell ref="AK519:AK525"/>
    <mergeCell ref="N520:N524"/>
    <mergeCell ref="O520:O524"/>
    <mergeCell ref="P520:P524"/>
    <mergeCell ref="Q520:Q524"/>
    <mergeCell ref="R520:R524"/>
    <mergeCell ref="S520:S524"/>
    <mergeCell ref="T520:T524"/>
    <mergeCell ref="U520:U524"/>
    <mergeCell ref="V520:V524"/>
    <mergeCell ref="W520:W524"/>
    <mergeCell ref="X520:X524"/>
    <mergeCell ref="Y520:Y524"/>
    <mergeCell ref="G519:G525"/>
    <mergeCell ref="H634:H639"/>
    <mergeCell ref="I634:I639"/>
    <mergeCell ref="J634:J639"/>
    <mergeCell ref="K634:K639"/>
    <mergeCell ref="L634:L639"/>
    <mergeCell ref="M634:M639"/>
    <mergeCell ref="AF634:AF639"/>
    <mergeCell ref="AG634:AG639"/>
    <mergeCell ref="AH634:AH639"/>
    <mergeCell ref="AI634:AI639"/>
    <mergeCell ref="AJ634:AJ639"/>
    <mergeCell ref="AK634:AK639"/>
    <mergeCell ref="N635:N638"/>
    <mergeCell ref="O635:O638"/>
    <mergeCell ref="P635:P638"/>
    <mergeCell ref="Q635:Q638"/>
    <mergeCell ref="R635:R638"/>
    <mergeCell ref="S635:S638"/>
    <mergeCell ref="T635:T638"/>
    <mergeCell ref="U635:U638"/>
    <mergeCell ref="V635:V638"/>
    <mergeCell ref="W635:W638"/>
    <mergeCell ref="X635:X638"/>
    <mergeCell ref="Y635:Y638"/>
    <mergeCell ref="G634:G639"/>
    <mergeCell ref="H640:H645"/>
    <mergeCell ref="I640:I645"/>
    <mergeCell ref="J640:J645"/>
    <mergeCell ref="K640:K645"/>
    <mergeCell ref="L640:L645"/>
    <mergeCell ref="M640:M645"/>
    <mergeCell ref="AF640:AF645"/>
    <mergeCell ref="AG640:AG645"/>
    <mergeCell ref="AH640:AH645"/>
    <mergeCell ref="AI640:AI645"/>
    <mergeCell ref="AJ640:AJ645"/>
    <mergeCell ref="AK640:AK645"/>
    <mergeCell ref="N641:N644"/>
    <mergeCell ref="O641:O644"/>
    <mergeCell ref="P641:P644"/>
    <mergeCell ref="Q641:Q644"/>
    <mergeCell ref="R641:R644"/>
    <mergeCell ref="S641:S644"/>
    <mergeCell ref="T641:T644"/>
    <mergeCell ref="U641:U644"/>
    <mergeCell ref="V641:V644"/>
    <mergeCell ref="W641:W644"/>
    <mergeCell ref="X641:X644"/>
    <mergeCell ref="Y641:Y644"/>
    <mergeCell ref="G640:G645"/>
    <mergeCell ref="H239:H244"/>
    <mergeCell ref="I239:I244"/>
    <mergeCell ref="J239:J244"/>
    <mergeCell ref="K239:K244"/>
    <mergeCell ref="L239:L244"/>
    <mergeCell ref="M239:M244"/>
    <mergeCell ref="AF239:AF244"/>
    <mergeCell ref="AG239:AG244"/>
    <mergeCell ref="AH239:AH244"/>
    <mergeCell ref="AI239:AI244"/>
    <mergeCell ref="AJ239:AJ244"/>
    <mergeCell ref="AK239:AK244"/>
    <mergeCell ref="N240:N243"/>
    <mergeCell ref="O240:O243"/>
    <mergeCell ref="P240:P243"/>
    <mergeCell ref="Q240:Q243"/>
    <mergeCell ref="R240:R243"/>
    <mergeCell ref="S240:S243"/>
    <mergeCell ref="T240:T243"/>
    <mergeCell ref="U240:U243"/>
    <mergeCell ref="V240:V243"/>
    <mergeCell ref="W240:W243"/>
    <mergeCell ref="X240:X243"/>
    <mergeCell ref="Y240:Y243"/>
    <mergeCell ref="G239:G244"/>
    <mergeCell ref="H245:H250"/>
    <mergeCell ref="I245:I250"/>
    <mergeCell ref="J245:J250"/>
    <mergeCell ref="K245:K250"/>
    <mergeCell ref="L245:L250"/>
    <mergeCell ref="M245:M250"/>
    <mergeCell ref="AF245:AF250"/>
    <mergeCell ref="AG245:AG250"/>
    <mergeCell ref="AH245:AH250"/>
    <mergeCell ref="AI245:AI250"/>
    <mergeCell ref="AJ245:AJ250"/>
    <mergeCell ref="AK245:AK250"/>
    <mergeCell ref="N246:N249"/>
    <mergeCell ref="O246:O249"/>
    <mergeCell ref="P246:P249"/>
    <mergeCell ref="Q246:Q249"/>
    <mergeCell ref="R246:R249"/>
    <mergeCell ref="S246:S249"/>
    <mergeCell ref="T246:T249"/>
    <mergeCell ref="U246:U249"/>
    <mergeCell ref="V246:V249"/>
    <mergeCell ref="W246:W249"/>
    <mergeCell ref="X246:X249"/>
    <mergeCell ref="Y246:Y249"/>
    <mergeCell ref="G245:G250"/>
    <mergeCell ref="H423:H428"/>
    <mergeCell ref="I423:I428"/>
    <mergeCell ref="J423:J428"/>
    <mergeCell ref="K423:K428"/>
    <mergeCell ref="L423:L428"/>
    <mergeCell ref="M423:M428"/>
    <mergeCell ref="AF423:AF428"/>
    <mergeCell ref="AG423:AG428"/>
    <mergeCell ref="AH423:AH428"/>
    <mergeCell ref="AI423:AI428"/>
    <mergeCell ref="AJ423:AJ428"/>
    <mergeCell ref="AK423:AK428"/>
    <mergeCell ref="N424:N427"/>
    <mergeCell ref="O424:O427"/>
    <mergeCell ref="P424:P427"/>
    <mergeCell ref="Q424:Q427"/>
    <mergeCell ref="R424:R427"/>
    <mergeCell ref="S424:S427"/>
    <mergeCell ref="T424:T427"/>
    <mergeCell ref="U424:U427"/>
    <mergeCell ref="V424:V427"/>
    <mergeCell ref="W424:W427"/>
    <mergeCell ref="X424:X427"/>
    <mergeCell ref="Y424:Y427"/>
    <mergeCell ref="G423:G428"/>
    <mergeCell ref="H429:H434"/>
    <mergeCell ref="I429:I434"/>
    <mergeCell ref="J429:J434"/>
    <mergeCell ref="K429:K434"/>
    <mergeCell ref="L429:L434"/>
    <mergeCell ref="M429:M434"/>
    <mergeCell ref="AF429:AF434"/>
    <mergeCell ref="AG429:AG434"/>
    <mergeCell ref="AH429:AH434"/>
    <mergeCell ref="AI429:AI434"/>
    <mergeCell ref="AJ429:AJ434"/>
    <mergeCell ref="AK429:AK434"/>
    <mergeCell ref="N430:N433"/>
    <mergeCell ref="O430:O433"/>
    <mergeCell ref="P430:P433"/>
    <mergeCell ref="Q430:Q433"/>
    <mergeCell ref="R430:R433"/>
    <mergeCell ref="S430:S433"/>
    <mergeCell ref="T430:T433"/>
    <mergeCell ref="U430:U433"/>
    <mergeCell ref="V430:V433"/>
    <mergeCell ref="W430:W433"/>
    <mergeCell ref="X430:X433"/>
    <mergeCell ref="Y430:Y433"/>
    <mergeCell ref="G429:G434"/>
    <mergeCell ref="H526:H531"/>
    <mergeCell ref="I526:I531"/>
    <mergeCell ref="J526:J531"/>
    <mergeCell ref="K526:K531"/>
    <mergeCell ref="L526:L531"/>
    <mergeCell ref="M526:M531"/>
    <mergeCell ref="AF526:AF531"/>
    <mergeCell ref="AG526:AG531"/>
    <mergeCell ref="AH526:AH531"/>
    <mergeCell ref="AI526:AI531"/>
    <mergeCell ref="AJ526:AJ531"/>
    <mergeCell ref="AK526:AK531"/>
    <mergeCell ref="N527:N530"/>
    <mergeCell ref="O527:O530"/>
    <mergeCell ref="P527:P530"/>
    <mergeCell ref="Q527:Q530"/>
    <mergeCell ref="R527:R530"/>
    <mergeCell ref="S527:S530"/>
    <mergeCell ref="T527:T530"/>
    <mergeCell ref="U527:U530"/>
    <mergeCell ref="V527:V530"/>
    <mergeCell ref="W527:W530"/>
    <mergeCell ref="X527:X530"/>
    <mergeCell ref="Y527:Y530"/>
    <mergeCell ref="G526:G531"/>
    <mergeCell ref="H532:H537"/>
    <mergeCell ref="I532:I537"/>
    <mergeCell ref="J532:J537"/>
    <mergeCell ref="K532:K537"/>
    <mergeCell ref="L532:L537"/>
    <mergeCell ref="M532:M537"/>
    <mergeCell ref="AF532:AF537"/>
    <mergeCell ref="AG532:AG537"/>
    <mergeCell ref="AH532:AH537"/>
    <mergeCell ref="AI532:AI537"/>
    <mergeCell ref="AJ532:AJ537"/>
    <mergeCell ref="AK532:AK537"/>
    <mergeCell ref="N533:N536"/>
    <mergeCell ref="O533:O536"/>
    <mergeCell ref="P533:P536"/>
    <mergeCell ref="Q533:Q536"/>
    <mergeCell ref="R533:R536"/>
    <mergeCell ref="S533:S536"/>
    <mergeCell ref="T533:T536"/>
    <mergeCell ref="U533:U536"/>
    <mergeCell ref="V533:V536"/>
    <mergeCell ref="W533:W536"/>
    <mergeCell ref="X533:X536"/>
    <mergeCell ref="Y533:Y536"/>
    <mergeCell ref="G532:G537"/>
    <mergeCell ref="H646:H651"/>
    <mergeCell ref="I646:I651"/>
    <mergeCell ref="J646:J651"/>
    <mergeCell ref="K646:K651"/>
    <mergeCell ref="L646:L651"/>
    <mergeCell ref="M646:M651"/>
    <mergeCell ref="AF646:AF651"/>
    <mergeCell ref="AG646:AG651"/>
    <mergeCell ref="AH646:AH651"/>
    <mergeCell ref="AI646:AI651"/>
    <mergeCell ref="AJ646:AJ651"/>
    <mergeCell ref="AK646:AK651"/>
    <mergeCell ref="N647:N650"/>
    <mergeCell ref="O647:O650"/>
    <mergeCell ref="P647:P650"/>
    <mergeCell ref="Q647:Q650"/>
    <mergeCell ref="R647:R650"/>
    <mergeCell ref="S647:S650"/>
    <mergeCell ref="T647:T650"/>
    <mergeCell ref="U647:U650"/>
    <mergeCell ref="V647:V650"/>
    <mergeCell ref="W647:W650"/>
    <mergeCell ref="X647:X650"/>
    <mergeCell ref="Y647:Y650"/>
    <mergeCell ref="G646:G651"/>
    <mergeCell ref="H688:H693"/>
    <mergeCell ref="I688:I693"/>
    <mergeCell ref="J688:J693"/>
    <mergeCell ref="K688:K693"/>
    <mergeCell ref="L688:L693"/>
    <mergeCell ref="M688:M693"/>
    <mergeCell ref="AF688:AF693"/>
    <mergeCell ref="AG688:AG693"/>
    <mergeCell ref="AH688:AH693"/>
    <mergeCell ref="AI688:AI693"/>
    <mergeCell ref="AJ688:AJ693"/>
    <mergeCell ref="AK688:AK693"/>
    <mergeCell ref="N689:N692"/>
    <mergeCell ref="O689:O692"/>
    <mergeCell ref="P689:P692"/>
    <mergeCell ref="Q689:Q692"/>
    <mergeCell ref="R689:R692"/>
    <mergeCell ref="S689:S692"/>
    <mergeCell ref="T689:T692"/>
    <mergeCell ref="U689:U692"/>
    <mergeCell ref="V689:V692"/>
    <mergeCell ref="W689:W692"/>
    <mergeCell ref="X689:X692"/>
    <mergeCell ref="Y689:Y692"/>
    <mergeCell ref="G688:G693"/>
    <mergeCell ref="H694:H699"/>
    <mergeCell ref="I694:I699"/>
    <mergeCell ref="J694:J699"/>
    <mergeCell ref="K694:K699"/>
    <mergeCell ref="L694:L699"/>
    <mergeCell ref="M694:M699"/>
    <mergeCell ref="AF694:AF699"/>
    <mergeCell ref="AG694:AG699"/>
    <mergeCell ref="AH694:AH699"/>
    <mergeCell ref="AI694:AI699"/>
    <mergeCell ref="AJ694:AJ699"/>
    <mergeCell ref="AK694:AK699"/>
    <mergeCell ref="N695:N698"/>
    <mergeCell ref="O695:O698"/>
    <mergeCell ref="P695:P698"/>
    <mergeCell ref="Q695:Q698"/>
    <mergeCell ref="R695:R698"/>
    <mergeCell ref="S695:S698"/>
    <mergeCell ref="T695:T698"/>
    <mergeCell ref="U695:U698"/>
    <mergeCell ref="V695:V698"/>
    <mergeCell ref="W695:W698"/>
    <mergeCell ref="X695:X698"/>
    <mergeCell ref="Y695:Y698"/>
    <mergeCell ref="G694:G699"/>
    <mergeCell ref="H735:H740"/>
    <mergeCell ref="I735:I740"/>
    <mergeCell ref="J735:J740"/>
    <mergeCell ref="K735:K740"/>
    <mergeCell ref="L735:L740"/>
    <mergeCell ref="M735:M740"/>
    <mergeCell ref="AF735:AF740"/>
    <mergeCell ref="AG735:AG740"/>
    <mergeCell ref="AH735:AH740"/>
    <mergeCell ref="AI735:AI740"/>
    <mergeCell ref="AJ735:AJ740"/>
    <mergeCell ref="AK735:AK740"/>
    <mergeCell ref="N736:N739"/>
    <mergeCell ref="O736:O739"/>
    <mergeCell ref="P736:P739"/>
    <mergeCell ref="Q736:Q739"/>
    <mergeCell ref="R736:R739"/>
    <mergeCell ref="S736:S739"/>
    <mergeCell ref="T736:T739"/>
    <mergeCell ref="U736:U739"/>
    <mergeCell ref="V736:V739"/>
    <mergeCell ref="W736:W739"/>
    <mergeCell ref="X736:X739"/>
    <mergeCell ref="Y736:Y739"/>
    <mergeCell ref="G735:G740"/>
    <mergeCell ref="H741:H746"/>
    <mergeCell ref="I741:I746"/>
    <mergeCell ref="J741:J746"/>
    <mergeCell ref="K741:K746"/>
    <mergeCell ref="L741:L746"/>
    <mergeCell ref="M741:M746"/>
    <mergeCell ref="AF741:AF746"/>
    <mergeCell ref="AG741:AG746"/>
    <mergeCell ref="AH741:AH746"/>
    <mergeCell ref="AI741:AI746"/>
    <mergeCell ref="AJ741:AJ746"/>
    <mergeCell ref="AK741:AK746"/>
    <mergeCell ref="N742:N745"/>
    <mergeCell ref="O742:O745"/>
    <mergeCell ref="P742:P745"/>
    <mergeCell ref="Q742:Q745"/>
    <mergeCell ref="R742:R745"/>
    <mergeCell ref="S742:S745"/>
    <mergeCell ref="T742:T745"/>
    <mergeCell ref="U742:U745"/>
    <mergeCell ref="V742:V745"/>
    <mergeCell ref="W742:W745"/>
    <mergeCell ref="X742:X745"/>
    <mergeCell ref="Y742:Y745"/>
    <mergeCell ref="G741:G746"/>
    <mergeCell ref="H747:H752"/>
    <mergeCell ref="I747:I752"/>
    <mergeCell ref="J747:J752"/>
    <mergeCell ref="K747:K752"/>
    <mergeCell ref="L747:L752"/>
    <mergeCell ref="M747:M752"/>
    <mergeCell ref="AF747:AF752"/>
    <mergeCell ref="AG747:AG752"/>
    <mergeCell ref="AH747:AH752"/>
    <mergeCell ref="AI747:AI752"/>
    <mergeCell ref="AJ747:AJ752"/>
    <mergeCell ref="AK747:AK752"/>
    <mergeCell ref="N748:N751"/>
    <mergeCell ref="O748:O751"/>
    <mergeCell ref="P748:P751"/>
    <mergeCell ref="Q748:Q751"/>
    <mergeCell ref="R748:R751"/>
    <mergeCell ref="S748:S751"/>
    <mergeCell ref="T748:T751"/>
    <mergeCell ref="U748:U751"/>
    <mergeCell ref="V748:V751"/>
    <mergeCell ref="W748:W751"/>
    <mergeCell ref="X748:X751"/>
    <mergeCell ref="Y748:Y751"/>
    <mergeCell ref="G747:G752"/>
    <mergeCell ref="H652:H657"/>
    <mergeCell ref="I652:I657"/>
    <mergeCell ref="J652:J657"/>
    <mergeCell ref="K652:K657"/>
    <mergeCell ref="L652:L657"/>
    <mergeCell ref="M652:M657"/>
    <mergeCell ref="AF652:AF657"/>
    <mergeCell ref="AG652:AG657"/>
    <mergeCell ref="AH652:AH657"/>
    <mergeCell ref="AI652:AI657"/>
    <mergeCell ref="AJ652:AJ657"/>
    <mergeCell ref="AK652:AK657"/>
    <mergeCell ref="N653:N656"/>
    <mergeCell ref="O653:O656"/>
    <mergeCell ref="P653:P656"/>
    <mergeCell ref="Q653:Q656"/>
    <mergeCell ref="R653:R656"/>
    <mergeCell ref="S653:S656"/>
    <mergeCell ref="T653:T656"/>
    <mergeCell ref="U653:U656"/>
    <mergeCell ref="V653:V656"/>
    <mergeCell ref="W653:W656"/>
    <mergeCell ref="X653:X656"/>
    <mergeCell ref="Y653:Y656"/>
    <mergeCell ref="G652:G657"/>
    <mergeCell ref="H538:H543"/>
    <mergeCell ref="I538:I543"/>
    <mergeCell ref="J538:J543"/>
    <mergeCell ref="K538:K543"/>
    <mergeCell ref="L538:L543"/>
    <mergeCell ref="M538:M543"/>
    <mergeCell ref="AF538:AF543"/>
    <mergeCell ref="AG538:AG543"/>
    <mergeCell ref="AH538:AH543"/>
    <mergeCell ref="AI538:AI543"/>
    <mergeCell ref="AJ538:AJ543"/>
    <mergeCell ref="AK538:AK543"/>
    <mergeCell ref="N539:N542"/>
    <mergeCell ref="O539:O542"/>
    <mergeCell ref="P539:P542"/>
    <mergeCell ref="Q539:Q542"/>
    <mergeCell ref="R539:R542"/>
    <mergeCell ref="S539:S542"/>
    <mergeCell ref="T539:T542"/>
    <mergeCell ref="U539:U542"/>
    <mergeCell ref="V539:V542"/>
    <mergeCell ref="W539:W542"/>
    <mergeCell ref="X539:X542"/>
    <mergeCell ref="Y539:Y542"/>
    <mergeCell ref="G538:G543"/>
    <mergeCell ref="H251:H256"/>
    <mergeCell ref="I251:I256"/>
    <mergeCell ref="J251:J256"/>
    <mergeCell ref="K251:K256"/>
    <mergeCell ref="L251:L256"/>
    <mergeCell ref="M251:M256"/>
    <mergeCell ref="AF251:AF256"/>
    <mergeCell ref="AG251:AG256"/>
    <mergeCell ref="AH251:AH256"/>
    <mergeCell ref="AI251:AI256"/>
    <mergeCell ref="AJ251:AJ256"/>
    <mergeCell ref="AK251:AK256"/>
    <mergeCell ref="N252:N255"/>
    <mergeCell ref="O252:O255"/>
    <mergeCell ref="P252:P255"/>
    <mergeCell ref="Q252:Q255"/>
    <mergeCell ref="R252:R255"/>
    <mergeCell ref="S252:S255"/>
    <mergeCell ref="T252:T255"/>
    <mergeCell ref="U252:U255"/>
    <mergeCell ref="V252:V255"/>
    <mergeCell ref="W252:W255"/>
    <mergeCell ref="X252:X255"/>
    <mergeCell ref="Y252:Y255"/>
    <mergeCell ref="G251:G256"/>
    <mergeCell ref="H435:H440"/>
    <mergeCell ref="I435:I440"/>
    <mergeCell ref="J435:J440"/>
    <mergeCell ref="K435:K440"/>
    <mergeCell ref="L435:L440"/>
    <mergeCell ref="M435:M440"/>
    <mergeCell ref="AF435:AF440"/>
    <mergeCell ref="AG435:AG440"/>
    <mergeCell ref="AH435:AH440"/>
    <mergeCell ref="AI435:AI440"/>
    <mergeCell ref="AJ435:AJ440"/>
    <mergeCell ref="AK435:AK440"/>
    <mergeCell ref="N436:N439"/>
    <mergeCell ref="O436:O439"/>
    <mergeCell ref="P436:P439"/>
    <mergeCell ref="Q436:Q439"/>
    <mergeCell ref="R436:R439"/>
    <mergeCell ref="S436:S439"/>
    <mergeCell ref="T436:T439"/>
    <mergeCell ref="U436:U439"/>
    <mergeCell ref="V436:V439"/>
    <mergeCell ref="W436:W439"/>
    <mergeCell ref="X436:X439"/>
    <mergeCell ref="Y436:Y439"/>
    <mergeCell ref="G435:G440"/>
    <mergeCell ref="H257:H262"/>
    <mergeCell ref="I257:I262"/>
    <mergeCell ref="J257:J262"/>
    <mergeCell ref="K257:K262"/>
    <mergeCell ref="L257:L262"/>
    <mergeCell ref="M257:M262"/>
    <mergeCell ref="AF257:AF262"/>
    <mergeCell ref="AG257:AG262"/>
    <mergeCell ref="AH257:AH262"/>
    <mergeCell ref="AI257:AI262"/>
    <mergeCell ref="AJ257:AJ262"/>
    <mergeCell ref="AK257:AK262"/>
    <mergeCell ref="N258:N261"/>
    <mergeCell ref="O258:O261"/>
    <mergeCell ref="P258:P261"/>
    <mergeCell ref="Q258:Q261"/>
    <mergeCell ref="R258:R261"/>
    <mergeCell ref="S258:S261"/>
    <mergeCell ref="T258:T261"/>
    <mergeCell ref="U258:U261"/>
    <mergeCell ref="V258:V261"/>
    <mergeCell ref="W258:W261"/>
    <mergeCell ref="X258:X261"/>
    <mergeCell ref="Y258:Y261"/>
    <mergeCell ref="G257:G262"/>
    <mergeCell ref="H263:H268"/>
    <mergeCell ref="I263:I268"/>
    <mergeCell ref="J263:J268"/>
    <mergeCell ref="K263:K268"/>
    <mergeCell ref="L263:L268"/>
    <mergeCell ref="M263:M268"/>
    <mergeCell ref="AF263:AF268"/>
    <mergeCell ref="AG263:AG268"/>
    <mergeCell ref="AH263:AH268"/>
    <mergeCell ref="AI263:AI268"/>
    <mergeCell ref="AJ263:AJ268"/>
    <mergeCell ref="AK263:AK268"/>
    <mergeCell ref="N264:N267"/>
    <mergeCell ref="O264:O267"/>
    <mergeCell ref="P264:P267"/>
    <mergeCell ref="Q264:Q267"/>
    <mergeCell ref="R264:R267"/>
    <mergeCell ref="S264:S267"/>
    <mergeCell ref="T264:T267"/>
    <mergeCell ref="U264:U267"/>
    <mergeCell ref="V264:V267"/>
    <mergeCell ref="W264:W267"/>
    <mergeCell ref="X264:X267"/>
    <mergeCell ref="Y264:Y267"/>
    <mergeCell ref="G263:G268"/>
    <mergeCell ref="H441:H446"/>
    <mergeCell ref="I441:I446"/>
    <mergeCell ref="J441:J446"/>
    <mergeCell ref="K441:K446"/>
    <mergeCell ref="L441:L446"/>
    <mergeCell ref="M441:M446"/>
    <mergeCell ref="AF441:AF446"/>
    <mergeCell ref="AG441:AG446"/>
    <mergeCell ref="AH441:AH446"/>
    <mergeCell ref="AI441:AI446"/>
    <mergeCell ref="AJ441:AJ446"/>
    <mergeCell ref="AK441:AK446"/>
    <mergeCell ref="N442:N445"/>
    <mergeCell ref="O442:O445"/>
    <mergeCell ref="P442:P445"/>
    <mergeCell ref="Q442:Q445"/>
    <mergeCell ref="R442:R445"/>
    <mergeCell ref="S442:S445"/>
    <mergeCell ref="T442:T445"/>
    <mergeCell ref="U442:U445"/>
    <mergeCell ref="V442:V445"/>
    <mergeCell ref="W442:W445"/>
    <mergeCell ref="X442:X445"/>
    <mergeCell ref="Y442:Y445"/>
    <mergeCell ref="G441:G446"/>
    <mergeCell ref="H544:H549"/>
    <mergeCell ref="I544:I549"/>
    <mergeCell ref="J544:J549"/>
    <mergeCell ref="K544:K549"/>
    <mergeCell ref="L544:L549"/>
    <mergeCell ref="M544:M549"/>
    <mergeCell ref="AF544:AF549"/>
    <mergeCell ref="AG544:AG549"/>
    <mergeCell ref="AH544:AH549"/>
    <mergeCell ref="AI544:AI549"/>
    <mergeCell ref="AJ544:AJ549"/>
    <mergeCell ref="AK544:AK549"/>
    <mergeCell ref="N545:N548"/>
    <mergeCell ref="O545:O548"/>
    <mergeCell ref="P545:P548"/>
    <mergeCell ref="Q545:Q548"/>
    <mergeCell ref="R545:R548"/>
    <mergeCell ref="S545:S548"/>
    <mergeCell ref="T545:T548"/>
    <mergeCell ref="U545:U548"/>
    <mergeCell ref="V545:V548"/>
    <mergeCell ref="W545:W548"/>
    <mergeCell ref="X545:X548"/>
    <mergeCell ref="Y545:Y548"/>
    <mergeCell ref="G544:G549"/>
    <mergeCell ref="H550:H555"/>
    <mergeCell ref="I550:I555"/>
    <mergeCell ref="J550:J555"/>
    <mergeCell ref="K550:K555"/>
    <mergeCell ref="L550:L555"/>
    <mergeCell ref="M550:M555"/>
    <mergeCell ref="AF550:AF555"/>
    <mergeCell ref="AG550:AG555"/>
    <mergeCell ref="AH550:AH555"/>
    <mergeCell ref="AI550:AI555"/>
    <mergeCell ref="AJ550:AJ555"/>
    <mergeCell ref="AK550:AK555"/>
    <mergeCell ref="N551:N554"/>
    <mergeCell ref="O551:O554"/>
    <mergeCell ref="P551:P554"/>
    <mergeCell ref="Q551:Q554"/>
    <mergeCell ref="R551:R554"/>
    <mergeCell ref="S551:S554"/>
    <mergeCell ref="T551:T554"/>
    <mergeCell ref="U551:U554"/>
    <mergeCell ref="V551:V554"/>
    <mergeCell ref="W551:W554"/>
    <mergeCell ref="X551:X554"/>
    <mergeCell ref="Y551:Y554"/>
    <mergeCell ref="G550:G555"/>
    <mergeCell ref="H447:H452"/>
    <mergeCell ref="I447:I452"/>
    <mergeCell ref="J447:J452"/>
    <mergeCell ref="K447:K452"/>
    <mergeCell ref="L447:L452"/>
    <mergeCell ref="M447:M452"/>
    <mergeCell ref="AF447:AF452"/>
    <mergeCell ref="AG447:AG452"/>
    <mergeCell ref="AH447:AH452"/>
    <mergeCell ref="AI447:AI452"/>
    <mergeCell ref="AJ447:AJ452"/>
    <mergeCell ref="AK447:AK452"/>
    <mergeCell ref="N448:N451"/>
    <mergeCell ref="O448:O451"/>
    <mergeCell ref="P448:P451"/>
    <mergeCell ref="Q448:Q451"/>
    <mergeCell ref="R448:R451"/>
    <mergeCell ref="S448:S451"/>
    <mergeCell ref="T448:T451"/>
    <mergeCell ref="U448:U451"/>
    <mergeCell ref="V448:V451"/>
    <mergeCell ref="W448:W451"/>
    <mergeCell ref="X448:X451"/>
    <mergeCell ref="Y448:Y451"/>
    <mergeCell ref="G447:G452"/>
    <mergeCell ref="H556:H561"/>
    <mergeCell ref="I556:I561"/>
    <mergeCell ref="J556:J561"/>
    <mergeCell ref="K556:K561"/>
    <mergeCell ref="L556:L561"/>
    <mergeCell ref="M556:M561"/>
    <mergeCell ref="AF556:AF561"/>
    <mergeCell ref="AG556:AG561"/>
    <mergeCell ref="AH556:AH561"/>
    <mergeCell ref="AI556:AI561"/>
    <mergeCell ref="AJ556:AJ561"/>
    <mergeCell ref="AK556:AK561"/>
    <mergeCell ref="N557:N560"/>
    <mergeCell ref="O557:O560"/>
    <mergeCell ref="P557:P560"/>
    <mergeCell ref="Q557:Q560"/>
    <mergeCell ref="R557:R560"/>
    <mergeCell ref="S557:S560"/>
    <mergeCell ref="T557:T560"/>
    <mergeCell ref="U557:U560"/>
    <mergeCell ref="V557:V560"/>
    <mergeCell ref="W557:W560"/>
    <mergeCell ref="X557:X560"/>
    <mergeCell ref="Y557:Y560"/>
    <mergeCell ref="G556:G561"/>
    <mergeCell ref="H453:H458"/>
    <mergeCell ref="I453:I458"/>
    <mergeCell ref="J453:J458"/>
    <mergeCell ref="K453:K458"/>
    <mergeCell ref="L453:L458"/>
    <mergeCell ref="M453:M458"/>
    <mergeCell ref="AF453:AF458"/>
    <mergeCell ref="AG453:AG458"/>
    <mergeCell ref="AH453:AH458"/>
    <mergeCell ref="AI453:AI458"/>
    <mergeCell ref="AJ453:AJ458"/>
    <mergeCell ref="AK453:AK458"/>
    <mergeCell ref="N454:N457"/>
    <mergeCell ref="O454:O457"/>
    <mergeCell ref="P454:P457"/>
    <mergeCell ref="Q454:Q457"/>
    <mergeCell ref="R454:R457"/>
    <mergeCell ref="S454:S457"/>
    <mergeCell ref="T454:T457"/>
    <mergeCell ref="U454:U457"/>
    <mergeCell ref="V454:V457"/>
    <mergeCell ref="W454:W457"/>
    <mergeCell ref="X454:X457"/>
    <mergeCell ref="Y454:Y457"/>
    <mergeCell ref="G453:G458"/>
    <mergeCell ref="H269:H274"/>
    <mergeCell ref="I269:I274"/>
    <mergeCell ref="J269:J274"/>
    <mergeCell ref="K269:K274"/>
    <mergeCell ref="L269:L274"/>
    <mergeCell ref="M269:M274"/>
    <mergeCell ref="AF269:AF274"/>
    <mergeCell ref="AG269:AG274"/>
    <mergeCell ref="AH269:AH274"/>
    <mergeCell ref="AI269:AI274"/>
    <mergeCell ref="AJ269:AJ274"/>
    <mergeCell ref="AK269:AK274"/>
    <mergeCell ref="N270:N273"/>
    <mergeCell ref="O270:O273"/>
    <mergeCell ref="P270:P273"/>
    <mergeCell ref="Q270:Q273"/>
    <mergeCell ref="R270:R273"/>
    <mergeCell ref="S270:S273"/>
    <mergeCell ref="T270:T273"/>
    <mergeCell ref="U270:U273"/>
    <mergeCell ref="V270:V273"/>
    <mergeCell ref="W270:W273"/>
    <mergeCell ref="X270:X273"/>
    <mergeCell ref="Y270:Y273"/>
    <mergeCell ref="G269: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562:H567"/>
    <mergeCell ref="I562:I567"/>
    <mergeCell ref="J562:J567"/>
    <mergeCell ref="K562:K567"/>
    <mergeCell ref="L562:L567"/>
    <mergeCell ref="M562:M567"/>
    <mergeCell ref="AF562:AF567"/>
    <mergeCell ref="AG562:AG567"/>
    <mergeCell ref="AH562:AH567"/>
    <mergeCell ref="AI562:AI567"/>
    <mergeCell ref="AJ562:AJ567"/>
    <mergeCell ref="AK562:AK567"/>
    <mergeCell ref="N563:N566"/>
    <mergeCell ref="O563:O566"/>
    <mergeCell ref="P563:P566"/>
    <mergeCell ref="Q563:Q566"/>
    <mergeCell ref="R563:R566"/>
    <mergeCell ref="S563:S566"/>
    <mergeCell ref="T563:T566"/>
    <mergeCell ref="U563:U566"/>
    <mergeCell ref="V563:V566"/>
    <mergeCell ref="W563:W566"/>
    <mergeCell ref="X563:X566"/>
    <mergeCell ref="Y563:Y566"/>
    <mergeCell ref="G562:G567"/>
  </mergeCells>
  <dataValidations count="3891">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decimal" allowBlank="1" showErrorMessage="1" errorTitle="Ошибка" error="Допускается ввод только неотрицательных чисел!" sqref="AE685">
      <formula1>0</formula1>
      <formula2>9.99999999999999E+23</formula2>
    </dataValidation>
    <dataValidation type="decimal" allowBlank="1" showErrorMessage="1" errorTitle="Ошибка" error="Допускается ввод только неотрицательных чисел!" sqref="AC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M724">
      <formula1>900</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decimal" allowBlank="1" showErrorMessage="1" errorTitle="Ошибка" error="Допускается ввод только неотрицательных чисел!" sqref="AE684">
      <formula1>0</formula1>
      <formula2>9.99999999999999E+23</formula2>
    </dataValidation>
    <dataValidation type="decimal" allowBlank="1" showErrorMessage="1" errorTitle="Ошибка" error="Допускается ввод только неотрицательных чисел!" sqref="AC684">
      <formula1>0</formula1>
      <formula2>9.99999999999999E+23</formula2>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textLength" operator="lessThanOrEqual" allowBlank="1" showInputMessage="1" showErrorMessage="1" errorTitle="Ошибка" error="Допускается ввод не более 900 символов!" sqref="M682">
      <formula1>900</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decimal" allowBlank="1" showErrorMessage="1" errorTitle="Ошибка" error="Допускается ввод только неотрицательных чисел!" sqref="AE619">
      <formula1>0</formula1>
      <formula2>9.99999999999999E+23</formula2>
    </dataValidation>
    <dataValidation type="decimal" allowBlank="1" showErrorMessage="1" errorTitle="Ошибка" error="Допускается ввод только неотрицательных чисел!" sqref="AC619">
      <formula1>0</formula1>
      <formula2>9.99999999999999E+23</formula2>
    </dataValidation>
    <dataValidation type="textLength" operator="lessThanOrEqual" allowBlank="1" showInputMessage="1" showErrorMessage="1" errorTitle="Ошибка" error="Допускается ввод не более 900 символов!" sqref="K6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textLength" operator="lessThanOrEqual" allowBlank="1" showInputMessage="1" showErrorMessage="1" errorTitle="Ошибка" error="Допускается ввод не более 900 символов!" sqref="M616">
      <formula1>900</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decimal" allowBlank="1" showErrorMessage="1" errorTitle="Ошибка" error="Допускается ввод только неотрицательных чисел!" sqref="AE503">
      <formula1>0</formula1>
      <formula2>9.99999999999999E+23</formula2>
    </dataValidation>
    <dataValidation type="decimal" allowBlank="1" showErrorMessage="1" errorTitle="Ошибка" error="Допускается ввод только неотрицательных чисел!" sqref="AC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M501">
      <formula1>900</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decimal" allowBlank="1" showErrorMessage="1" errorTitle="Ошибка" error="Допускается ввод только неотрицательных чисел!" sqref="AE384">
      <formula1>0</formula1>
      <formula2>9.99999999999999E+23</formula2>
    </dataValidation>
    <dataValidation type="decimal" allowBlank="1" showErrorMessage="1" errorTitle="Ошибка" error="Допускается ввод только неотрицательных чисел!" sqref="AC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M381">
      <formula1>900</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M126">
      <formula1>900</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decimal" allowBlank="1" showErrorMessage="1" errorTitle="Ошибка" error="Допускается ввод только неотрицательных чисел!" sqref="AE721">
      <formula1>0</formula1>
      <formula2>9.99999999999999E+23</formula2>
    </dataValidation>
    <dataValidation type="decimal" allowBlank="1" showErrorMessage="1" errorTitle="Ошибка" error="Допускается ввод только неотрицательных чисел!" sqref="AC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textLength" operator="lessThanOrEqual" allowBlank="1" showInputMessage="1" showErrorMessage="1" errorTitle="Ошибка" error="Допускается ввод не более 900 символов!" sqref="K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decimal" allowBlank="1" showErrorMessage="1" errorTitle="Ошибка" error="Допускается ввод только неотрицательных чисел!" sqref="AE720">
      <formula1>0</formula1>
      <formula2>9.99999999999999E+23</formula2>
    </dataValidation>
    <dataValidation type="decimal" allowBlank="1" showErrorMessage="1" errorTitle="Ошибка" error="Допускается ввод только неотрицательных чисел!" sqref="AC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textLength" operator="lessThanOrEqual" allowBlank="1" showInputMessage="1" showErrorMessage="1" errorTitle="Ошибка" error="Допускается ввод не более 900 символов!" sqref="K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M718">
      <formula1>900</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decimal" allowBlank="1" showErrorMessage="1" errorTitle="Ошибка" error="Допускается ввод только неотрицательных чисел!" sqref="AE679">
      <formula1>0</formula1>
      <formula2>9.99999999999999E+23</formula2>
    </dataValidation>
    <dataValidation type="decimal" allowBlank="1" showErrorMessage="1" errorTitle="Ошибка" error="Допускается ввод только неотрицательных чисел!" sqref="AC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decimal" allowBlank="1" showErrorMessage="1" errorTitle="Ошибка" error="Допускается ввод только неотрицательных чисел!" sqref="AE678">
      <formula1>0</formula1>
      <formula2>9.99999999999999E+23</formula2>
    </dataValidation>
    <dataValidation type="decimal" allowBlank="1" showErrorMessage="1" errorTitle="Ошибка" error="Допускается ввод только неотрицательных чисел!" sqref="AC678">
      <formula1>0</formula1>
      <formula2>9.99999999999999E+23</formula2>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textLength" operator="lessThanOrEqual" allowBlank="1" showInputMessage="1" showErrorMessage="1" errorTitle="Ошибка" error="Допускается ввод не более 900 символов!" sqref="M676">
      <formula1>900</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decimal" allowBlank="1" showErrorMessage="1" errorTitle="Ошибка" error="Допускается ввод только неотрицательных чисел!" sqref="AE613">
      <formula1>0</formula1>
      <formula2>9.99999999999999E+23</formula2>
    </dataValidation>
    <dataValidation type="decimal" allowBlank="1" showErrorMessage="1" errorTitle="Ошибка" error="Допускается ввод только неотрицательных чисел!" sqref="AC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decimal" allowBlank="1" showErrorMessage="1" errorTitle="Ошибка" error="Допускается ввод только неотрицательных чисел!" sqref="AE612">
      <formula1>0</formula1>
      <formula2>9.99999999999999E+23</formula2>
    </dataValidation>
    <dataValidation type="decimal" allowBlank="1" showErrorMessage="1" errorTitle="Ошибка" error="Допускается ввод только неотрицательных чисел!" sqref="AC612">
      <formula1>0</formula1>
      <formula2>9.99999999999999E+23</formula2>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M610">
      <formula1>900</formula1>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decimal" allowBlank="1" showErrorMessage="1" errorTitle="Ошибка" error="Допускается ввод только неотрицательных чисел!" sqref="AE498">
      <formula1>0</formula1>
      <formula2>9.99999999999999E+23</formula2>
    </dataValidation>
    <dataValidation type="decimal" allowBlank="1" showErrorMessage="1" errorTitle="Ошибка" error="Допускается ввод только неотрицательных чисел!" sqref="AC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decimal" allowBlank="1" showErrorMessage="1" errorTitle="Ошибка" error="Допускается ввод только неотрицательных чисел!" sqref="AE497">
      <formula1>0</formula1>
      <formula2>9.99999999999999E+23</formula2>
    </dataValidation>
    <dataValidation type="decimal" allowBlank="1" showErrorMessage="1" errorTitle="Ошибка" error="Допускается ввод только неотрицательных чисел!" sqref="AC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M495">
      <formula1>900</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textLength" operator="lessThanOrEqual" allowBlank="1" showInputMessage="1" showErrorMessage="1" errorTitle="Ошибка" error="Допускается ввод не более 900 символов!" sqref="M375">
      <formula1>900</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M120">
      <formula1>900</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M370">
      <formula1>900</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M115">
      <formula1>900</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M364">
      <formula1>900</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textLength" operator="lessThanOrEqual" allowBlank="1" showInputMessage="1" showErrorMessage="1" errorTitle="Ошибка" error="Допускается ввод не более 900 символов!" sqref="M358">
      <formula1>900</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M109">
      <formula1>900</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decimal" allowBlank="1" showErrorMessage="1" errorTitle="Ошибка" error="Допускается ввод только неотрицательных чисел!" sqref="AE354">
      <formula1>0</formula1>
      <formula2>9.99999999999999E+23</formula2>
    </dataValidation>
    <dataValidation type="decimal" allowBlank="1" showErrorMessage="1" errorTitle="Ошибка" error="Допускается ввод только неотрицательных чисел!" sqref="AC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textLength" operator="lessThanOrEqual" allowBlank="1" showInputMessage="1" showErrorMessage="1" errorTitle="Ошибка" error="Допускается ввод не более 900 символов!" sqref="M352">
      <formula1>900</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M103">
      <formula1>900</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M97">
      <formula1>900</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M91">
      <formula1>900</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decimal" allowBlank="1" showErrorMessage="1" errorTitle="Ошибка" error="Допускается ввод только неотрицательных чисел!" sqref="AE349">
      <formula1>0</formula1>
      <formula2>9.99999999999999E+23</formula2>
    </dataValidation>
    <dataValidation type="decimal" allowBlank="1" showErrorMessage="1" errorTitle="Ошибка" error="Допускается ввод только неотрицательных чисел!" sqref="AC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decimal" allowBlank="1" showErrorMessage="1" errorTitle="Ошибка" error="Допускается ввод только неотрицательных чисел!" sqref="AE348">
      <formula1>0</formula1>
      <formula2>9.99999999999999E+23</formula2>
    </dataValidation>
    <dataValidation type="decimal" allowBlank="1" showErrorMessage="1" errorTitle="Ошибка" error="Допускается ввод только неотрицательных чисел!" sqref="AC348">
      <formula1>0</formula1>
      <formula2>9.99999999999999E+23</formula2>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M346">
      <formula1>900</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M85">
      <formula1>900</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M79">
      <formula1>900</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M341">
      <formula1>900</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M74">
      <formula1>900</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decimal" allowBlank="1" showErrorMessage="1" errorTitle="Ошибка" error="Допускается ввод только неотрицательных чисел!" sqref="AE492">
      <formula1>0</formula1>
      <formula2>9.99999999999999E+23</formula2>
    </dataValidation>
    <dataValidation type="decimal" allowBlank="1" showErrorMessage="1" errorTitle="Ошибка" error="Допускается ввод только неотрицательных чисел!" sqref="AC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decimal" allowBlank="1" showErrorMessage="1" errorTitle="Ошибка" error="Допускается ввод только неотрицательных чисел!" sqref="AE337">
      <formula1>0</formula1>
      <formula2>9.99999999999999E+23</formula2>
    </dataValidation>
    <dataValidation type="decimal" allowBlank="1" showErrorMessage="1" errorTitle="Ошибка" error="Допускается ввод только неотрицательных чисел!" sqref="AC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decimal" allowBlank="1" showErrorMessage="1" errorTitle="Ошибка" error="Допускается ввод только неотрицательных чисел!" sqref="AE491">
      <formula1>0</formula1>
      <formula2>9.99999999999999E+23</formula2>
    </dataValidation>
    <dataValidation type="decimal" allowBlank="1" showErrorMessage="1" errorTitle="Ошибка" error="Допускается ввод только неотрицательных чисел!" sqref="AC491">
      <formula1>0</formula1>
      <formula2>9.99999999999999E+23</formula2>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textLength" operator="lessThanOrEqual" allowBlank="1" showInputMessage="1" showErrorMessage="1" errorTitle="Ошибка" error="Допускается ввод не более 900 символов!" sqref="M489">
      <formula1>900</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decimal" allowBlank="1" showErrorMessage="1" errorTitle="Ошибка" error="Допускается ввод только неотрицательных чисел!" sqref="AE336">
      <formula1>0</formula1>
      <formula2>9.99999999999999E+23</formula2>
    </dataValidation>
    <dataValidation type="decimal" allowBlank="1" showErrorMessage="1" errorTitle="Ошибка" error="Допускается ввод только неотрицательных чисел!" sqref="AC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M334">
      <formula1>900</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M67">
      <formula1>900</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decimal" allowBlank="1" showErrorMessage="1" errorTitle="Ошибка" error="Допускается ввод только неотрицательных чисел!" sqref="AE673">
      <formula1>0</formula1>
      <formula2>9.99999999999999E+23</formula2>
    </dataValidation>
    <dataValidation type="decimal" allowBlank="1" showErrorMessage="1" errorTitle="Ошибка" error="Допускается ввод только неотрицательных чисел!" sqref="AC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decimal" allowBlank="1" showErrorMessage="1" errorTitle="Ошибка" error="Допускается ввод только неотрицательных чисел!" sqref="AE607">
      <formula1>0</formula1>
      <formula2>9.99999999999999E+23</formula2>
    </dataValidation>
    <dataValidation type="decimal" allowBlank="1" showErrorMessage="1" errorTitle="Ошибка" error="Допускается ввод только неотрицательных чисел!" sqref="AC607">
      <formula1>0</formula1>
      <formula2>9.99999999999999E+23</formula2>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decimal" allowBlank="1" showErrorMessage="1" errorTitle="Ошибка" error="Допускается ввод только неотрицательных чисел!" sqref="AE606">
      <formula1>0</formula1>
      <formula2>9.99999999999999E+23</formula2>
    </dataValidation>
    <dataValidation type="decimal" allowBlank="1" showErrorMessage="1" errorTitle="Ошибка" error="Допускается ввод только неотрицательных чисел!" sqref="AC606">
      <formula1>0</formula1>
      <formula2>9.99999999999999E+23</formula2>
    </dataValidation>
    <dataValidation type="textLength" operator="lessThanOrEqual" allowBlank="1" showInputMessage="1" showErrorMessage="1" errorTitle="Ошибка" error="Допускается ввод не более 900 символов!" sqref="K6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textLength" operator="lessThanOrEqual" allowBlank="1" showInputMessage="1" showErrorMessage="1" errorTitle="Ошибка" error="Допускается ввод не более 900 символов!" sqref="M604">
      <formula1>900</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decimal" allowBlank="1" showErrorMessage="1" errorTitle="Ошибка" error="Допускается ввод только неотрицательных чисел!" sqref="AE715">
      <formula1>0</formula1>
      <formula2>9.99999999999999E+23</formula2>
    </dataValidation>
    <dataValidation type="decimal" allowBlank="1" showErrorMessage="1" errorTitle="Ошибка" error="Допускается ввод только неотрицательных чисел!" sqref="AC715">
      <formula1>0</formula1>
      <formula2>9.99999999999999E+23</formula2>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decimal" allowBlank="1" showErrorMessage="1" errorTitle="Ошибка" error="Допускается ввод только неотрицательных чисел!" sqref="AE714">
      <formula1>0</formula1>
      <formula2>9.99999999999999E+23</formula2>
    </dataValidation>
    <dataValidation type="decimal" allowBlank="1" showErrorMessage="1" errorTitle="Ошибка" error="Допускается ввод только неотрицательных чисел!" sqref="AC714">
      <formula1>0</formula1>
      <formula2>9.99999999999999E+23</formula2>
    </dataValidation>
    <dataValidation type="textLength" operator="lessThanOrEqual" allowBlank="1" showInputMessage="1" showErrorMessage="1" errorTitle="Ошибка" error="Допускается ввод не более 900 символов!" sqref="K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textLength" operator="lessThanOrEqual" allowBlank="1" showInputMessage="1" showErrorMessage="1" errorTitle="Ошибка" error="Допускается ввод не более 900 символов!" sqref="M712">
      <formula1>900</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decimal" allowBlank="1" showErrorMessage="1" errorTitle="Ошибка" error="Допускается ввод только неотрицательных чисел!" sqref="AE672">
      <formula1>0</formula1>
      <formula2>9.99999999999999E+23</formula2>
    </dataValidation>
    <dataValidation type="decimal" allowBlank="1" showErrorMessage="1" errorTitle="Ошибка" error="Допускается ввод только неотрицательных чисел!" sqref="AC672">
      <formula1>0</formula1>
      <formula2>9.99999999999999E+23</formula2>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textLength" operator="lessThanOrEqual" allowBlank="1" showInputMessage="1" showErrorMessage="1" errorTitle="Ошибка" error="Допускается ввод не более 900 символов!" sqref="M670">
      <formula1>900</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decimal" allowBlank="1" showErrorMessage="1" errorTitle="Ошибка" error="Допускается ввод только неотрицательных чисел!" sqref="AE601">
      <formula1>0</formula1>
      <formula2>9.99999999999999E+23</formula2>
    </dataValidation>
    <dataValidation type="decimal" allowBlank="1" showErrorMessage="1" errorTitle="Ошибка" error="Допускается ввод только неотрицательных чисел!" sqref="AC601">
      <formula1>0</formula1>
      <formula2>9.99999999999999E+23</formula2>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decimal" allowBlank="1" showErrorMessage="1" errorTitle="Ошибка" error="Допускается ввод только неотрицательных чисел!" sqref="AE600">
      <formula1>0</formula1>
      <formula2>9.99999999999999E+23</formula2>
    </dataValidation>
    <dataValidation type="decimal" allowBlank="1" showErrorMessage="1" errorTitle="Ошибка" error="Допускается ввод только неотрицательных чисел!" sqref="AC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M598">
      <formula1>900</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decimal" allowBlank="1" showErrorMessage="1" errorTitle="Ошибка" error="Допускается ввод только неотрицательных чисел!" sqref="AE486">
      <formula1>0</formula1>
      <formula2>9.99999999999999E+23</formula2>
    </dataValidation>
    <dataValidation type="decimal" allowBlank="1" showErrorMessage="1" errorTitle="Ошибка" error="Допускается ввод только неотрицательных чисел!" sqref="AC486">
      <formula1>0</formula1>
      <formula2>9.99999999999999E+23</formula2>
    </dataValidation>
    <dataValidation type="textLength" operator="lessThanOrEqual" allowBlank="1" showInputMessage="1" showErrorMessage="1" errorTitle="Ошибка" error="Допускается ввод не более 900 символов!" sqref="K4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decimal" allowBlank="1" showErrorMessage="1" errorTitle="Ошибка" error="Допускается ввод только неотрицательных чисел!" sqref="AE709">
      <formula1>0</formula1>
      <formula2>9.99999999999999E+23</formula2>
    </dataValidation>
    <dataValidation type="decimal" allowBlank="1" showErrorMessage="1" errorTitle="Ошибка" error="Допускается ввод только неотрицательных чисел!" sqref="AC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decimal" allowBlank="1" showErrorMessage="1" errorTitle="Ошибка" error="Допускается ввод только неотрицательных чисел!" sqref="AE667">
      <formula1>0</formula1>
      <formula2>9.99999999999999E+23</formula2>
    </dataValidation>
    <dataValidation type="decimal" allowBlank="1" showErrorMessage="1" errorTitle="Ошибка" error="Допускается ввод только неотрицательных чисел!" sqref="AC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decimal" allowBlank="1" showErrorMessage="1" errorTitle="Ошибка" error="Допускается ввод только неотрицательных чисел!" sqref="AE595">
      <formula1>0</formula1>
      <formula2>9.99999999999999E+23</formula2>
    </dataValidation>
    <dataValidation type="decimal" allowBlank="1" showErrorMessage="1" errorTitle="Ошибка" error="Допускается ввод только неотрицательных чисел!" sqref="AC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decimal" allowBlank="1" showErrorMessage="1" errorTitle="Ошибка" error="Допускается ввод только неотрицательных чисел!" sqref="AE708">
      <formula1>0</formula1>
      <formula2>9.99999999999999E+23</formula2>
    </dataValidation>
    <dataValidation type="decimal" allowBlank="1" showErrorMessage="1" errorTitle="Ошибка" error="Допускается ввод только неотрицательных чисел!" sqref="AC708">
      <formula1>0</formula1>
      <formula2>9.99999999999999E+23</formula2>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textLength" operator="lessThanOrEqual" allowBlank="1" showInputMessage="1" showErrorMessage="1" errorTitle="Ошибка" error="Допускается ввод не более 900 символов!" sqref="K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M706">
      <formula1>900</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decimal" allowBlank="1" showErrorMessage="1" errorTitle="Ошибка" error="Допускается ввод только неотрицательных чисел!" sqref="AE666">
      <formula1>0</formula1>
      <formula2>9.99999999999999E+23</formula2>
    </dataValidation>
    <dataValidation type="decimal" allowBlank="1" showErrorMessage="1" errorTitle="Ошибка" error="Допускается ввод только неотрицательных чисел!" sqref="AC666">
      <formula1>0</formula1>
      <formula2>9.99999999999999E+23</formula2>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textLength" operator="lessThanOrEqual" allowBlank="1" showInputMessage="1" showErrorMessage="1" errorTitle="Ошибка" error="Допускается ввод не более 900 символов!" sqref="M664">
      <formula1>900</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textLength" operator="lessThanOrEqual" allowBlank="1" showInputMessage="1" showErrorMessage="1" errorTitle="Ошибка" error="Допускается ввод не более 900 символов!" sqref="M592">
      <formula1>900</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M483">
      <formula1>900</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decimal" allowBlank="1" showErrorMessage="1" errorTitle="Ошибка" error="Допускается ввод только неотрицательных чисел!" sqref="AE331">
      <formula1>0</formula1>
      <formula2>9.99999999999999E+23</formula2>
    </dataValidation>
    <dataValidation type="decimal" allowBlank="1" showErrorMessage="1" errorTitle="Ошибка" error="Допускается ввод только неотрицательных чисел!" sqref="AC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M328">
      <formula1>900</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M322">
      <formula1>900</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decimal" allowBlank="1" showErrorMessage="1" errorTitle="Ошибка" error="Допускается ввод только неотрицательных чисел!" sqref="AE589">
      <formula1>0</formula1>
      <formula2>9.99999999999999E+23</formula2>
    </dataValidation>
    <dataValidation type="decimal" allowBlank="1" showErrorMessage="1" errorTitle="Ошибка" error="Допускается ввод только неотрицательных чисел!" sqref="AC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decimal" allowBlank="1" showErrorMessage="1" errorTitle="Ошибка" error="Допускается ввод только неотрицательных чисел!" sqref="AE588">
      <formula1>0</formula1>
      <formula2>9.99999999999999E+23</formula2>
    </dataValidation>
    <dataValidation type="decimal" allowBlank="1" showErrorMessage="1" errorTitle="Ошибка" error="Допускается ввод только неотрицательных чисел!" sqref="AC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textLength" operator="lessThanOrEqual" allowBlank="1" showInputMessage="1" showErrorMessage="1" errorTitle="Ошибка" error="Допускается ввод не более 900 символов!" sqref="M586">
      <formula1>900</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M61">
      <formula1>900</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decimal" allowBlank="1" showErrorMessage="1" errorTitle="Ошибка" error="Допускается ввод только неотрицательных чисел!" sqref="AE318">
      <formula1>0</formula1>
      <formula2>9.99999999999999E+23</formula2>
    </dataValidation>
    <dataValidation type="decimal" allowBlank="1" showErrorMessage="1" errorTitle="Ошибка" error="Допускается ввод только неотрицательных чисел!" sqref="AC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textLength" operator="lessThanOrEqual" allowBlank="1" showInputMessage="1" showErrorMessage="1" errorTitle="Ошибка" error="Допускается ввод не более 900 символов!" sqref="M316">
      <formula1>900</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decimal" allowBlank="1" showErrorMessage="1" errorTitle="Ошибка" error="Допускается ввод только неотрицательных чисел!" sqref="AE312">
      <formula1>0</formula1>
      <formula2>9.99999999999999E+23</formula2>
    </dataValidation>
    <dataValidation type="decimal" allowBlank="1" showErrorMessage="1" errorTitle="Ошибка" error="Допускается ввод только неотрицательных чисел!" sqref="AC312">
      <formula1>0</formula1>
      <formula2>9.99999999999999E+23</formula2>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textLength" operator="lessThanOrEqual" allowBlank="1" showInputMessage="1" showErrorMessage="1" errorTitle="Ошибка" error="Допускается ввод не более 900 символов!" sqref="M310">
      <formula1>900</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decimal" allowBlank="1" showErrorMessage="1" errorTitle="Ошибка" error="Допускается ввод только неотрицательных чисел!" sqref="AE306">
      <formula1>0</formula1>
      <formula2>9.99999999999999E+23</formula2>
    </dataValidation>
    <dataValidation type="decimal" allowBlank="1" showErrorMessage="1" errorTitle="Ошибка" error="Допускается ввод только неотрицательных чисел!" sqref="AC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textLength" operator="lessThanOrEqual" allowBlank="1" showInputMessage="1" showErrorMessage="1" errorTitle="Ошибка" error="Допускается ввод не более 900 символов!" sqref="M304">
      <formula1>900</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decimal" allowBlank="1" showErrorMessage="1" errorTitle="Ошибка" error="Допускается ввод только неотрицательных чисел!" sqref="AE480">
      <formula1>0</formula1>
      <formula2>9.99999999999999E+23</formula2>
    </dataValidation>
    <dataValidation type="decimal" allowBlank="1" showErrorMessage="1" errorTitle="Ошибка" error="Допускается ввод только неотрицательных чисел!" sqref="AC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M477">
      <formula1>900</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decimal" allowBlank="1" showErrorMessage="1" errorTitle="Ошибка" error="Допускается ввод только неотрицательных чисел!" sqref="AE301">
      <formula1>0</formula1>
      <formula2>9.99999999999999E+23</formula2>
    </dataValidation>
    <dataValidation type="decimal" allowBlank="1" showErrorMessage="1" errorTitle="Ошибка" error="Допускается ввод только неотрицательных чисел!" sqref="AC301">
      <formula1>0</formula1>
      <formula2>9.99999999999999E+23</formula2>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decimal" allowBlank="1" showErrorMessage="1" errorTitle="Ошибка" error="Допускается ввод только неотрицательных чисел!" sqref="AE300">
      <formula1>0</formula1>
      <formula2>9.99999999999999E+23</formula2>
    </dataValidation>
    <dataValidation type="decimal" allowBlank="1" showErrorMessage="1" errorTitle="Ошибка" error="Допускается ввод только неотрицательных чисел!" sqref="AC300">
      <formula1>0</formula1>
      <formula2>9.99999999999999E+23</formula2>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textLength" operator="lessThanOrEqual" allowBlank="1" showInputMessage="1" showErrorMessage="1" errorTitle="Ошибка" error="Допускается ввод не более 900 символов!" sqref="M298">
      <formula1>900</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decimal" allowBlank="1" showErrorMessage="1" errorTitle="Ошибка" error="Допускается ввод только неотрицательных чисел!" sqref="AE583">
      <formula1>0</formula1>
      <formula2>9.99999999999999E+23</formula2>
    </dataValidation>
    <dataValidation type="decimal" allowBlank="1" showErrorMessage="1" errorTitle="Ошибка" error="Допускается ввод только неотрицательных чисел!" sqref="AC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decimal" allowBlank="1" showErrorMessage="1" errorTitle="Ошибка" error="Допускается ввод только неотрицательных чисел!" sqref="AE582">
      <formula1>0</formula1>
      <formula2>9.99999999999999E+23</formula2>
    </dataValidation>
    <dataValidation type="decimal" allowBlank="1" showErrorMessage="1" errorTitle="Ошибка" error="Допускается ввод только неотрицательных чисел!" sqref="AC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M580">
      <formula1>900</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M471">
      <formula1>900</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decimal" allowBlank="1" showErrorMessage="1" errorTitle="Ошибка" error="Допускается ввод только неотрицательных чисел!" sqref="AE294">
      <formula1>0</formula1>
      <formula2>9.99999999999999E+23</formula2>
    </dataValidation>
    <dataValidation type="decimal" allowBlank="1" showErrorMessage="1" errorTitle="Ошибка" error="Допускается ввод только неотрицательных чисел!" sqref="AC294">
      <formula1>0</formula1>
      <formula2>9.99999999999999E+23</formula2>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M292">
      <formula1>900</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decimal" allowBlank="1" showErrorMessage="1" errorTitle="Ошибка" error="Допускается ввод только неотрицательных чисел!" sqref="AE577">
      <formula1>0</formula1>
      <formula2>9.99999999999999E+23</formula2>
    </dataValidation>
    <dataValidation type="decimal" allowBlank="1" showErrorMessage="1" errorTitle="Ошибка" error="Допускается ввод только неотрицательных чисел!" sqref="AC577">
      <formula1>0</formula1>
      <formula2>9.99999999999999E+23</formula2>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decimal" allowBlank="1" showErrorMessage="1" errorTitle="Ошибка" error="Допускается ввод только неотрицательных чисел!" sqref="AE576">
      <formula1>0</formula1>
      <formula2>9.99999999999999E+23</formula2>
    </dataValidation>
    <dataValidation type="decimal" allowBlank="1" showErrorMessage="1" errorTitle="Ошибка" error="Допускается ввод только неотрицательных чисел!" sqref="AC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textLength" operator="lessThanOrEqual" allowBlank="1" showInputMessage="1" showErrorMessage="1" errorTitle="Ошибка" error="Допускается ввод не более 900 символов!" sqref="M574">
      <formula1>900</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decimal" allowBlank="1" showErrorMessage="1" errorTitle="Ошибка" error="Допускается ввод только неотрицательных чисел!" sqref="AE468">
      <formula1>0</formula1>
      <formula2>9.99999999999999E+23</formula2>
    </dataValidation>
    <dataValidation type="decimal" allowBlank="1" showErrorMessage="1" errorTitle="Ошибка" error="Допускается ввод только неотрицательных чисел!" sqref="AC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M465">
      <formula1>900</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decimal" allowBlank="1" showErrorMessage="1" errorTitle="Ошибка" error="Допускается ввод только неотрицательных чисел!" sqref="AE288">
      <formula1>0</formula1>
      <formula2>9.99999999999999E+23</formula2>
    </dataValidation>
    <dataValidation type="decimal" allowBlank="1" showErrorMessage="1" errorTitle="Ошибка" error="Допускается ввод только неотрицательных чисел!" sqref="AC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M286">
      <formula1>900</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textLength" operator="lessThanOrEqual" allowBlank="1" showInputMessage="1" showErrorMessage="1" errorTitle="Ошибка" error="Допускается ввод не более 900 символов!" sqref="K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decimal" allowBlank="1" showErrorMessage="1" errorTitle="Ошибка" error="Допускается ввод только неотрицательных чисел!" sqref="AE703">
      <formula1>0</formula1>
      <formula2>9.99999999999999E+23</formula2>
    </dataValidation>
    <dataValidation type="decimal" allowBlank="1" showErrorMessage="1" errorTitle="Ошибка" error="Допускается ввод только неотрицательных чисел!" sqref="AC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textLength" operator="lessThanOrEqual" allowBlank="1" showInputMessage="1" showErrorMessage="1" errorTitle="Ошибка" error="Допускается ввод не более 900 символов!" sqref="M701">
      <formula1>900</formula1>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decimal" allowBlank="1" showErrorMessage="1" errorTitle="Ошибка" error="Допускается ввод только неотрицательных чисел!" sqref="AE661">
      <formula1>0</formula1>
      <formula2>9.99999999999999E+23</formula2>
    </dataValidation>
    <dataValidation type="decimal" allowBlank="1" showErrorMessage="1" errorTitle="Ошибка" error="Допускается ввод только неотрицательных чисел!" sqref="AC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textLength" operator="lessThanOrEqual" allowBlank="1" showInputMessage="1" showErrorMessage="1" errorTitle="Ошибка" error="Допускается ввод не более 900 символов!" sqref="M659">
      <formula1>900</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decimal" allowBlank="1" showErrorMessage="1" errorTitle="Ошибка" error="Допускается ввод только неотрицательных чисел!" sqref="AE571">
      <formula1>0</formula1>
      <formula2>9.99999999999999E+23</formula2>
    </dataValidation>
    <dataValidation type="decimal" allowBlank="1" showErrorMessage="1" errorTitle="Ошибка" error="Допускается ввод только неотрицательных чисел!" sqref="AC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textLength" operator="lessThanOrEqual" allowBlank="1" showInputMessage="1" showErrorMessage="1" errorTitle="Ошибка" error="Допускается ввод не более 900 символов!" sqref="M569">
      <formula1>900</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decimal" allowBlank="1" showErrorMessage="1" errorTitle="Ошибка" error="Допускается ввод только неотрицательных чисел!" sqref="AE462">
      <formula1>0</formula1>
      <formula2>9.99999999999999E+23</formula2>
    </dataValidation>
    <dataValidation type="decimal" allowBlank="1" showErrorMessage="1" errorTitle="Ошибка" error="Допускается ввод только неотрицательных чисел!" sqref="AC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M460">
      <formula1>900</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M281">
      <formula1>900</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textLength" operator="lessThanOrEqual" allowBlank="1" showInputMessage="1" showErrorMessage="1" errorTitle="Ошибка" error="Допускается ввод не более 900 символов!" sqref="M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textLength" operator="lessThanOrEqual" allowBlank="1" showInputMessage="1" showErrorMessage="1" errorTitle="Ошибка" error="Допускается ввод не более 900 символов!" sqref="M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textLength" operator="lessThanOrEqual" allowBlank="1" showInputMessage="1" showErrorMessage="1" errorTitle="Ошибка" error="Допускается ввод не более 900 символов!" sqref="M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decimal" allowBlank="1" showErrorMessage="1" errorTitle="Ошибка" error="Допускается ввод только неотрицательных чисел!" sqref="AC394">
      <formula1>0</formula1>
      <formula2>9.99999999999999E+23</formula2>
    </dataValidation>
    <dataValidation type="decimal" allowBlank="1" showErrorMessage="1" errorTitle="Ошибка" error="Допускается ввод только неотрицательных чисел!" sqref="AE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textLength" operator="lessThanOrEqual" allowBlank="1" showInputMessage="1" showErrorMessage="1" errorTitle="Ошибка" error="Допускается ввод не более 900 символов!" sqref="M507">
      <formula1>900</formula1>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textLength" operator="lessThanOrEqual" allowBlank="1" showInputMessage="1" showErrorMessage="1" errorTitle="Ошибка" error="Допускается ввод не более 900 символов!" sqref="M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textLength" operator="lessThanOrEqual" allowBlank="1" showInputMessage="1" showErrorMessage="1" errorTitle="Ошибка" error="Допускается ввод не более 900 символов!" sqref="K626">
      <formula1>900</formula1>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decimal" allowBlank="1" showErrorMessage="1" errorTitle="Ошибка" error="Допускается ввод только неотрицательных чисел!" sqref="AC510">
      <formula1>0</formula1>
      <formula2>9.99999999999999E+23</formula2>
    </dataValidation>
    <dataValidation type="decimal" allowBlank="1" showErrorMessage="1" errorTitle="Ошибка" error="Допускается ввод только неотрицательных чисел!" sqref="AE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decimal" allowBlank="1" showErrorMessage="1" errorTitle="Ошибка" error="Допускается ввод только неотрицательных чисел!" sqref="AC625">
      <formula1>0</formula1>
      <formula2>9.99999999999999E+23</formula2>
    </dataValidation>
    <dataValidation type="decimal" allowBlank="1" showErrorMessage="1" errorTitle="Ошибка" error="Допускается ввод только неотрицательных чисел!" sqref="AE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textLength" operator="lessThanOrEqual" allowBlank="1" showInputMessage="1" showErrorMessage="1" errorTitle="Ошибка" error="Допускается ввод не более 900 символов!" sqref="M729">
      <formula1>900</formula1>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textLength" operator="lessThanOrEqual" allowBlank="1" showInputMessage="1" showErrorMessage="1" errorTitle="Ошибка" error="Допускается ввод не более 900 символов!" sqref="K731">
      <formula1>900</formula1>
    </dataValidation>
    <dataValidation type="decimal" allowBlank="1" showErrorMessage="1" errorTitle="Ошибка" error="Допускается ввод только неотрицательных чисел!" sqref="AC731">
      <formula1>0</formula1>
      <formula2>9.99999999999999E+23</formula2>
    </dataValidation>
    <dataValidation type="decimal" allowBlank="1" showErrorMessage="1" errorTitle="Ошибка" error="Допускается ввод только неотрицательных чисел!" sqref="AE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decimal" allowBlank="1" showErrorMessage="1" errorTitle="Ошибка" error="Допускается ввод только неотрицательных чисел!" sqref="AC732">
      <formula1>0</formula1>
      <formula2>9.99999999999999E+23</formula2>
    </dataValidation>
    <dataValidation type="decimal" allowBlank="1" showErrorMessage="1" errorTitle="Ошибка" error="Допускается ввод только неотрицательных чисел!" sqref="AE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textLength" operator="lessThanOrEqual" allowBlank="1" showInputMessage="1" showErrorMessage="1" errorTitle="Ошибка" error="Допускается ввод не более 900 символов!" sqref="M398">
      <formula1>900</formula1>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textLength" operator="lessThanOrEqual" allowBlank="1" showInputMessage="1" showErrorMessage="1" errorTitle="Ошибка" error="Допускается ввод не более 900 символов!" sqref="M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decimal" allowBlank="1" showErrorMessage="1" errorTitle="Ошибка" error="Допускается ввод только неотрицательных чисел!" sqref="AC515">
      <formula1>0</formula1>
      <formula2>9.99999999999999E+23</formula2>
    </dataValidation>
    <dataValidation type="decimal" allowBlank="1" showErrorMessage="1" errorTitle="Ошибка" error="Допускается ввод только неотрицательных чисел!" sqref="AE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decimal" allowBlank="1" showErrorMessage="1" errorTitle="Ошибка" error="Допускается ввод только неотрицательных чисел!" sqref="AC516">
      <formula1>0</formula1>
      <formula2>9.99999999999999E+23</formula2>
    </dataValidation>
    <dataValidation type="decimal" allowBlank="1" showErrorMessage="1" errorTitle="Ошибка" error="Допускается ввод только неотрицательных чисел!" sqref="AE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textLength" operator="lessThanOrEqual" allowBlank="1" showInputMessage="1" showErrorMessage="1" errorTitle="Ошибка" error="Допускается ввод не более 900 символов!" sqref="M628">
      <formula1>900</formula1>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decimal" allowBlank="1" showErrorMessage="1" errorTitle="Ошибка" error="Допускается ввод только неотрицательных чисел!" sqref="AC630">
      <formula1>0</formula1>
      <formula2>9.99999999999999E+23</formula2>
    </dataValidation>
    <dataValidation type="decimal" allowBlank="1" showErrorMessage="1" errorTitle="Ошибка" error="Допускается ввод только неотрицательных чисел!" sqref="AE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textLength" operator="lessThanOrEqual" allowBlank="1" showInputMessage="1" showErrorMessage="1" errorTitle="Ошибка" error="Допускается ввод не более 900 символов!" sqref="K632">
      <formula1>900</formula1>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decimal" allowBlank="1" showErrorMessage="1" errorTitle="Ошибка" error="Допускается ввод только неотрицательных чисел!" sqref="AC631">
      <formula1>0</formula1>
      <formula2>9.99999999999999E+23</formula2>
    </dataValidation>
    <dataValidation type="decimal" allowBlank="1" showErrorMessage="1" errorTitle="Ошибка" error="Допускается ввод только неотрицательных чисел!" sqref="AE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textLength" operator="lessThanOrEqual" allowBlank="1" showInputMessage="1" showErrorMessage="1" errorTitle="Ошибка" error="Допускается ввод не более 900 символов!" sqref="M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decimal" allowBlank="1" showErrorMessage="1" errorTitle="Ошибка" error="Допускается ввод только неотрицательных чисел!" sqref="AC174">
      <formula1>0</formula1>
      <formula2>9.99999999999999E+23</formula2>
    </dataValidation>
    <dataValidation type="decimal" allowBlank="1" showErrorMessage="1" errorTitle="Ошибка" error="Допускается ввод только неотрицательных чисел!" sqref="AE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textLength" operator="lessThanOrEqual" allowBlank="1" showInputMessage="1" showErrorMessage="1" errorTitle="Ошибка" error="Допускается ввод не более 900 символов!" sqref="M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decimal" allowBlank="1" showErrorMessage="1" errorTitle="Ошибка" error="Допускается ввод только неотрицательных чисел!" sqref="AC179">
      <formula1>0</formula1>
      <formula2>9.99999999999999E+23</formula2>
    </dataValidation>
    <dataValidation type="decimal" allowBlank="1" showErrorMessage="1" errorTitle="Ошибка" error="Допускается ввод только неотрицательных чисел!" sqref="AE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decimal" allowBlank="1" showErrorMessage="1" errorTitle="Ошибка" error="Допускается ввод только неотрицательных чисел!" sqref="AC180">
      <formula1>0</formula1>
      <formula2>9.99999999999999E+23</formula2>
    </dataValidation>
    <dataValidation type="decimal" allowBlank="1" showErrorMessage="1" errorTitle="Ошибка" error="Допускается ввод только неотрицательных чисел!" sqref="AE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decimal" allowBlank="1" showErrorMessage="1" errorTitle="Ошибка" error="Допускается ввод только неотрицательных чисел!" sqref="AC185">
      <formula1>0</formula1>
      <formula2>9.99999999999999E+23</formula2>
    </dataValidation>
    <dataValidation type="decimal" allowBlank="1" showErrorMessage="1" errorTitle="Ошибка" error="Допускается ввод только неотрицательных чисел!" sqref="AE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textLength" operator="lessThanOrEqual" allowBlank="1" showInputMessage="1" showErrorMessage="1" errorTitle="Ошибка" error="Допускается ввод не более 900 символов!" sqref="M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decimal" allowBlank="1" showErrorMessage="1" errorTitle="Ошибка" error="Допускается ввод только неотрицательных чисел!" sqref="AC191">
      <formula1>0</formula1>
      <formula2>9.99999999999999E+23</formula2>
    </dataValidation>
    <dataValidation type="decimal" allowBlank="1" showErrorMessage="1" errorTitle="Ошибка" error="Допускается ввод только неотрицательных чисел!" sqref="AE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textLength" operator="lessThanOrEqual" allowBlank="1" showInputMessage="1" showErrorMessage="1" errorTitle="Ошибка" error="Допускается ввод не более 900 символов!" sqref="M410">
      <formula1>900</formula1>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textLength" operator="lessThanOrEqual" allowBlank="1" showInputMessage="1" showErrorMessage="1" errorTitle="Ошибка" error="Допускается ввод не более 900 символов!" sqref="M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decimal" allowBlank="1" showErrorMessage="1" errorTitle="Ошибка" error="Допускается ввод только неотрицательных чисел!" sqref="AC197">
      <formula1>0</formula1>
      <formula2>9.99999999999999E+23</formula2>
    </dataValidation>
    <dataValidation type="decimal" allowBlank="1" showErrorMessage="1" errorTitle="Ошибка" error="Допускается ввод только неотрицательных чисел!" sqref="AE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decimal" allowBlank="1" showErrorMessage="1" errorTitle="Ошибка" error="Допускается ввод только неотрицательных чисел!" sqref="AC211">
      <formula1>0</formula1>
      <formula2>9.99999999999999E+23</formula2>
    </dataValidation>
    <dataValidation type="decimal" allowBlank="1" showErrorMessage="1" errorTitle="Ошибка" error="Допускается ввод только неотрицательных чисел!" sqref="AE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textLength" operator="lessThanOrEqual" allowBlank="1" showInputMessage="1" showErrorMessage="1" errorTitle="Ошибка" error="Допускается ввод не более 900 символов!" sqref="M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decimal" allowBlank="1" showErrorMessage="1" errorTitle="Ошибка" error="Допускается ввод только неотрицательных чисел!" sqref="AC216">
      <formula1>0</formula1>
      <formula2>9.99999999999999E+23</formula2>
    </dataValidation>
    <dataValidation type="decimal" allowBlank="1" showErrorMessage="1" errorTitle="Ошибка" error="Допускается ввод только неотрицательных чисел!" sqref="AE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textLength" operator="lessThanOrEqual" allowBlank="1" showInputMessage="1" showErrorMessage="1" errorTitle="Ошибка" error="Допускается ввод не более 900 символов!" sqref="M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decimal" allowBlank="1" showErrorMessage="1" errorTitle="Ошибка" error="Допускается ввод только неотрицательных чисел!" sqref="AC223">
      <formula1>0</formula1>
      <formula2>9.99999999999999E+23</formula2>
    </dataValidation>
    <dataValidation type="decimal" allowBlank="1" showErrorMessage="1" errorTitle="Ошибка" error="Допускается ввод только неотрицательных чисел!" sqref="AE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textLength" operator="lessThanOrEqual" allowBlank="1" showInputMessage="1" showErrorMessage="1" errorTitle="Ошибка" error="Допускается ввод не более 900 символов!" sqref="M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decimal" allowBlank="1" showErrorMessage="1" errorTitle="Ошибка" error="Допускается ввод только неотрицательных чисел!" sqref="AC419">
      <formula1>0</formula1>
      <formula2>9.99999999999999E+23</formula2>
    </dataValidation>
    <dataValidation type="decimal" allowBlank="1" showErrorMessage="1" errorTitle="Ошибка" error="Допускается ввод только неотрицательных чисел!" sqref="AE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textLength" operator="lessThanOrEqual" allowBlank="1" showInputMessage="1" showErrorMessage="1" errorTitle="Ошибка" error="Допускается ввод не более 900 символов!" sqref="M519">
      <formula1>900</formula1>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decimal" allowBlank="1" showErrorMessage="1" errorTitle="Ошибка" error="Допускается ввод только неотрицательных чисел!" sqref="AC522">
      <formula1>0</formula1>
      <formula2>9.99999999999999E+23</formula2>
    </dataValidation>
    <dataValidation type="decimal" allowBlank="1" showErrorMessage="1" errorTitle="Ошибка" error="Допускается ввод только неотрицательных чисел!" sqref="AE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decimal" allowBlank="1" showErrorMessage="1" errorTitle="Ошибка" error="Допускается ввод только неотрицательных чисел!" sqref="AC523">
      <formula1>0</formula1>
      <formula2>9.99999999999999E+23</formula2>
    </dataValidation>
    <dataValidation type="decimal" allowBlank="1" showErrorMessage="1" errorTitle="Ошибка" error="Допускается ввод только неотрицательных чисел!" sqref="AE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textLength" operator="lessThanOrEqual" allowBlank="1" showInputMessage="1" showErrorMessage="1" errorTitle="Ошибка" error="Допускается ввод не более 900 символов!" sqref="M634">
      <formula1>900</formula1>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decimal" allowBlank="1" showErrorMessage="1" errorTitle="Ошибка" error="Допускается ввод только неотрицательных чисел!" sqref="AC636">
      <formula1>0</formula1>
      <formula2>9.99999999999999E+23</formula2>
    </dataValidation>
    <dataValidation type="decimal" allowBlank="1" showErrorMessage="1" errorTitle="Ошибка" error="Допускается ввод только неотрицательных чисел!" sqref="AE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decimal" allowBlank="1" showErrorMessage="1" errorTitle="Ошибка" error="Допускается ввод только неотрицательных чисел!" sqref="AC637">
      <formula1>0</formula1>
      <formula2>9.99999999999999E+23</formula2>
    </dataValidation>
    <dataValidation type="decimal" allowBlank="1" showErrorMessage="1" errorTitle="Ошибка" error="Допускается ввод только неотрицательных чисел!" sqref="AE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textLength" operator="lessThanOrEqual" allowBlank="1" showInputMessage="1" showErrorMessage="1" errorTitle="Ошибка" error="Допускается ввод не более 900 символов!" sqref="M640">
      <formula1>900</formula1>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decimal" allowBlank="1" showErrorMessage="1" errorTitle="Ошибка" error="Допускается ввод только неотрицательных чисел!" sqref="AC642">
      <formula1>0</formula1>
      <formula2>9.99999999999999E+23</formula2>
    </dataValidation>
    <dataValidation type="decimal" allowBlank="1" showErrorMessage="1" errorTitle="Ошибка" error="Допускается ввод только неотрицательных чисел!" sqref="AE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textLength" operator="lessThanOrEqual" allowBlank="1" showInputMessage="1" showErrorMessage="1" errorTitle="Ошибка" error="Допускается ввод не более 900 символов!" sqref="M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textLength" operator="lessThanOrEqual" allowBlank="1" showInputMessage="1" showErrorMessage="1" errorTitle="Ошибка" error="Допускается ввод не более 900 символов!" sqref="M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decimal" allowBlank="1" showErrorMessage="1" errorTitle="Ошибка" error="Допускается ввод только неотрицательных чисел!" sqref="AC248">
      <formula1>0</formula1>
      <formula2>9.99999999999999E+23</formula2>
    </dataValidation>
    <dataValidation type="decimal" allowBlank="1" showErrorMessage="1" errorTitle="Ошибка" error="Допускается ввод только неотрицательных чисел!" sqref="AE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textLength" operator="lessThanOrEqual" allowBlank="1" showInputMessage="1" showErrorMessage="1" errorTitle="Ошибка" error="Допускается ввод не более 900 символов!" sqref="M423">
      <formula1>900</formula1>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textLength" operator="lessThanOrEqual" allowBlank="1" showInputMessage="1" showErrorMessage="1" errorTitle="Ошибка" error="Допускается ввод не более 900 символов!" sqref="M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decimal" allowBlank="1" showErrorMessage="1" errorTitle="Ошибка" error="Допускается ввод только неотрицательных чисел!" sqref="AC426">
      <formula1>0</formula1>
      <formula2>9.99999999999999E+23</formula2>
    </dataValidation>
    <dataValidation type="decimal" allowBlank="1" showErrorMessage="1" errorTitle="Ошибка" error="Допускается ввод только неотрицательных чисел!" sqref="AE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textLength" operator="lessThanOrEqual" allowBlank="1" showInputMessage="1" showErrorMessage="1" errorTitle="Ошибка" error="Допускается ввод не более 900 символов!" sqref="M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decimal" allowBlank="1" showErrorMessage="1" errorTitle="Ошибка" error="Допускается ввод только неотрицательных чисел!" sqref="AC528">
      <formula1>0</formula1>
      <formula2>9.99999999999999E+23</formula2>
    </dataValidation>
    <dataValidation type="decimal" allowBlank="1" showErrorMessage="1" errorTitle="Ошибка" error="Допускается ввод только неотрицательных чисел!" sqref="AE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textLength" operator="lessThanOrEqual" allowBlank="1" showInputMessage="1" showErrorMessage="1" errorTitle="Ошибка" error="Допускается ввод не более 900 символов!" sqref="M532">
      <formula1>900</formula1>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decimal" allowBlank="1" showErrorMessage="1" errorTitle="Ошибка" error="Допускается ввод только неотрицательных чисел!" sqref="AC535">
      <formula1>0</formula1>
      <formula2>9.99999999999999E+23</formula2>
    </dataValidation>
    <dataValidation type="decimal" allowBlank="1" showErrorMessage="1" errorTitle="Ошибка" error="Допускается ввод только неотрицательных чисел!" sqref="AE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textLength" operator="lessThanOrEqual" allowBlank="1" showInputMessage="1" showErrorMessage="1" errorTitle="Ошибка" error="Допускается ввод не более 900 символов!" sqref="M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textLength" operator="lessThanOrEqual" allowBlank="1" showInputMessage="1" showErrorMessage="1" errorTitle="Ошибка" error="Допускается ввод не более 900 символов!" sqref="K647">
      <formula1>900</formula1>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decimal" allowBlank="1" showErrorMessage="1" errorTitle="Ошибка" error="Допускается ввод только неотрицательных чисел!" sqref="AC648">
      <formula1>0</formula1>
      <formula2>9.99999999999999E+23</formula2>
    </dataValidation>
    <dataValidation type="decimal" allowBlank="1" showErrorMessage="1" errorTitle="Ошибка" error="Допускается ввод только неотрицательных чисел!" sqref="AE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decimal" allowBlank="1" showErrorMessage="1" errorTitle="Ошибка" error="Допускается ввод только неотрицательных чисел!" sqref="AC643">
      <formula1>0</formula1>
      <formula2>9.99999999999999E+23</formula2>
    </dataValidation>
    <dataValidation type="decimal" allowBlank="1" showErrorMessage="1" errorTitle="Ошибка" error="Допускается ввод только неотрицательных чисел!" sqref="AE643">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decimal" allowBlank="1" showErrorMessage="1" errorTitle="Ошибка" error="Допускается ввод только неотрицательных чисел!" sqref="AC649">
      <formula1>0</formula1>
      <formula2>9.99999999999999E+23</formula2>
    </dataValidation>
    <dataValidation type="decimal" allowBlank="1" showErrorMessage="1" errorTitle="Ошибка" error="Допускается ввод только неотрицательных чисел!" sqref="AE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textLength" operator="lessThanOrEqual" allowBlank="1" showInputMessage="1" showErrorMessage="1" errorTitle="Ошибка" error="Допускается ввод не более 900 символов!" sqref="M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decimal" allowBlank="1" showErrorMessage="1" errorTitle="Ошибка" error="Допускается ввод только неотрицательных чисел!" sqref="AC690">
      <formula1>0</formula1>
      <formula2>9.99999999999999E+23</formula2>
    </dataValidation>
    <dataValidation type="decimal" allowBlank="1" showErrorMessage="1" errorTitle="Ошибка" error="Допускается ввод только неотрицательных чисел!" sqref="AE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textLength" operator="lessThanOrEqual" allowBlank="1" showInputMessage="1" showErrorMessage="1" errorTitle="Ошибка" error="Допускается ввод не более 900 символов!" sqref="K692">
      <formula1>900</formula1>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textLength" operator="lessThanOrEqual" allowBlank="1" showInputMessage="1" showErrorMessage="1" errorTitle="Ошибка" error="Допускается ввод не более 900 символов!" sqref="M694">
      <formula1>900</formula1>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decimal" allowBlank="1" showErrorMessage="1" errorTitle="Ошибка" error="Допускается ввод только неотрицательных чисел!" sqref="AC696">
      <formula1>0</formula1>
      <formula2>9.99999999999999E+23</formula2>
    </dataValidation>
    <dataValidation type="decimal" allowBlank="1" showErrorMessage="1" errorTitle="Ошибка" error="Допускается ввод только неотрицательных чисел!" sqref="AE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textLength" operator="lessThanOrEqual" allowBlank="1" showInputMessage="1" showErrorMessage="1" errorTitle="Ошибка" error="Допускается ввод не более 900 символов!" sqref="M735">
      <formula1>900</formula1>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textLength" operator="lessThanOrEqual" allowBlank="1" showInputMessage="1" showErrorMessage="1" errorTitle="Ошибка" error="Допускается ввод не более 900 символов!" sqref="K736">
      <formula1>900</formula1>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textLength" operator="lessThanOrEqual" allowBlank="1" showInputMessage="1" showErrorMessage="1" errorTitle="Ошибка" error="Допускается ввод не более 900 символов!" sqref="K737">
      <formula1>900</formula1>
    </dataValidation>
    <dataValidation type="decimal" allowBlank="1" showErrorMessage="1" errorTitle="Ошибка" error="Допускается ввод только неотрицательных чисел!" sqref="AC737">
      <formula1>0</formula1>
      <formula2>9.99999999999999E+23</formula2>
    </dataValidation>
    <dataValidation type="decimal" allowBlank="1" showErrorMessage="1" errorTitle="Ошибка" error="Допускается ввод только неотрицательных чисел!" sqref="AE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textLength" operator="lessThanOrEqual" allowBlank="1" showInputMessage="1" showErrorMessage="1" errorTitle="Ошибка" error="Допускается ввод не более 900 символов!" sqref="M741">
      <formula1>900</formula1>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textLength" operator="lessThanOrEqual" allowBlank="1" showInputMessage="1" showErrorMessage="1" errorTitle="Ошибка" error="Допускается ввод не более 900 символов!" sqref="K743">
      <formula1>900</formula1>
    </dataValidation>
    <dataValidation type="decimal" allowBlank="1" showErrorMessage="1" errorTitle="Ошибка" error="Допускается ввод только неотрицательных чисел!" sqref="AC743">
      <formula1>0</formula1>
      <formula2>9.99999999999999E+23</formula2>
    </dataValidation>
    <dataValidation type="decimal" allowBlank="1" showErrorMessage="1" errorTitle="Ошибка" error="Допускается ввод только неотрицательных чисел!" sqref="AE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decimal" allowBlank="1" showErrorMessage="1" errorTitle="Ошибка" error="Допускается ввод только неотрицательных чисел!" sqref="AC738">
      <formula1>0</formula1>
      <formula2>9.99999999999999E+23</formula2>
    </dataValidation>
    <dataValidation type="decimal" allowBlank="1" showErrorMessage="1" errorTitle="Ошибка" error="Допускается ввод только неотрицательных чисел!" sqref="AE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decimal" allowBlank="1" showErrorMessage="1" errorTitle="Ошибка" error="Допускается ввод только неотрицательных чисел!" sqref="AC744">
      <formula1>0</formula1>
      <formula2>9.99999999999999E+23</formula2>
    </dataValidation>
    <dataValidation type="decimal" allowBlank="1" showErrorMessage="1" errorTitle="Ошибка" error="Допускается ввод только неотрицательных чисел!" sqref="AE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decimal" allowBlank="1" showErrorMessage="1" errorTitle="Ошибка" error="Допускается ввод только неотрицательных чисел!" sqref="AC691">
      <formula1>0</formula1>
      <formula2>9.99999999999999E+23</formula2>
    </dataValidation>
    <dataValidation type="decimal" allowBlank="1" showErrorMessage="1" errorTitle="Ошибка" error="Допускается ввод только неотрицательных чисел!" sqref="AE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decimal" allowBlank="1" showErrorMessage="1" errorTitle="Ошибка" error="Допускается ввод только неотрицательных чисел!" sqref="AC697">
      <formula1>0</formula1>
      <formula2>9.99999999999999E+23</formula2>
    </dataValidation>
    <dataValidation type="decimal" allowBlank="1" showErrorMessage="1" errorTitle="Ошибка" error="Допускается ввод только неотрицательных чисел!" sqref="AE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textLength" operator="lessThanOrEqual" allowBlank="1" showInputMessage="1" showErrorMessage="1" errorTitle="Ошибка" error="Допускается ввод не более 900 символов!" sqref="K747">
      <formula1>900</formula1>
    </dataValidation>
    <dataValidation type="textLength" operator="lessThanOrEqual" allowBlank="1" showInputMessage="1" showErrorMessage="1" errorTitle="Ошибка" error="Допускается ввод не более 900 символов!" sqref="M747">
      <formula1>900</formula1>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textLength" operator="lessThanOrEqual" allowBlank="1" showInputMessage="1" showErrorMessage="1" errorTitle="Ошибка" error="Допускается ввод не более 900 символов!" sqref="K748">
      <formula1>900</formula1>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textLength" operator="lessThanOrEqual" allowBlank="1" showInputMessage="1" showErrorMessage="1" errorTitle="Ошибка" error="Допускается ввод не более 900 символов!" sqref="K749">
      <formula1>900</formula1>
    </dataValidation>
    <dataValidation type="decimal" allowBlank="1" showErrorMessage="1" errorTitle="Ошибка" error="Допускается ввод только неотрицательных чисел!" sqref="AC749">
      <formula1>0</formula1>
      <formula2>9.99999999999999E+23</formula2>
    </dataValidation>
    <dataValidation type="decimal" allowBlank="1" showErrorMessage="1" errorTitle="Ошибка" error="Допускается ввод только неотрицательных чисел!" sqref="AE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textLength" operator="lessThanOrEqual" allowBlank="1" showInputMessage="1" showErrorMessage="1" errorTitle="Ошибка" error="Допускается ввод не более 900 символов!" sqref="M652">
      <formula1>900</formula1>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decimal" allowBlank="1" showErrorMessage="1" errorTitle="Ошибка" error="Допускается ввод только неотрицательных чисел!" sqref="AC655">
      <formula1>0</formula1>
      <formula2>9.99999999999999E+23</formula2>
    </dataValidation>
    <dataValidation type="decimal" allowBlank="1" showErrorMessage="1" errorTitle="Ошибка" error="Допускается ввод только неотрицательных чисел!" sqref="AE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textLength" operator="lessThanOrEqual" allowBlank="1" showInputMessage="1" showErrorMessage="1" errorTitle="Ошибка" error="Допускается ввод не более 900 символов!" sqref="M538">
      <formula1>900</formula1>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decimal" allowBlank="1" showErrorMessage="1" errorTitle="Ошибка" error="Допускается ввод только неотрицательных чисел!" sqref="AC541">
      <formula1>0</formula1>
      <formula2>9.99999999999999E+23</formula2>
    </dataValidation>
    <dataValidation type="decimal" allowBlank="1" showErrorMessage="1" errorTitle="Ошибка" error="Допускается ввод только неотрицательных чисел!" sqref="AE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textLength" operator="lessThanOrEqual" allowBlank="1" showInputMessage="1" showErrorMessage="1" errorTitle="Ошибка" error="Допускается ввод не более 900 символов!" sqref="M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textLength" operator="lessThanOrEqual" allowBlank="1" showInputMessage="1" showErrorMessage="1" errorTitle="Ошибка" error="Допускается ввод не более 900 символов!" sqref="M435">
      <formula1>900</formula1>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decimal" allowBlank="1" showErrorMessage="1" errorTitle="Ошибка" error="Допускается ввод только неотрицательных чисел!" sqref="AC438">
      <formula1>0</formula1>
      <formula2>9.99999999999999E+23</formula2>
    </dataValidation>
    <dataValidation type="decimal" allowBlank="1" showErrorMessage="1" errorTitle="Ошибка" error="Допускается ввод только неотрицательных чисел!" sqref="AE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textLength" operator="lessThanOrEqual" allowBlank="1" showInputMessage="1" showErrorMessage="1" errorTitle="Ошибка" error="Допускается ввод не более 900 символов!" sqref="M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textLength" operator="lessThanOrEqual" allowBlank="1" showInputMessage="1" showErrorMessage="1" errorTitle="Ошибка" error="Допускается ввод не более 900 символов!" sqref="M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decimal" allowBlank="1" showErrorMessage="1" errorTitle="Ошибка" error="Допускается ввод только неотрицательных чисел!" sqref="AC265">
      <formula1>0</formula1>
      <formula2>9.99999999999999E+23</formula2>
    </dataValidation>
    <dataValidation type="decimal" allowBlank="1" showErrorMessage="1" errorTitle="Ошибка" error="Допускается ввод только неотрицательных чисел!" sqref="AE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textLength" operator="lessThanOrEqual" allowBlank="1" showInputMessage="1" showErrorMessage="1" errorTitle="Ошибка" error="Допускается ввод не более 900 символов!" sqref="M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decimal" allowBlank="1" showErrorMessage="1" errorTitle="Ошибка" error="Допускается ввод только неотрицательных чисел!" sqref="AC444">
      <formula1>0</formula1>
      <formula2>9.99999999999999E+23</formula2>
    </dataValidation>
    <dataValidation type="decimal" allowBlank="1" showErrorMessage="1" errorTitle="Ошибка" error="Допускается ввод только неотрицательных чисел!" sqref="AE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textLength" operator="lessThanOrEqual" allowBlank="1" showInputMessage="1" showErrorMessage="1" errorTitle="Ошибка" error="Допускается ввод не более 900 символов!" sqref="M544">
      <formula1>900</formula1>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textLength" operator="lessThanOrEqual" allowBlank="1" showInputMessage="1" showErrorMessage="1" errorTitle="Ошибка" error="Допускается ввод не более 900 символов!" sqref="M550">
      <formula1>900</formula1>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textLength" operator="lessThanOrEqual" allowBlank="1" showInputMessage="1" showErrorMessage="1" errorTitle="Ошибка" error="Допускается ввод не более 900 символов!" sqref="M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decimal" allowBlank="1" showErrorMessage="1" errorTitle="Ошибка" error="Допускается ввод только неотрицательных чисел!" sqref="AC450">
      <formula1>0</formula1>
      <formula2>9.99999999999999E+23</formula2>
    </dataValidation>
    <dataValidation type="decimal" allowBlank="1" showErrorMessage="1" errorTitle="Ошибка" error="Допускается ввод только неотрицательных чисел!" sqref="AE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textLength" operator="lessThanOrEqual" allowBlank="1" showInputMessage="1" showErrorMessage="1" errorTitle="Ошибка" error="Допускается ввод не более 900 символов!" sqref="M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textLength" operator="lessThanOrEqual" allowBlank="1" showInputMessage="1" showErrorMessage="1" errorTitle="Ошибка" error="Допускается ввод не более 900 символов!" sqref="M453">
      <formula1>900</formula1>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decimal" allowBlank="1" showErrorMessage="1" errorTitle="Ошибка" error="Допускается ввод только неотрицательных чисел!" sqref="AC456">
      <formula1>0</formula1>
      <formula2>9.99999999999999E+23</formula2>
    </dataValidation>
    <dataValidation type="decimal" allowBlank="1" showErrorMessage="1" errorTitle="Ошибка" error="Допускается ввод только неотрицательных чисел!" sqref="AE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textLength" operator="lessThanOrEqual" allowBlank="1" showInputMessage="1" showErrorMessage="1" errorTitle="Ошибка" error="Допускается ввод не более 900 символов!" sqref="M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textLength" operator="lessThanOrEqual" allowBlank="1" showInputMessage="1" showErrorMessage="1" errorTitle="Ошибка" error="Допускается ввод не более 900 символов!" sqref="M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textLength" operator="lessThanOrEqual" allowBlank="1" showInputMessage="1" showErrorMessage="1" errorTitle="Ошибка" error="Допускается ввод не более 900 символов!" sqref="M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3EE46C-370D-1EE9-1545-0ECE30D281E3}" mc:Ignorable="x14ac xr xr2 xr3">
  <sheetPr>
    <tabColor theme="9" tint="-0.25"/>
  </sheetPr>
  <dimension ref="A1:AE59"/>
  <sheetViews>
    <sheetView showGridLines="0" zoomScale="85" workbookViewId="0">
      <pane xSplit="9" ySplit="13" topLeftCell="J14" activePane="bottomRight" state="frozen"/>
      <selection pane="bottomLeft" activeCell="A14" sqref="A14"/>
      <selection pane="topRight" activeCell="J1" sqref="J1"/>
      <selection pane="bottomRight" activeCell="Q1" sqref="Q1:Q59"/>
    </sheetView>
  </sheetViews>
  <sheetFormatPr defaultColWidth="9.140625" customHeight="1" defaultRowHeight="10.5"/>
  <cols>
    <col min="1" max="3" style="18725" width="4.140625" hidden="1" customWidth="1"/>
    <col min="4" max="4" style="17315" width="4.140625" hidden="1" customWidth="1"/>
    <col min="5" max="5" style="17239" width="3.00390625" customWidth="1"/>
    <col min="6" max="6" style="17239" width="6.00390625" customWidth="1"/>
    <col min="7" max="7" style="17239" width="60.00390625" customWidth="1"/>
    <col min="8" max="9" style="17239" width="21.7109375" hidden="1" customWidth="1"/>
    <col min="10" max="10" style="17239" width="0.140625" customWidth="1"/>
    <col min="11" max="17" style="18983" width="21.7109375" hidden="1" customWidth="1"/>
    <col min="18" max="18" style="18983" width="0.140625" customWidth="1"/>
    <col min="19" max="19" style="17239" width="1.00390625" customWidth="1"/>
    <col min="20" max="30" style="17239" width="8.00390625" customWidth="1"/>
    <col min="31" max="31" style="17239" width="9.140625" hidden="1"/>
  </cols>
  <sheetData>
    <row s="17315" customFormat="1" customHeight="1" ht="10.5" hidden="1">
      <c r="A1" s="1507"/>
      <c r="B1" s="1507"/>
      <c r="C1" s="1507"/>
      <c r="E1" s="878"/>
      <c r="K1" s="4711"/>
      <c r="L1" s="4711"/>
      <c r="M1" s="4711"/>
      <c r="N1" s="4711"/>
      <c r="O1" s="4711"/>
      <c r="P1" s="4711"/>
      <c r="Q1" s="4711"/>
      <c r="R1" s="4711"/>
      <c r="AE1" s="1501" t="s">
        <v>14</v>
      </c>
    </row>
    <row customHeight="1" ht="10.5" hidden="1">
      <c r="K2" s="4573"/>
      <c r="L2" s="4573"/>
      <c r="M2" s="4573"/>
      <c r="N2" s="4573"/>
      <c r="O2" s="4573"/>
      <c r="P2" s="4573"/>
      <c r="Q2" s="4573"/>
      <c r="R2" s="4573"/>
      <c r="AE2" s="1496">
        <v>0</v>
      </c>
    </row>
    <row s="17203" customFormat="1" customHeight="1" ht="10.5" hidden="1">
      <c r="A3" s="1507"/>
      <c r="B3" s="1507"/>
      <c r="C3" s="1507"/>
      <c r="D3" s="1501"/>
      <c r="E3" s="703"/>
      <c r="K3" s="4712"/>
      <c r="L3" s="4712"/>
      <c r="M3" s="4712"/>
      <c r="N3" s="4712"/>
      <c r="O3" s="4712"/>
      <c r="P3" s="4712"/>
      <c r="Q3" s="4712"/>
      <c r="R3" s="4712"/>
      <c r="AE3" s="1497">
        <v>0</v>
      </c>
    </row>
    <row customHeight="1" ht="3">
      <c r="K4" s="4573"/>
      <c r="L4" s="4573"/>
      <c r="M4" s="4573"/>
      <c r="N4" s="4573"/>
      <c r="O4" s="4573"/>
      <c r="P4" s="4573"/>
      <c r="Q4" s="4573"/>
      <c r="R4" s="4573"/>
      <c r="AE4" s="1496">
        <v>3</v>
      </c>
    </row>
    <row customHeight="1" ht="27.299999999999997">
      <c r="F5" s="258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89"/>
      <c r="H5" s="2589"/>
      <c r="I5" s="2589"/>
      <c r="J5" s="2589"/>
      <c r="K5" s="4713"/>
      <c r="L5" s="4713"/>
      <c r="M5" s="4713"/>
      <c r="N5" s="4713"/>
      <c r="O5" s="4713"/>
      <c r="P5" s="4713"/>
      <c r="Q5" s="4713"/>
      <c r="R5" s="4713"/>
      <c r="AE5" s="1496">
        <v>26</v>
      </c>
    </row>
    <row customHeight="1" ht="10.5">
      <c r="F6" s="2517" t="str">
        <f>IF(org=0,"Не определено",org)</f>
        <v>АО "ДГК"</v>
      </c>
      <c r="G6" s="2517"/>
      <c r="H6" s="2517"/>
      <c r="I6" s="2517"/>
      <c r="J6" s="2517"/>
      <c r="K6" s="4714"/>
      <c r="L6" s="4714"/>
      <c r="M6" s="4714"/>
      <c r="N6" s="4714"/>
      <c r="O6" s="4714"/>
      <c r="P6" s="4714"/>
      <c r="Q6" s="4714"/>
      <c r="R6" s="4714"/>
      <c r="AE6" s="1496">
        <v>10</v>
      </c>
    </row>
    <row customHeight="1" ht="11.549999999999999">
      <c r="E7" s="1511"/>
      <c r="F7" s="1568"/>
      <c r="G7" s="1568"/>
      <c r="H7" s="1568"/>
      <c r="I7" s="1568"/>
      <c r="J7" s="1568"/>
      <c r="K7" s="4716" t="s">
        <v>22</v>
      </c>
      <c r="L7" s="4716"/>
      <c r="M7" s="4716" t="s">
        <v>22</v>
      </c>
      <c r="N7" s="4716" t="s">
        <v>22</v>
      </c>
      <c r="O7" s="4716" t="s">
        <v>22</v>
      </c>
      <c r="P7" s="4716" t="s">
        <v>22</v>
      </c>
      <c r="Q7" s="4716" t="s">
        <v>22</v>
      </c>
      <c r="R7" s="4716"/>
      <c r="S7" s="1498"/>
      <c r="T7" s="1498"/>
      <c r="U7" s="1498"/>
      <c r="V7" s="1498"/>
      <c r="W7" s="1498"/>
      <c r="X7" s="1498"/>
      <c r="Y7" s="1498"/>
      <c r="Z7" s="1498"/>
      <c r="AA7" s="1498"/>
      <c r="AB7" s="1498"/>
      <c r="AC7" s="1498"/>
      <c r="AD7" s="1498"/>
      <c r="AE7" s="1496">
        <v>11</v>
      </c>
    </row>
    <row s="17316" customFormat="1" customHeight="1" ht="4.2">
      <c r="A8" s="1508"/>
      <c r="B8" s="1508"/>
      <c r="C8" s="1508"/>
      <c r="E8" s="1569"/>
      <c r="F8" s="1570"/>
      <c r="G8" s="1570"/>
      <c r="H8" s="1570"/>
      <c r="I8" s="1570"/>
      <c r="J8" s="1570"/>
      <c r="K8" s="4720" t="s">
        <v>990</v>
      </c>
      <c r="L8" s="4720"/>
      <c r="M8" s="4720"/>
      <c r="N8" s="4720"/>
      <c r="O8" s="4720"/>
      <c r="P8" s="4720"/>
      <c r="Q8" s="4720"/>
      <c r="R8" s="4720"/>
      <c r="S8" s="1569"/>
      <c r="T8" s="1569"/>
      <c r="U8" s="1569"/>
      <c r="V8" s="1569"/>
      <c r="W8" s="1569"/>
      <c r="X8" s="1569"/>
      <c r="Y8" s="1569"/>
      <c r="Z8" s="1569"/>
      <c r="AA8" s="1569"/>
      <c r="AB8" s="1569"/>
      <c r="AC8" s="1569"/>
      <c r="AD8" s="1569"/>
      <c r="AE8" s="852">
        <v>4</v>
      </c>
    </row>
    <row customHeight="1" ht="10.5">
      <c r="E9" s="1511"/>
      <c r="F9" s="2760" t="s">
        <v>295</v>
      </c>
      <c r="G9" s="2761"/>
      <c r="H9" s="2761"/>
      <c r="I9" s="2761"/>
      <c r="J9" s="2761"/>
      <c r="K9" s="4723"/>
      <c r="L9" s="4723"/>
      <c r="M9" s="4723"/>
      <c r="N9" s="4723"/>
      <c r="O9" s="4723"/>
      <c r="P9" s="4723"/>
      <c r="Q9" s="4723"/>
      <c r="R9" s="4723"/>
      <c r="S9" s="1581"/>
      <c r="T9" s="1498"/>
      <c r="U9" s="1498"/>
      <c r="V9" s="1498"/>
      <c r="W9" s="1498"/>
      <c r="X9" s="1498"/>
      <c r="Y9" s="1498"/>
      <c r="Z9" s="1498"/>
      <c r="AA9" s="1498"/>
      <c r="AB9" s="1498"/>
      <c r="AC9" s="1498"/>
      <c r="AD9" s="1498"/>
      <c r="AE9" s="1496">
        <v>10</v>
      </c>
    </row>
    <row customHeight="1" ht="25.2">
      <c r="E10" s="1498"/>
      <c r="F10" s="2764" t="s">
        <v>88</v>
      </c>
      <c r="G10" s="2769" t="s">
        <v>1193</v>
      </c>
      <c r="H10" s="2767" t="s">
        <v>1194</v>
      </c>
      <c r="I10" s="2767"/>
      <c r="J10" s="2767"/>
      <c r="K10" s="4728" t="s">
        <v>1194</v>
      </c>
      <c r="L10" s="4728"/>
      <c r="M10" s="4728"/>
      <c r="N10" s="4728"/>
      <c r="O10" s="4728"/>
      <c r="P10" s="4728"/>
      <c r="Q10" s="4728"/>
      <c r="R10" s="4728"/>
      <c r="S10" s="1574"/>
      <c r="T10" s="1498"/>
      <c r="U10" s="1498"/>
      <c r="V10" s="1498"/>
      <c r="W10" s="1498"/>
      <c r="X10" s="1498"/>
      <c r="Y10" s="1498"/>
      <c r="Z10" s="1498"/>
      <c r="AA10" s="1498"/>
      <c r="AB10" s="1498"/>
      <c r="AC10" s="1498"/>
      <c r="AD10" s="1498"/>
      <c r="AE10" s="1496">
        <v>24</v>
      </c>
    </row>
    <row customHeight="1" ht="25.5">
      <c r="E11" s="1498"/>
      <c r="F11" s="2765"/>
      <c r="G11" s="2769"/>
      <c r="H11" s="2768">
        <f>INDEX(IP_MAIN_LIST_NAME_IP,MATCH(H8,IP_MAIN_LIST_IP_ID,0))&amp;" ("&amp;INDEX(IP_MAIN_START_DATE,MATCH(H8,IP_MAIN_LIST_IP_ID,0))&amp;"-"&amp;INDEX(IP_MAIN_END_DATE,MATCH(H8,IP_MAIN_LIST_IP_ID,0))&amp;")"</f>
      </c>
      <c r="I11" s="2768"/>
      <c r="J11" s="2768"/>
      <c r="K11" s="4732" t="str">
        <f>INDEX(IP_MAIN_LIST_NAME_IP,MATCH(K8,IP_MAIN_LIST_IP_ID,0))&amp;" ("&amp;INDEX(IP_MAIN_START_DATE,MATCH(K8,IP_MAIN_LIST_IP_ID,0))&amp;"-"&amp;INDEX(IP_MAIN_END_DATE,MATCH(K8,IP_MAIN_LIST_IP_ID,0))&amp;")"</f>
        <v>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 (23.12.2024-31.12.2029)</v>
      </c>
      <c r="L11" s="4732"/>
      <c r="M11" s="4732"/>
      <c r="N11" s="4732"/>
      <c r="O11" s="4732"/>
      <c r="P11" s="4732"/>
      <c r="Q11" s="4732"/>
      <c r="R11" s="4732"/>
      <c r="S11" s="1574"/>
      <c r="T11" s="1498"/>
      <c r="U11" s="1498"/>
      <c r="V11" s="1498"/>
      <c r="W11" s="1498"/>
      <c r="X11" s="1498"/>
      <c r="Y11" s="1498"/>
      <c r="Z11" s="1498"/>
      <c r="AA11" s="1498"/>
      <c r="AB11" s="1498"/>
      <c r="AC11" s="1498"/>
      <c r="AD11" s="1498"/>
      <c r="AE11" s="1496">
        <v>24</v>
      </c>
    </row>
    <row customHeight="1" ht="10.5">
      <c r="F12" s="2766"/>
      <c r="G12" s="2769"/>
      <c r="H12" s="1567" t="s">
        <v>1195</v>
      </c>
      <c r="I12" s="1573"/>
      <c r="J12" s="1567"/>
      <c r="K12" s="4736" t="s">
        <v>1195</v>
      </c>
      <c r="L12" s="4737">
        <v>2024</v>
      </c>
      <c r="M12" s="4737">
        <v>2025</v>
      </c>
      <c r="N12" s="4737">
        <v>2026</v>
      </c>
      <c r="O12" s="4737">
        <v>2027</v>
      </c>
      <c r="P12" s="4737">
        <v>2028</v>
      </c>
      <c r="Q12" s="4737">
        <v>2029</v>
      </c>
      <c r="R12" s="4736"/>
      <c r="S12" s="1575"/>
      <c r="AE12" s="1496">
        <v>10</v>
      </c>
    </row>
    <row customHeight="1" ht="10.5" hidden="1">
      <c r="F13" s="1567">
        <v>1</v>
      </c>
      <c r="G13" s="1567">
        <v>2</v>
      </c>
      <c r="H13" s="1567">
        <v>3</v>
      </c>
      <c r="I13" s="1567">
        <v>4</v>
      </c>
      <c r="J13" s="1567">
        <v>5</v>
      </c>
      <c r="K13" s="4736">
        <v>3</v>
      </c>
      <c r="L13" s="4736">
        <v>4</v>
      </c>
      <c r="M13" s="4736">
        <v>4</v>
      </c>
      <c r="N13" s="4736">
        <v>4</v>
      </c>
      <c r="O13" s="4736">
        <v>4</v>
      </c>
      <c r="P13" s="4736">
        <v>4</v>
      </c>
      <c r="Q13" s="4736">
        <v>4</v>
      </c>
      <c r="R13" s="4736">
        <v>5</v>
      </c>
      <c r="S13" s="1575"/>
      <c r="AE13" s="1496">
        <v>0</v>
      </c>
    </row>
    <row customHeight="1" ht="11.549999999999999">
      <c r="F14" s="1566" t="s">
        <v>1196</v>
      </c>
      <c r="G14" s="2762" t="s">
        <v>1197</v>
      </c>
      <c r="H14" s="2762"/>
      <c r="I14" s="2762"/>
      <c r="J14" s="2762"/>
      <c r="K14" s="4741"/>
      <c r="L14" s="4741"/>
      <c r="M14" s="4741"/>
      <c r="N14" s="4741"/>
      <c r="O14" s="4741"/>
      <c r="P14" s="4741"/>
      <c r="Q14" s="4741"/>
      <c r="R14" s="4741"/>
      <c r="S14" s="1575"/>
      <c r="AE14" s="1496">
        <v>11</v>
      </c>
    </row>
    <row customHeight="1" ht="11.549999999999999">
      <c r="F15" s="1571">
        <v>1</v>
      </c>
      <c r="G15" s="1031" t="s">
        <v>1198</v>
      </c>
      <c r="H15" s="1577">
        <f>SUM(I15:J15)</f>
        <v>0</v>
      </c>
      <c r="I15" s="1577">
        <f>SUM(I16:I27)</f>
        <v>0</v>
      </c>
      <c r="J15" s="1566"/>
      <c r="K15" s="4744">
        <f>SUM(L15:R15)</f>
        <v>0</v>
      </c>
      <c r="L15" s="4744">
        <f>SUM(L16:L27)</f>
        <v>0</v>
      </c>
      <c r="M15" s="4744">
        <f>SUM(M16:M27)</f>
        <v>0</v>
      </c>
      <c r="N15" s="4744">
        <f>SUM(N16:N27)</f>
        <v>0</v>
      </c>
      <c r="O15" s="4744">
        <f>SUM(O16:O27)</f>
        <v>0</v>
      </c>
      <c r="P15" s="4744">
        <f>SUM(P16:P27)</f>
        <v>0</v>
      </c>
      <c r="Q15" s="4744">
        <f>SUM(Q16:Q27)</f>
        <v>0</v>
      </c>
      <c r="R15" s="4728"/>
      <c r="S15" s="1575"/>
      <c r="AE15" s="1496">
        <v>11</v>
      </c>
    </row>
    <row customHeight="1" ht="24">
      <c r="F16" s="1571" t="s">
        <v>1199</v>
      </c>
      <c r="G16" s="1578" t="s">
        <v>1200</v>
      </c>
      <c r="H16" s="1577">
        <f>SUM(I16:J16)</f>
        <v>0</v>
      </c>
      <c r="I16" s="1576"/>
      <c r="J16" s="1566"/>
      <c r="K16" s="4744">
        <f>SUM(L16:R16)</f>
        <v>0</v>
      </c>
      <c r="L16" s="4747"/>
      <c r="M16" s="4747"/>
      <c r="N16" s="4747"/>
      <c r="O16" s="4747"/>
      <c r="P16" s="4747"/>
      <c r="Q16" s="4747"/>
      <c r="R16" s="4728"/>
      <c r="S16" s="1575"/>
      <c r="AE16" s="1496">
        <v>23</v>
      </c>
    </row>
    <row customHeight="1" ht="24">
      <c r="F17" s="1571" t="s">
        <v>1201</v>
      </c>
      <c r="G17" s="1578" t="s">
        <v>1202</v>
      </c>
      <c r="H17" s="1577">
        <f>SUM(I17:J17)</f>
        <v>0</v>
      </c>
      <c r="I17" s="1576"/>
      <c r="J17" s="1566"/>
      <c r="K17" s="4744">
        <f>SUM(L17:R17)</f>
        <v>0</v>
      </c>
      <c r="L17" s="4747"/>
      <c r="M17" s="4747"/>
      <c r="N17" s="4747"/>
      <c r="O17" s="4747"/>
      <c r="P17" s="4747"/>
      <c r="Q17" s="4747"/>
      <c r="R17" s="4728"/>
      <c r="S17" s="1575"/>
      <c r="AE17" s="1496">
        <v>23</v>
      </c>
    </row>
    <row customHeight="1" ht="35.699999999999996">
      <c r="F18" s="1571" t="s">
        <v>1203</v>
      </c>
      <c r="G18" s="1578" t="s">
        <v>1204</v>
      </c>
      <c r="H18" s="1577">
        <f>SUM(I18:J18)</f>
        <v>0</v>
      </c>
      <c r="I18" s="1576"/>
      <c r="J18" s="1566"/>
      <c r="K18" s="4744">
        <f>SUM(L18:R18)</f>
        <v>0</v>
      </c>
      <c r="L18" s="4747"/>
      <c r="M18" s="4747"/>
      <c r="N18" s="4747"/>
      <c r="O18" s="4747"/>
      <c r="P18" s="4747"/>
      <c r="Q18" s="4747"/>
      <c r="R18" s="4728"/>
      <c r="S18" s="1575"/>
      <c r="AE18" s="1496">
        <v>34</v>
      </c>
    </row>
    <row customHeight="1" ht="35.699999999999996">
      <c r="F19" s="1571" t="s">
        <v>1205</v>
      </c>
      <c r="G19" s="1578" t="s">
        <v>1206</v>
      </c>
      <c r="H19" s="1577">
        <f>SUM(I19:J19)</f>
        <v>0</v>
      </c>
      <c r="I19" s="1576"/>
      <c r="J19" s="1566"/>
      <c r="K19" s="4744">
        <f>SUM(L19:R19)</f>
        <v>0</v>
      </c>
      <c r="L19" s="4747"/>
      <c r="M19" s="4747"/>
      <c r="N19" s="4747"/>
      <c r="O19" s="4747"/>
      <c r="P19" s="4747"/>
      <c r="Q19" s="4747"/>
      <c r="R19" s="4728"/>
      <c r="S19" s="1575"/>
      <c r="AE19" s="1496">
        <v>34</v>
      </c>
    </row>
    <row customHeight="1" ht="48.29999999999999">
      <c r="F20" s="1571" t="s">
        <v>1207</v>
      </c>
      <c r="G20" s="1578" t="s">
        <v>1208</v>
      </c>
      <c r="H20" s="1577">
        <f>SUM(I20:J20)</f>
        <v>0</v>
      </c>
      <c r="I20" s="1576"/>
      <c r="J20" s="1566"/>
      <c r="K20" s="4744">
        <f>SUM(L20:R20)</f>
        <v>0</v>
      </c>
      <c r="L20" s="4747"/>
      <c r="M20" s="4747"/>
      <c r="N20" s="4747"/>
      <c r="O20" s="4747"/>
      <c r="P20" s="4747"/>
      <c r="Q20" s="4747"/>
      <c r="R20" s="4728"/>
      <c r="S20" s="1575"/>
      <c r="AE20" s="1496">
        <v>46</v>
      </c>
    </row>
    <row customHeight="1" ht="35.699999999999996">
      <c r="F21" s="1571" t="s">
        <v>1209</v>
      </c>
      <c r="G21" s="1578" t="s">
        <v>1210</v>
      </c>
      <c r="H21" s="1577">
        <f>SUM(I21:J21)</f>
        <v>0</v>
      </c>
      <c r="I21" s="1576"/>
      <c r="J21" s="1566"/>
      <c r="K21" s="4744">
        <f>SUM(L21:R21)</f>
        <v>0</v>
      </c>
      <c r="L21" s="4747"/>
      <c r="M21" s="4747"/>
      <c r="N21" s="4747"/>
      <c r="O21" s="4747"/>
      <c r="P21" s="4747"/>
      <c r="Q21" s="4747"/>
      <c r="R21" s="4728"/>
      <c r="S21" s="1575"/>
      <c r="AE21" s="1496">
        <v>34</v>
      </c>
    </row>
    <row customHeight="1" ht="35.699999999999996">
      <c r="F22" s="1571" t="s">
        <v>1211</v>
      </c>
      <c r="G22" s="1578" t="s">
        <v>1212</v>
      </c>
      <c r="H22" s="1577">
        <f>SUM(I22:J22)</f>
        <v>0</v>
      </c>
      <c r="I22" s="1576"/>
      <c r="J22" s="1566"/>
      <c r="K22" s="4744">
        <f>SUM(L22:R22)</f>
        <v>0</v>
      </c>
      <c r="L22" s="4747"/>
      <c r="M22" s="4747"/>
      <c r="N22" s="4747"/>
      <c r="O22" s="4747"/>
      <c r="P22" s="4747"/>
      <c r="Q22" s="4747"/>
      <c r="R22" s="4728"/>
      <c r="S22" s="1575"/>
      <c r="AE22" s="1496">
        <v>34</v>
      </c>
    </row>
    <row customHeight="1" ht="24">
      <c r="F23" s="1571" t="s">
        <v>1213</v>
      </c>
      <c r="G23" s="1578" t="s">
        <v>1214</v>
      </c>
      <c r="H23" s="1577">
        <f>SUM(I23:J23)</f>
        <v>0</v>
      </c>
      <c r="I23" s="1576"/>
      <c r="J23" s="1566"/>
      <c r="K23" s="4744">
        <f>SUM(L23:R23)</f>
        <v>0</v>
      </c>
      <c r="L23" s="4747"/>
      <c r="M23" s="4747"/>
      <c r="N23" s="4747"/>
      <c r="O23" s="4747"/>
      <c r="P23" s="4747"/>
      <c r="Q23" s="4747"/>
      <c r="R23" s="4728"/>
      <c r="S23" s="1575"/>
      <c r="AE23" s="1496">
        <v>23</v>
      </c>
    </row>
    <row customHeight="1" ht="24">
      <c r="F24" s="1571" t="s">
        <v>1215</v>
      </c>
      <c r="G24" s="1578" t="s">
        <v>1216</v>
      </c>
      <c r="H24" s="1577">
        <f>SUM(I24:J24)</f>
        <v>0</v>
      </c>
      <c r="I24" s="1576"/>
      <c r="J24" s="1566"/>
      <c r="K24" s="4744">
        <f>SUM(L24:R24)</f>
        <v>0</v>
      </c>
      <c r="L24" s="4747"/>
      <c r="M24" s="4747"/>
      <c r="N24" s="4747"/>
      <c r="O24" s="4747"/>
      <c r="P24" s="4747"/>
      <c r="Q24" s="4747"/>
      <c r="R24" s="4728"/>
      <c r="S24" s="1575"/>
      <c r="AE24" s="1496">
        <v>23</v>
      </c>
    </row>
    <row customHeight="1" ht="35.699999999999996">
      <c r="F25" s="1571" t="s">
        <v>1217</v>
      </c>
      <c r="G25" s="1578" t="s">
        <v>1218</v>
      </c>
      <c r="H25" s="1577">
        <f>SUM(I25:J25)</f>
        <v>0</v>
      </c>
      <c r="I25" s="1576"/>
      <c r="J25" s="1566"/>
      <c r="K25" s="4744">
        <f>SUM(L25:R25)</f>
        <v>0</v>
      </c>
      <c r="L25" s="4747"/>
      <c r="M25" s="4747"/>
      <c r="N25" s="4747"/>
      <c r="O25" s="4747"/>
      <c r="P25" s="4747"/>
      <c r="Q25" s="4747"/>
      <c r="R25" s="4728"/>
      <c r="S25" s="1575"/>
      <c r="AE25" s="1496">
        <v>34</v>
      </c>
    </row>
    <row customHeight="1" ht="35.699999999999996">
      <c r="F26" s="1571" t="s">
        <v>1219</v>
      </c>
      <c r="G26" s="1578" t="s">
        <v>1220</v>
      </c>
      <c r="H26" s="1577">
        <f>SUM(I26:J26)</f>
        <v>0</v>
      </c>
      <c r="I26" s="1576"/>
      <c r="J26" s="1566"/>
      <c r="K26" s="4744">
        <f>SUM(L26:R26)</f>
        <v>0</v>
      </c>
      <c r="L26" s="4747"/>
      <c r="M26" s="4747"/>
      <c r="N26" s="4747"/>
      <c r="O26" s="4747"/>
      <c r="P26" s="4747"/>
      <c r="Q26" s="4747"/>
      <c r="R26" s="4728"/>
      <c r="S26" s="1575"/>
      <c r="AE26" s="1496">
        <v>34</v>
      </c>
    </row>
    <row customHeight="1" ht="11.549999999999999">
      <c r="F27" s="1571" t="s">
        <v>1221</v>
      </c>
      <c r="G27" s="1578" t="s">
        <v>1222</v>
      </c>
      <c r="H27" s="1577">
        <f>SUM(I27:J27)</f>
        <v>0</v>
      </c>
      <c r="I27" s="1576"/>
      <c r="J27" s="1566"/>
      <c r="K27" s="4744">
        <f>SUM(L27:R27)</f>
        <v>0</v>
      </c>
      <c r="L27" s="4747"/>
      <c r="M27" s="4747"/>
      <c r="N27" s="4747"/>
      <c r="O27" s="4747"/>
      <c r="P27" s="4747"/>
      <c r="Q27" s="4747"/>
      <c r="R27" s="4728"/>
      <c r="S27" s="1575"/>
      <c r="AE27" s="1496">
        <v>11</v>
      </c>
    </row>
    <row customHeight="1" ht="11.549999999999999">
      <c r="F28" s="1571">
        <v>2</v>
      </c>
      <c r="G28" s="1031" t="s">
        <v>1223</v>
      </c>
      <c r="H28" s="1577">
        <f>SUM(I28:J28)</f>
        <v>0</v>
      </c>
      <c r="I28" s="1577">
        <f>SUM(I29:I31)</f>
        <v>0</v>
      </c>
      <c r="J28" s="1566"/>
      <c r="K28" s="4744">
        <f>SUM(L28:R28)</f>
        <v>0</v>
      </c>
      <c r="L28" s="4744">
        <f>SUM(L29:L31)</f>
        <v>0</v>
      </c>
      <c r="M28" s="4744">
        <f>SUM(M29:M31)</f>
        <v>0</v>
      </c>
      <c r="N28" s="4744">
        <f>SUM(N29:N31)</f>
        <v>0</v>
      </c>
      <c r="O28" s="4744">
        <f>SUM(O29:O31)</f>
        <v>0</v>
      </c>
      <c r="P28" s="4744">
        <f>SUM(P29:P31)</f>
        <v>0</v>
      </c>
      <c r="Q28" s="4744">
        <f>SUM(Q29:Q31)</f>
        <v>0</v>
      </c>
      <c r="R28" s="4728"/>
      <c r="S28" s="1575"/>
      <c r="AE28" s="1496">
        <v>11</v>
      </c>
    </row>
    <row customHeight="1" ht="11.549999999999999">
      <c r="F29" s="1571" t="s">
        <v>704</v>
      </c>
      <c r="G29" s="1578" t="s">
        <v>1224</v>
      </c>
      <c r="H29" s="1577">
        <f>SUM(I29:J29)</f>
        <v>0</v>
      </c>
      <c r="I29" s="1576"/>
      <c r="J29" s="1566"/>
      <c r="K29" s="4744">
        <f>SUM(L29:R29)</f>
        <v>0</v>
      </c>
      <c r="L29" s="4747"/>
      <c r="M29" s="4747"/>
      <c r="N29" s="4747"/>
      <c r="O29" s="4747"/>
      <c r="P29" s="4747"/>
      <c r="Q29" s="4747"/>
      <c r="R29" s="4728"/>
      <c r="S29" s="1575"/>
      <c r="AE29" s="1496">
        <v>11</v>
      </c>
    </row>
    <row customHeight="1" ht="11.549999999999999">
      <c r="F30" s="1571" t="s">
        <v>302</v>
      </c>
      <c r="G30" s="1578" t="s">
        <v>1225</v>
      </c>
      <c r="H30" s="1577">
        <f>SUM(I30:J30)</f>
        <v>0</v>
      </c>
      <c r="I30" s="1576"/>
      <c r="J30" s="1566"/>
      <c r="K30" s="4744">
        <f>SUM(L30:R30)</f>
        <v>0</v>
      </c>
      <c r="L30" s="4747"/>
      <c r="M30" s="4747"/>
      <c r="N30" s="4747"/>
      <c r="O30" s="4747"/>
      <c r="P30" s="4747"/>
      <c r="Q30" s="4747"/>
      <c r="R30" s="4728"/>
      <c r="S30" s="1575"/>
      <c r="AE30" s="1496">
        <v>11</v>
      </c>
    </row>
    <row customHeight="1" ht="11.549999999999999">
      <c r="F31" s="1571" t="s">
        <v>305</v>
      </c>
      <c r="G31" s="1578" t="s">
        <v>1226</v>
      </c>
      <c r="H31" s="1577">
        <f>SUM(I31:J31)</f>
        <v>0</v>
      </c>
      <c r="I31" s="1576"/>
      <c r="J31" s="1566"/>
      <c r="K31" s="4744">
        <f>SUM(L31:R31)</f>
        <v>0</v>
      </c>
      <c r="L31" s="4747"/>
      <c r="M31" s="4747"/>
      <c r="N31" s="4747"/>
      <c r="O31" s="4747"/>
      <c r="P31" s="4747"/>
      <c r="Q31" s="4747"/>
      <c r="R31" s="4728"/>
      <c r="S31" s="1575"/>
      <c r="AE31" s="1496">
        <v>11</v>
      </c>
    </row>
    <row customHeight="1" ht="11.549999999999999">
      <c r="F32" s="1571">
        <v>3</v>
      </c>
      <c r="G32" s="1031" t="s">
        <v>1227</v>
      </c>
      <c r="H32" s="1577">
        <f>SUM(I32:J32)</f>
        <v>0</v>
      </c>
      <c r="I32" s="1577">
        <f>SUM(I33:I34)</f>
        <v>0</v>
      </c>
      <c r="J32" s="1566"/>
      <c r="K32" s="4744">
        <f>SUM(L32:R32)</f>
        <v>0</v>
      </c>
      <c r="L32" s="4744">
        <f>SUM(L33:L34)</f>
        <v>0</v>
      </c>
      <c r="M32" s="4744">
        <f>SUM(M33:M34)</f>
        <v>0</v>
      </c>
      <c r="N32" s="4744">
        <f>SUM(N33:N34)</f>
        <v>0</v>
      </c>
      <c r="O32" s="4744">
        <f>SUM(O33:O34)</f>
        <v>0</v>
      </c>
      <c r="P32" s="4744">
        <f>SUM(P33:P34)</f>
        <v>0</v>
      </c>
      <c r="Q32" s="4744">
        <f>SUM(Q33:Q34)</f>
        <v>0</v>
      </c>
      <c r="R32" s="4728"/>
      <c r="S32" s="1575"/>
      <c r="AE32" s="1496">
        <v>11</v>
      </c>
    </row>
    <row customHeight="1" ht="48.29999999999999">
      <c r="F33" s="1571" t="s">
        <v>319</v>
      </c>
      <c r="G33" s="1578" t="s">
        <v>1228</v>
      </c>
      <c r="H33" s="1577">
        <f>SUM(I33:J33)</f>
        <v>0</v>
      </c>
      <c r="I33" s="1576"/>
      <c r="J33" s="1566"/>
      <c r="K33" s="4744">
        <f>SUM(L33:R33)</f>
        <v>0</v>
      </c>
      <c r="L33" s="4747"/>
      <c r="M33" s="4747"/>
      <c r="N33" s="4747"/>
      <c r="O33" s="4747"/>
      <c r="P33" s="4747"/>
      <c r="Q33" s="4747"/>
      <c r="R33" s="4728"/>
      <c r="S33" s="1575"/>
      <c r="AE33" s="1496">
        <v>46</v>
      </c>
    </row>
    <row customHeight="1" ht="11.549999999999999">
      <c r="F34" s="1571" t="s">
        <v>327</v>
      </c>
      <c r="G34" s="1578" t="s">
        <v>1229</v>
      </c>
      <c r="H34" s="1577">
        <f>SUM(I34:J34)</f>
        <v>0</v>
      </c>
      <c r="I34" s="1576"/>
      <c r="J34" s="1566"/>
      <c r="K34" s="4744">
        <f>SUM(L34:R34)</f>
        <v>0</v>
      </c>
      <c r="L34" s="4747"/>
      <c r="M34" s="4747"/>
      <c r="N34" s="4747"/>
      <c r="O34" s="4747"/>
      <c r="P34" s="4747"/>
      <c r="Q34" s="4747"/>
      <c r="R34" s="4728"/>
      <c r="S34" s="1575"/>
      <c r="AE34" s="1496">
        <v>11</v>
      </c>
    </row>
    <row customHeight="1" ht="11.549999999999999">
      <c r="F35" s="1571">
        <v>4</v>
      </c>
      <c r="G35" s="1031" t="s">
        <v>1230</v>
      </c>
      <c r="H35" s="1577">
        <f>SUM(I35:J35)</f>
        <v>0</v>
      </c>
      <c r="I35" s="1576"/>
      <c r="J35" s="1566"/>
      <c r="K35" s="4744">
        <f>SUM(L35:R35)</f>
        <v>0</v>
      </c>
      <c r="L35" s="4747"/>
      <c r="M35" s="4747"/>
      <c r="N35" s="4747"/>
      <c r="O35" s="4747"/>
      <c r="P35" s="4747"/>
      <c r="Q35" s="4747"/>
      <c r="R35" s="4728"/>
      <c r="S35" s="1575"/>
      <c r="AE35" s="1496">
        <v>11</v>
      </c>
    </row>
    <row customHeight="1" ht="11.549999999999999">
      <c r="F36" s="1571"/>
      <c r="G36" s="1034" t="s">
        <v>1231</v>
      </c>
      <c r="H36" s="1577">
        <f>SUM(I36:J36)</f>
        <v>0</v>
      </c>
      <c r="I36" s="1577">
        <f>SUM(I15,I28,I32,I35)</f>
        <v>0</v>
      </c>
      <c r="J36" s="1566"/>
      <c r="K36" s="4744">
        <f>SUM(L36:R36)</f>
        <v>0</v>
      </c>
      <c r="L36" s="4744">
        <f>SUM(L15,L28,L32,L35)</f>
        <v>0</v>
      </c>
      <c r="M36" s="4744">
        <f>SUM(M15,M28,M32,M35)</f>
        <v>0</v>
      </c>
      <c r="N36" s="4744">
        <f>SUM(N15,N28,N32,N35)</f>
        <v>0</v>
      </c>
      <c r="O36" s="4744">
        <f>SUM(O15,O28,O32,O35)</f>
        <v>0</v>
      </c>
      <c r="P36" s="4744">
        <f>SUM(P15,P28,P32,P35)</f>
        <v>0</v>
      </c>
      <c r="Q36" s="4744">
        <f>SUM(Q15,Q28,Q32,Q35)</f>
        <v>0</v>
      </c>
      <c r="R36" s="4728"/>
      <c r="S36" s="1575"/>
      <c r="AE36" s="1496">
        <v>11</v>
      </c>
    </row>
    <row customHeight="1" ht="29.25">
      <c r="F37" s="1572" t="s">
        <v>1232</v>
      </c>
      <c r="G37" s="2763" t="s">
        <v>1233</v>
      </c>
      <c r="H37" s="2763"/>
      <c r="I37" s="2763"/>
      <c r="J37" s="2763"/>
      <c r="K37" s="4750"/>
      <c r="L37" s="4750"/>
      <c r="M37" s="4750"/>
      <c r="N37" s="4750"/>
      <c r="O37" s="4750"/>
      <c r="P37" s="4750"/>
      <c r="Q37" s="4750"/>
      <c r="R37" s="4750"/>
      <c r="S37" s="1575"/>
      <c r="AE37" s="1496">
        <v>28</v>
      </c>
    </row>
    <row customHeight="1" ht="24">
      <c r="F38" s="1571" t="s">
        <v>106</v>
      </c>
      <c r="G38" s="1031" t="s">
        <v>1234</v>
      </c>
      <c r="H38" s="1577">
        <f>SUM(I38:J38)</f>
        <v>0</v>
      </c>
      <c r="I38" s="1577">
        <f>SUM(I39,I44,I47)</f>
        <v>0</v>
      </c>
      <c r="J38" s="1566"/>
      <c r="K38" s="4744">
        <f>SUM(L38:R38)</f>
        <v>0</v>
      </c>
      <c r="L38" s="4744">
        <f>SUM(L39,L44,L47)</f>
        <v>0</v>
      </c>
      <c r="M38" s="4744">
        <f>SUM(M39,M44,M47)</f>
        <v>0</v>
      </c>
      <c r="N38" s="4744">
        <f>SUM(N39,N44,N47)</f>
        <v>0</v>
      </c>
      <c r="O38" s="4744">
        <f>SUM(O39,O44,O47)</f>
        <v>0</v>
      </c>
      <c r="P38" s="4744">
        <f>SUM(P39,P44,P47)</f>
        <v>0</v>
      </c>
      <c r="Q38" s="4744">
        <f>SUM(Q39,Q44,Q47)</f>
        <v>0</v>
      </c>
      <c r="R38" s="4728"/>
      <c r="S38" s="1575"/>
      <c r="AE38" s="1496">
        <v>23</v>
      </c>
    </row>
    <row customHeight="1" ht="11.549999999999999">
      <c r="F39" s="1571" t="s">
        <v>1199</v>
      </c>
      <c r="G39" s="1578" t="s">
        <v>1198</v>
      </c>
      <c r="H39" s="1577">
        <f>SUM(I39:J39)</f>
        <v>0</v>
      </c>
      <c r="I39" s="1577">
        <f>SUM(I40:I43)</f>
        <v>0</v>
      </c>
      <c r="J39" s="1566"/>
      <c r="K39" s="4744">
        <f>SUM(L39:R39)</f>
        <v>0</v>
      </c>
      <c r="L39" s="4744">
        <f>SUM(L40:L43)</f>
        <v>0</v>
      </c>
      <c r="M39" s="4744">
        <f>SUM(M40:M43)</f>
        <v>0</v>
      </c>
      <c r="N39" s="4744">
        <f>SUM(N40:N43)</f>
        <v>0</v>
      </c>
      <c r="O39" s="4744">
        <f>SUM(O40:O43)</f>
        <v>0</v>
      </c>
      <c r="P39" s="4744">
        <f>SUM(P40:P43)</f>
        <v>0</v>
      </c>
      <c r="Q39" s="4744">
        <f>SUM(Q40:Q43)</f>
        <v>0</v>
      </c>
      <c r="R39" s="4728"/>
      <c r="S39" s="1575"/>
      <c r="AE39" s="1496">
        <v>11</v>
      </c>
    </row>
    <row customHeight="1" ht="24">
      <c r="F40" s="1571" t="s">
        <v>1235</v>
      </c>
      <c r="G40" s="1579" t="s">
        <v>1236</v>
      </c>
      <c r="H40" s="1577">
        <f>SUM(I40:J40)</f>
        <v>0</v>
      </c>
      <c r="I40" s="1576"/>
      <c r="J40" s="1566"/>
      <c r="K40" s="4744">
        <f>SUM(L40:R40)</f>
        <v>0</v>
      </c>
      <c r="L40" s="4747"/>
      <c r="M40" s="4747"/>
      <c r="N40" s="4747"/>
      <c r="O40" s="4747"/>
      <c r="P40" s="4747"/>
      <c r="Q40" s="4747"/>
      <c r="R40" s="4728"/>
      <c r="S40" s="1575"/>
      <c r="AE40" s="1496">
        <v>23</v>
      </c>
    </row>
    <row customHeight="1" ht="11.549999999999999">
      <c r="F41" s="1571" t="s">
        <v>1237</v>
      </c>
      <c r="G41" s="1579" t="s">
        <v>1238</v>
      </c>
      <c r="H41" s="1577">
        <f>SUM(I41:J41)</f>
        <v>0</v>
      </c>
      <c r="I41" s="1576"/>
      <c r="J41" s="1566"/>
      <c r="K41" s="4744">
        <f>SUM(L41:R41)</f>
        <v>0</v>
      </c>
      <c r="L41" s="4747"/>
      <c r="M41" s="4747"/>
      <c r="N41" s="4747"/>
      <c r="O41" s="4747"/>
      <c r="P41" s="4747"/>
      <c r="Q41" s="4747"/>
      <c r="R41" s="4728"/>
      <c r="S41" s="1575"/>
      <c r="AE41" s="1496">
        <v>11</v>
      </c>
    </row>
    <row customHeight="1" ht="11.549999999999999">
      <c r="F42" s="1571" t="s">
        <v>1239</v>
      </c>
      <c r="G42" s="1579" t="s">
        <v>1240</v>
      </c>
      <c r="H42" s="1577">
        <f>SUM(I42:J42)</f>
        <v>0</v>
      </c>
      <c r="I42" s="1576"/>
      <c r="J42" s="1566"/>
      <c r="K42" s="4744">
        <f>SUM(L42:R42)</f>
        <v>0</v>
      </c>
      <c r="L42" s="4747"/>
      <c r="M42" s="4747"/>
      <c r="N42" s="4747"/>
      <c r="O42" s="4747"/>
      <c r="P42" s="4747"/>
      <c r="Q42" s="4747"/>
      <c r="R42" s="4728"/>
      <c r="S42" s="1575"/>
      <c r="AE42" s="1496">
        <v>11</v>
      </c>
    </row>
    <row customHeight="1" ht="35.699999999999996">
      <c r="F43" s="1571" t="s">
        <v>1241</v>
      </c>
      <c r="G43" s="1579" t="s">
        <v>1242</v>
      </c>
      <c r="H43" s="1577">
        <f>SUM(I43:J43)</f>
        <v>0</v>
      </c>
      <c r="I43" s="1576"/>
      <c r="J43" s="1566"/>
      <c r="K43" s="4744">
        <f>SUM(L43:R43)</f>
        <v>0</v>
      </c>
      <c r="L43" s="4747"/>
      <c r="M43" s="4747"/>
      <c r="N43" s="4747"/>
      <c r="O43" s="4747"/>
      <c r="P43" s="4747"/>
      <c r="Q43" s="4747"/>
      <c r="R43" s="4728"/>
      <c r="S43" s="1575"/>
      <c r="AE43" s="1496">
        <v>34</v>
      </c>
    </row>
    <row customHeight="1" ht="11.549999999999999">
      <c r="F44" s="1571" t="s">
        <v>1201</v>
      </c>
      <c r="G44" s="1578" t="s">
        <v>1227</v>
      </c>
      <c r="H44" s="1577">
        <f>SUM(I44:J44)</f>
        <v>0</v>
      </c>
      <c r="I44" s="1577">
        <f>SUM(I45:I46)</f>
        <v>0</v>
      </c>
      <c r="J44" s="1566"/>
      <c r="K44" s="4744">
        <f>SUM(L44:R44)</f>
        <v>0</v>
      </c>
      <c r="L44" s="4744">
        <f>SUM(L45:L46)</f>
        <v>0</v>
      </c>
      <c r="M44" s="4744">
        <f>SUM(M45:M46)</f>
        <v>0</v>
      </c>
      <c r="N44" s="4744">
        <f>SUM(N45:N46)</f>
        <v>0</v>
      </c>
      <c r="O44" s="4744">
        <f>SUM(O45:O46)</f>
        <v>0</v>
      </c>
      <c r="P44" s="4744">
        <f>SUM(P45:P46)</f>
        <v>0</v>
      </c>
      <c r="Q44" s="4744">
        <f>SUM(Q45:Q46)</f>
        <v>0</v>
      </c>
      <c r="R44" s="4728"/>
      <c r="S44" s="1575"/>
      <c r="AE44" s="1496">
        <v>11</v>
      </c>
    </row>
    <row customHeight="1" ht="48.29999999999999">
      <c r="F45" s="1571" t="s">
        <v>1243</v>
      </c>
      <c r="G45" s="1579" t="s">
        <v>1228</v>
      </c>
      <c r="H45" s="1577">
        <f>SUM(I45:J45)</f>
        <v>0</v>
      </c>
      <c r="I45" s="1576"/>
      <c r="J45" s="1566"/>
      <c r="K45" s="4744">
        <f>SUM(L45:R45)</f>
        <v>0</v>
      </c>
      <c r="L45" s="4747"/>
      <c r="M45" s="4747"/>
      <c r="N45" s="4747"/>
      <c r="O45" s="4747"/>
      <c r="P45" s="4747"/>
      <c r="Q45" s="4747"/>
      <c r="R45" s="4728"/>
      <c r="S45" s="1575"/>
      <c r="AE45" s="1496">
        <v>46</v>
      </c>
    </row>
    <row customHeight="1" ht="11.549999999999999">
      <c r="F46" s="1571" t="s">
        <v>1244</v>
      </c>
      <c r="G46" s="1579" t="s">
        <v>1229</v>
      </c>
      <c r="H46" s="1577">
        <f>SUM(I46:J46)</f>
        <v>0</v>
      </c>
      <c r="I46" s="1576"/>
      <c r="J46" s="1566"/>
      <c r="K46" s="4744">
        <f>SUM(L46:R46)</f>
        <v>0</v>
      </c>
      <c r="L46" s="4747"/>
      <c r="M46" s="4747"/>
      <c r="N46" s="4747"/>
      <c r="O46" s="4747"/>
      <c r="P46" s="4747"/>
      <c r="Q46" s="4747"/>
      <c r="R46" s="4728"/>
      <c r="S46" s="1575"/>
      <c r="AE46" s="1496">
        <v>11</v>
      </c>
    </row>
    <row customHeight="1" ht="11.549999999999999">
      <c r="F47" s="1571" t="s">
        <v>1203</v>
      </c>
      <c r="G47" s="1578" t="s">
        <v>1245</v>
      </c>
      <c r="H47" s="1577">
        <f>SUM(I47:J47)</f>
        <v>0</v>
      </c>
      <c r="I47" s="1576"/>
      <c r="J47" s="1566"/>
      <c r="K47" s="4744">
        <f>SUM(L47:R47)</f>
        <v>0</v>
      </c>
      <c r="L47" s="4747"/>
      <c r="M47" s="4747"/>
      <c r="N47" s="4747"/>
      <c r="O47" s="4747"/>
      <c r="P47" s="4747"/>
      <c r="Q47" s="4747"/>
      <c r="R47" s="4728"/>
      <c r="S47" s="1575"/>
      <c r="AE47" s="1496">
        <v>11</v>
      </c>
    </row>
    <row customHeight="1" ht="24">
      <c r="F48" s="1571" t="s">
        <v>107</v>
      </c>
      <c r="G48" s="1031" t="s">
        <v>1246</v>
      </c>
      <c r="H48" s="1577">
        <f>SUM(I48:J48)</f>
        <v>0</v>
      </c>
      <c r="I48" s="1577">
        <f>SUM(I49,I54,I57)</f>
        <v>0</v>
      </c>
      <c r="J48" s="1566"/>
      <c r="K48" s="4744">
        <f>SUM(L48:R48)</f>
        <v>0</v>
      </c>
      <c r="L48" s="4744">
        <f>SUM(L49,L54,L57)</f>
        <v>0</v>
      </c>
      <c r="M48" s="4744">
        <f>SUM(M49,M54,M57)</f>
        <v>0</v>
      </c>
      <c r="N48" s="4744">
        <f>SUM(N49,N54,N57)</f>
        <v>0</v>
      </c>
      <c r="O48" s="4744">
        <f>SUM(O49,O54,O57)</f>
        <v>0</v>
      </c>
      <c r="P48" s="4744">
        <f>SUM(P49,P54,P57)</f>
        <v>0</v>
      </c>
      <c r="Q48" s="4744">
        <f>SUM(Q49,Q54,Q57)</f>
        <v>0</v>
      </c>
      <c r="R48" s="4728"/>
      <c r="S48" s="1575"/>
      <c r="AE48" s="1496">
        <v>23</v>
      </c>
    </row>
    <row customHeight="1" ht="11.549999999999999">
      <c r="F49" s="1571" t="s">
        <v>704</v>
      </c>
      <c r="G49" s="1578" t="s">
        <v>1198</v>
      </c>
      <c r="H49" s="1577">
        <f>SUM(I49:J49)</f>
        <v>0</v>
      </c>
      <c r="I49" s="1577">
        <f>SUM(I50:I53)</f>
        <v>0</v>
      </c>
      <c r="J49" s="1566"/>
      <c r="K49" s="4744">
        <f>SUM(L49:R49)</f>
        <v>0</v>
      </c>
      <c r="L49" s="4744">
        <f>SUM(L50:L53)</f>
        <v>0</v>
      </c>
      <c r="M49" s="4744">
        <f>SUM(M50:M53)</f>
        <v>0</v>
      </c>
      <c r="N49" s="4744">
        <f>SUM(N50:N53)</f>
        <v>0</v>
      </c>
      <c r="O49" s="4744">
        <f>SUM(O50:O53)</f>
        <v>0</v>
      </c>
      <c r="P49" s="4744">
        <f>SUM(P50:P53)</f>
        <v>0</v>
      </c>
      <c r="Q49" s="4744">
        <f>SUM(Q50:Q53)</f>
        <v>0</v>
      </c>
      <c r="R49" s="4728"/>
      <c r="S49" s="1575"/>
      <c r="AE49" s="1496">
        <v>11</v>
      </c>
    </row>
    <row customHeight="1" ht="24">
      <c r="F50" s="1571" t="s">
        <v>707</v>
      </c>
      <c r="G50" s="1579" t="s">
        <v>1236</v>
      </c>
      <c r="H50" s="1577">
        <f>SUM(I50:J50)</f>
        <v>0</v>
      </c>
      <c r="I50" s="1576"/>
      <c r="J50" s="1566"/>
      <c r="K50" s="4744">
        <f>SUM(L50:R50)</f>
        <v>0</v>
      </c>
      <c r="L50" s="4747"/>
      <c r="M50" s="4747"/>
      <c r="N50" s="4747"/>
      <c r="O50" s="4747"/>
      <c r="P50" s="4747"/>
      <c r="Q50" s="4747"/>
      <c r="R50" s="4728"/>
      <c r="S50" s="1575"/>
      <c r="AE50" s="1496">
        <v>23</v>
      </c>
    </row>
    <row customHeight="1" ht="11.549999999999999">
      <c r="F51" s="1571" t="s">
        <v>710</v>
      </c>
      <c r="G51" s="1579" t="s">
        <v>1238</v>
      </c>
      <c r="H51" s="1577">
        <f>SUM(I51:J51)</f>
        <v>0</v>
      </c>
      <c r="I51" s="1576"/>
      <c r="J51" s="1566"/>
      <c r="K51" s="4744">
        <f>SUM(L51:R51)</f>
        <v>0</v>
      </c>
      <c r="L51" s="4747"/>
      <c r="M51" s="4747"/>
      <c r="N51" s="4747"/>
      <c r="O51" s="4747"/>
      <c r="P51" s="4747"/>
      <c r="Q51" s="4747"/>
      <c r="R51" s="4728"/>
      <c r="S51" s="1575"/>
      <c r="AE51" s="1496">
        <v>11</v>
      </c>
    </row>
    <row customHeight="1" ht="11.549999999999999">
      <c r="F52" s="1571" t="s">
        <v>1247</v>
      </c>
      <c r="G52" s="1579" t="s">
        <v>1240</v>
      </c>
      <c r="H52" s="1577">
        <f>SUM(I52:J52)</f>
        <v>0</v>
      </c>
      <c r="I52" s="1576"/>
      <c r="J52" s="1566"/>
      <c r="K52" s="4744">
        <f>SUM(L52:R52)</f>
        <v>0</v>
      </c>
      <c r="L52" s="4747"/>
      <c r="M52" s="4747"/>
      <c r="N52" s="4747"/>
      <c r="O52" s="4747"/>
      <c r="P52" s="4747"/>
      <c r="Q52" s="4747"/>
      <c r="R52" s="4728"/>
      <c r="S52" s="1575"/>
      <c r="AE52" s="1496">
        <v>11</v>
      </c>
    </row>
    <row customHeight="1" ht="35.699999999999996">
      <c r="F53" s="1571" t="s">
        <v>1248</v>
      </c>
      <c r="G53" s="1579" t="s">
        <v>1242</v>
      </c>
      <c r="H53" s="1577">
        <f>SUM(I53:J53)</f>
        <v>0</v>
      </c>
      <c r="I53" s="1576"/>
      <c r="J53" s="1566"/>
      <c r="K53" s="4744">
        <f>SUM(L53:R53)</f>
        <v>0</v>
      </c>
      <c r="L53" s="4747"/>
      <c r="M53" s="4747"/>
      <c r="N53" s="4747"/>
      <c r="O53" s="4747"/>
      <c r="P53" s="4747"/>
      <c r="Q53" s="4747"/>
      <c r="R53" s="4728"/>
      <c r="S53" s="1575"/>
      <c r="AE53" s="1496">
        <v>34</v>
      </c>
    </row>
    <row customHeight="1" ht="11.549999999999999">
      <c r="F54" s="1571" t="s">
        <v>302</v>
      </c>
      <c r="G54" s="1578" t="s">
        <v>1227</v>
      </c>
      <c r="H54" s="1577">
        <f>SUM(I54:J54)</f>
        <v>0</v>
      </c>
      <c r="I54" s="1577">
        <f>SUM(I55:I56)</f>
        <v>0</v>
      </c>
      <c r="J54" s="1566"/>
      <c r="K54" s="4744">
        <f>SUM(L54:R54)</f>
        <v>0</v>
      </c>
      <c r="L54" s="4744">
        <f>SUM(L55:L56)</f>
        <v>0</v>
      </c>
      <c r="M54" s="4744">
        <f>SUM(M55:M56)</f>
        <v>0</v>
      </c>
      <c r="N54" s="4744">
        <f>SUM(N55:N56)</f>
        <v>0</v>
      </c>
      <c r="O54" s="4744">
        <f>SUM(O55:O56)</f>
        <v>0</v>
      </c>
      <c r="P54" s="4744">
        <f>SUM(P55:P56)</f>
        <v>0</v>
      </c>
      <c r="Q54" s="4744">
        <f>SUM(Q55:Q56)</f>
        <v>0</v>
      </c>
      <c r="R54" s="4728"/>
      <c r="S54" s="1575"/>
      <c r="AE54" s="1496">
        <v>11</v>
      </c>
    </row>
    <row customHeight="1" ht="48.29999999999999">
      <c r="F55" s="1571" t="s">
        <v>714</v>
      </c>
      <c r="G55" s="1579" t="s">
        <v>1228</v>
      </c>
      <c r="H55" s="1577">
        <f>SUM(I55:J55)</f>
        <v>0</v>
      </c>
      <c r="I55" s="1576"/>
      <c r="J55" s="1566"/>
      <c r="K55" s="4744">
        <f>SUM(L55:R55)</f>
        <v>0</v>
      </c>
      <c r="L55" s="4747"/>
      <c r="M55" s="4747"/>
      <c r="N55" s="4747"/>
      <c r="O55" s="4747"/>
      <c r="P55" s="4747"/>
      <c r="Q55" s="4747"/>
      <c r="R55" s="4728"/>
      <c r="S55" s="1575"/>
      <c r="AE55" s="1496">
        <v>46</v>
      </c>
    </row>
    <row customHeight="1" ht="11.549999999999999">
      <c r="F56" s="1571" t="s">
        <v>716</v>
      </c>
      <c r="G56" s="1579" t="s">
        <v>1229</v>
      </c>
      <c r="H56" s="1577">
        <f>SUM(I56:J56)</f>
        <v>0</v>
      </c>
      <c r="I56" s="1576"/>
      <c r="J56" s="1566"/>
      <c r="K56" s="4744">
        <f>SUM(L56:R56)</f>
        <v>0</v>
      </c>
      <c r="L56" s="4747"/>
      <c r="M56" s="4747"/>
      <c r="N56" s="4747"/>
      <c r="O56" s="4747"/>
      <c r="P56" s="4747"/>
      <c r="Q56" s="4747"/>
      <c r="R56" s="4728"/>
      <c r="S56" s="1575"/>
      <c r="AE56" s="1496">
        <v>11</v>
      </c>
    </row>
    <row customHeight="1" ht="11.549999999999999">
      <c r="F57" s="1571" t="s">
        <v>305</v>
      </c>
      <c r="G57" s="1578" t="s">
        <v>1245</v>
      </c>
      <c r="H57" s="1577">
        <f>SUM(I57:J57)</f>
        <v>0</v>
      </c>
      <c r="I57" s="1576"/>
      <c r="J57" s="1566"/>
      <c r="K57" s="4744">
        <f>SUM(L57:R57)</f>
        <v>0</v>
      </c>
      <c r="L57" s="4747"/>
      <c r="M57" s="4747"/>
      <c r="N57" s="4747"/>
      <c r="O57" s="4747"/>
      <c r="P57" s="4747"/>
      <c r="Q57" s="4747"/>
      <c r="R57" s="4728"/>
      <c r="S57" s="1575"/>
      <c r="AE57" s="1496">
        <v>11</v>
      </c>
    </row>
    <row customHeight="1" ht="11.549999999999999">
      <c r="F58" s="1571"/>
      <c r="G58" s="1580" t="s">
        <v>1231</v>
      </c>
      <c r="H58" s="1577">
        <f>SUM(I58:J58)</f>
        <v>0</v>
      </c>
      <c r="I58" s="1577">
        <f>SUM(I38,I48)</f>
        <v>0</v>
      </c>
      <c r="J58" s="1566"/>
      <c r="K58" s="4744">
        <f>SUM(L58:R58)</f>
        <v>0</v>
      </c>
      <c r="L58" s="4744">
        <f>SUM(L38,L48)</f>
        <v>0</v>
      </c>
      <c r="M58" s="4744">
        <f>SUM(M38,M48)</f>
        <v>0</v>
      </c>
      <c r="N58" s="4744">
        <f>SUM(N38,N48)</f>
        <v>0</v>
      </c>
      <c r="O58" s="4744">
        <f>SUM(O38,O48)</f>
        <v>0</v>
      </c>
      <c r="P58" s="4744">
        <f>SUM(P38,P48)</f>
        <v>0</v>
      </c>
      <c r="Q58" s="4744">
        <f>SUM(Q38,Q48)</f>
        <v>0</v>
      </c>
      <c r="R58" s="4728"/>
      <c r="S58" s="1575"/>
      <c r="AE58" s="1496">
        <v>11</v>
      </c>
    </row>
    <row customHeight="1" ht="10.5" hidden="1">
      <c r="A59" s="1507" t="s">
        <v>82</v>
      </c>
      <c r="B59" s="1507">
        <v>0</v>
      </c>
      <c r="C59" s="1507">
        <v>0</v>
      </c>
      <c r="D59" s="1501">
        <v>0</v>
      </c>
      <c r="E59" s="850">
        <v>3</v>
      </c>
      <c r="F59" s="1496">
        <v>6</v>
      </c>
      <c r="G59" s="1496">
        <v>60</v>
      </c>
      <c r="H59" s="1496">
        <v>0</v>
      </c>
      <c r="I59" s="1496">
        <v>0</v>
      </c>
      <c r="J59" s="1496">
        <v>0</v>
      </c>
      <c r="K59" s="4573">
        <v>0</v>
      </c>
      <c r="L59" s="4573">
        <v>0</v>
      </c>
      <c r="M59" s="4573">
        <v>0</v>
      </c>
      <c r="N59" s="4573">
        <v>0</v>
      </c>
      <c r="O59" s="4573">
        <v>0</v>
      </c>
      <c r="P59" s="4573">
        <v>0</v>
      </c>
      <c r="Q59" s="4573">
        <v>0</v>
      </c>
      <c r="R59" s="4573">
        <v>0</v>
      </c>
      <c r="S59" s="1496">
        <v>1</v>
      </c>
      <c r="T59" s="1496">
        <v>8</v>
      </c>
      <c r="U59" s="1496">
        <v>8</v>
      </c>
      <c r="V59" s="1496">
        <v>8</v>
      </c>
      <c r="W59" s="1496">
        <v>8</v>
      </c>
      <c r="X59" s="1496">
        <v>8</v>
      </c>
      <c r="Y59" s="1496">
        <v>8</v>
      </c>
      <c r="Z59" s="1496">
        <v>8</v>
      </c>
      <c r="AA59" s="1496">
        <v>8</v>
      </c>
      <c r="AB59" s="1496">
        <v>8</v>
      </c>
      <c r="AC59" s="1496">
        <v>8</v>
      </c>
      <c r="AD59" s="1496">
        <v>8</v>
      </c>
      <c r="AE59" s="1496">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R10"/>
    <mergeCell ref="K11:R11"/>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C190E8-4B0B-F9AC-BFFA-DA3807B40AD2}" mc:Ignorable="x14ac xr xr2 xr3">
  <sheetPr>
    <tabColor theme="9" tint="-0.25"/>
  </sheetPr>
  <dimension ref="A1:GC28"/>
  <sheetViews>
    <sheetView showGridLines="0" zoomScale="90" workbookViewId="0" tabSelected="1">
      <pane xSplit="14" ySplit="17" topLeftCell="O21" activePane="bottomRight" state="frozen"/>
      <selection pane="bottomLeft" activeCell="A18" sqref="A18"/>
      <selection pane="topRight" activeCell="O1" sqref="O1"/>
      <selection pane="bottomRight" activeCell="I22" sqref="I22"/>
    </sheetView>
  </sheetViews>
  <sheetFormatPr defaultColWidth="9.140625" customHeight="1" defaultRowHeight="12"/>
  <cols>
    <col min="1" max="1" style="19250" width="4.7109375" hidden="1" customWidth="1"/>
    <col min="2" max="2" style="19256" width="4.7109375" hidden="1" customWidth="1"/>
    <col min="3" max="4" style="19250" width="4.7109375" hidden="1" customWidth="1"/>
    <col min="5" max="5" style="19250" width="3.00390625" customWidth="1"/>
    <col min="6" max="6" style="19250" width="6.00390625" customWidth="1"/>
    <col min="7" max="7" style="19250" width="18.00390625" customWidth="1"/>
    <col min="8" max="8" style="19250" width="27.00390625" customWidth="1"/>
    <col min="9" max="9" style="19250" width="18.00390625" customWidth="1"/>
    <col min="10" max="14" style="19250" width="0.8515625" hidden="1" customWidth="1"/>
    <col min="15" max="28" style="19250" width="21.7109375" customWidth="1"/>
    <col min="29" max="71" style="19250" width="0.8515625" customWidth="1"/>
    <col min="72" max="79" style="19250" width="21.7109375" hidden="1" customWidth="1"/>
    <col min="80" max="81" style="19250" width="29.140625" hidden="1" customWidth="1"/>
    <col min="82" max="89" style="19250" width="21.7109375" hidden="1" customWidth="1"/>
    <col min="90" max="102" style="19250" width="0.7109375" hidden="1" customWidth="1"/>
    <col min="103" max="114" style="19250" width="21.7109375" hidden="1" customWidth="1"/>
    <col min="115" max="178" style="19250" width="0.7109375" hidden="1" customWidth="1"/>
    <col min="179" max="179" style="19250" width="0.140625" customWidth="1"/>
    <col min="180" max="184" style="19250" width="8.00390625" customWidth="1"/>
    <col min="185" max="185" style="19250" width="9.140625" hidden="1"/>
  </cols>
  <sheetData>
    <row s="18984" customFormat="1" customHeight="1" ht="12" hidden="1">
      <c r="B1" s="1264"/>
      <c r="C1" s="1265"/>
      <c r="D1" s="1265"/>
      <c r="GC1" s="1263" t="s">
        <v>14</v>
      </c>
    </row>
    <row s="18984" customFormat="1" customHeight="1" ht="12" hidden="1">
      <c r="B2" s="1264"/>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6"/>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1265"/>
      <c r="AZ2" s="1265"/>
      <c r="BA2" s="1265"/>
      <c r="BB2" s="1265"/>
      <c r="BC2" s="1265"/>
      <c r="BD2" s="1265"/>
      <c r="BE2" s="1265"/>
      <c r="BF2" s="1265"/>
      <c r="BG2" s="1265"/>
      <c r="BH2" s="1265"/>
      <c r="BI2" s="1265"/>
      <c r="BJ2" s="1265"/>
      <c r="BK2" s="1265"/>
      <c r="BL2" s="1265"/>
      <c r="BM2" s="1265"/>
      <c r="BN2" s="1265"/>
      <c r="BO2" s="1265"/>
      <c r="BP2" s="1265"/>
      <c r="BQ2" s="1265"/>
      <c r="BR2" s="1265"/>
      <c r="BS2" s="1265"/>
      <c r="BT2" s="1265"/>
      <c r="BU2" s="1265"/>
      <c r="BV2" s="1265"/>
      <c r="BW2" s="1265"/>
      <c r="BX2" s="1265"/>
      <c r="BY2" s="1265"/>
      <c r="BZ2" s="1265"/>
      <c r="CA2" s="1265"/>
      <c r="CB2" s="1265"/>
      <c r="CC2" s="1265"/>
      <c r="CD2" s="1265"/>
      <c r="CE2" s="1265"/>
      <c r="CF2" s="1265"/>
      <c r="CG2" s="1265"/>
      <c r="CH2" s="1265"/>
      <c r="CI2" s="1265"/>
      <c r="CJ2" s="1265"/>
      <c r="CK2" s="1265"/>
      <c r="CL2" s="1265"/>
      <c r="CM2" s="1265"/>
      <c r="CN2" s="1265"/>
      <c r="CO2" s="1265"/>
      <c r="CP2" s="1265"/>
      <c r="CQ2" s="1265"/>
      <c r="CR2" s="1265"/>
      <c r="CS2" s="1265"/>
      <c r="CT2" s="1265"/>
      <c r="CU2" s="1265"/>
      <c r="CV2" s="1265"/>
      <c r="CW2" s="1265"/>
      <c r="CX2" s="1265"/>
      <c r="CY2" s="1265"/>
      <c r="CZ2" s="1265"/>
      <c r="DA2" s="1265"/>
      <c r="DB2" s="1265"/>
      <c r="DC2" s="1265"/>
      <c r="DD2" s="1265"/>
      <c r="DE2" s="1265"/>
      <c r="DF2" s="1265"/>
      <c r="DG2" s="1265"/>
      <c r="DH2" s="1265"/>
      <c r="DI2" s="1265"/>
      <c r="DJ2" s="1265"/>
      <c r="DK2" s="1265"/>
      <c r="DL2" s="1265"/>
      <c r="DM2" s="1265"/>
      <c r="DN2" s="1265"/>
      <c r="DO2" s="1265"/>
      <c r="DP2" s="1265"/>
      <c r="DQ2" s="1265"/>
      <c r="DR2" s="1265"/>
      <c r="DS2" s="1265"/>
      <c r="DT2" s="1265"/>
      <c r="DU2" s="1265"/>
      <c r="DV2" s="1265"/>
      <c r="DW2" s="1265"/>
      <c r="DX2" s="1265"/>
      <c r="DY2" s="1265"/>
      <c r="DZ2" s="1265"/>
      <c r="EA2" s="1265"/>
      <c r="EB2" s="1265"/>
      <c r="EC2" s="1265"/>
      <c r="ED2" s="1265"/>
      <c r="EE2" s="1265"/>
      <c r="EF2" s="1265"/>
      <c r="EG2" s="1265"/>
      <c r="EH2" s="1265"/>
      <c r="EI2" s="1265"/>
      <c r="EJ2" s="1265"/>
      <c r="EK2" s="1265"/>
      <c r="EL2" s="1265"/>
      <c r="EM2" s="1265"/>
      <c r="EN2" s="1265"/>
      <c r="EO2" s="1265"/>
      <c r="EP2" s="1265"/>
      <c r="EQ2" s="1265"/>
      <c r="ER2" s="1265"/>
      <c r="ES2" s="1265"/>
      <c r="ET2" s="1265"/>
      <c r="EU2" s="1265"/>
      <c r="EV2" s="1265"/>
      <c r="EW2" s="1265"/>
      <c r="EX2" s="1265"/>
      <c r="EY2" s="1265"/>
      <c r="EZ2" s="1265"/>
      <c r="FA2" s="1265"/>
      <c r="FB2" s="1265"/>
      <c r="FC2" s="1265"/>
      <c r="FD2" s="1265"/>
      <c r="FE2" s="1265"/>
      <c r="FF2" s="1265"/>
      <c r="FG2" s="1265"/>
      <c r="FH2" s="1265"/>
      <c r="FI2" s="1265"/>
      <c r="FJ2" s="1265"/>
      <c r="FK2" s="1265"/>
      <c r="FL2" s="1265"/>
      <c r="FM2" s="1265"/>
      <c r="FN2" s="1265"/>
      <c r="FO2" s="1265"/>
      <c r="FP2" s="1265"/>
      <c r="FQ2" s="1265"/>
      <c r="FR2" s="1265"/>
      <c r="FS2" s="1265"/>
      <c r="FT2" s="1265"/>
      <c r="FU2" s="1265"/>
      <c r="FV2" s="1265"/>
      <c r="FW2" s="1265"/>
      <c r="GC2" s="1263">
        <v>0</v>
      </c>
    </row>
    <row s="18984" customFormat="1" customHeight="1" ht="12" hidden="1">
      <c r="B3" s="1264"/>
      <c r="C3" s="1265"/>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6"/>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1265"/>
      <c r="AZ3" s="1265"/>
      <c r="BA3" s="1265"/>
      <c r="BB3" s="1265"/>
      <c r="BC3" s="1265"/>
      <c r="BD3" s="1265"/>
      <c r="BE3" s="1265"/>
      <c r="BF3" s="1265"/>
      <c r="BG3" s="1265"/>
      <c r="BH3" s="1265"/>
      <c r="BI3" s="1265"/>
      <c r="BJ3" s="1265"/>
      <c r="BK3" s="1265"/>
      <c r="BL3" s="1265"/>
      <c r="BM3" s="1265"/>
      <c r="BN3" s="1265"/>
      <c r="BO3" s="1265"/>
      <c r="BP3" s="1265"/>
      <c r="BQ3" s="1265"/>
      <c r="BR3" s="1265"/>
      <c r="BS3" s="1265"/>
      <c r="BT3" s="1265"/>
      <c r="BU3" s="1265"/>
      <c r="BV3" s="1265"/>
      <c r="BW3" s="1265"/>
      <c r="BX3" s="1265"/>
      <c r="BY3" s="1265"/>
      <c r="BZ3" s="1265"/>
      <c r="CA3" s="1265"/>
      <c r="CB3" s="1265"/>
      <c r="CC3" s="1265"/>
      <c r="CD3" s="1265"/>
      <c r="CE3" s="1265"/>
      <c r="CF3" s="1265"/>
      <c r="CG3" s="1265"/>
      <c r="CH3" s="1265"/>
      <c r="CI3" s="1265"/>
      <c r="CJ3" s="1265"/>
      <c r="CK3" s="1265"/>
      <c r="CL3" s="1265"/>
      <c r="CM3" s="1265"/>
      <c r="CN3" s="1265"/>
      <c r="CO3" s="1265"/>
      <c r="CP3" s="1265"/>
      <c r="CQ3" s="1265"/>
      <c r="CR3" s="1265"/>
      <c r="CS3" s="1265"/>
      <c r="CT3" s="1265"/>
      <c r="CU3" s="1265"/>
      <c r="CV3" s="1265"/>
      <c r="CW3" s="1265"/>
      <c r="CX3" s="1265"/>
      <c r="CY3" s="1265"/>
      <c r="CZ3" s="1265"/>
      <c r="DA3" s="1265"/>
      <c r="DB3" s="1265"/>
      <c r="DC3" s="1265"/>
      <c r="DD3" s="1265"/>
      <c r="DE3" s="1265"/>
      <c r="DF3" s="1265"/>
      <c r="DG3" s="1265"/>
      <c r="DH3" s="1265"/>
      <c r="DI3" s="1265"/>
      <c r="DJ3" s="1265"/>
      <c r="DK3" s="1265"/>
      <c r="DL3" s="1265"/>
      <c r="DM3" s="1265"/>
      <c r="DN3" s="1265"/>
      <c r="DO3" s="1265"/>
      <c r="DP3" s="1265"/>
      <c r="DQ3" s="1265"/>
      <c r="DR3" s="1265"/>
      <c r="DS3" s="1265"/>
      <c r="DT3" s="1265"/>
      <c r="DU3" s="1265"/>
      <c r="DV3" s="1265"/>
      <c r="DW3" s="1265"/>
      <c r="DX3" s="1265"/>
      <c r="DY3" s="1265"/>
      <c r="DZ3" s="1265"/>
      <c r="EA3" s="1265"/>
      <c r="EB3" s="1265"/>
      <c r="EC3" s="1265"/>
      <c r="ED3" s="1265"/>
      <c r="EE3" s="1265"/>
      <c r="EF3" s="1265"/>
      <c r="EG3" s="1265"/>
      <c r="EH3" s="1265"/>
      <c r="EI3" s="1265"/>
      <c r="EJ3" s="1265"/>
      <c r="EK3" s="1265"/>
      <c r="EL3" s="1265"/>
      <c r="EM3" s="1265"/>
      <c r="EN3" s="1265"/>
      <c r="EO3" s="1265"/>
      <c r="EP3" s="1265"/>
      <c r="EQ3" s="1265"/>
      <c r="ER3" s="1265"/>
      <c r="ES3" s="1265"/>
      <c r="ET3" s="1265"/>
      <c r="EU3" s="1265"/>
      <c r="EV3" s="1265"/>
      <c r="EW3" s="1265"/>
      <c r="EX3" s="1265"/>
      <c r="EY3" s="1265"/>
      <c r="EZ3" s="1265"/>
      <c r="FA3" s="1265"/>
      <c r="FB3" s="1265"/>
      <c r="FC3" s="1265"/>
      <c r="FD3" s="1265"/>
      <c r="FE3" s="1265"/>
      <c r="FF3" s="1265"/>
      <c r="FG3" s="1265"/>
      <c r="FH3" s="1265"/>
      <c r="FI3" s="1265"/>
      <c r="FJ3" s="1265"/>
      <c r="FK3" s="1265"/>
      <c r="FL3" s="1265"/>
      <c r="FM3" s="1265"/>
      <c r="FN3" s="1265"/>
      <c r="FO3" s="1265"/>
      <c r="FP3" s="1265"/>
      <c r="FQ3" s="1265"/>
      <c r="FR3" s="1265"/>
      <c r="FS3" s="1265"/>
      <c r="FT3" s="1265"/>
      <c r="FU3" s="1265"/>
      <c r="FV3" s="1265"/>
      <c r="FW3" s="1265"/>
      <c r="GC3" s="1263">
        <v>0</v>
      </c>
    </row>
    <row customHeight="1" ht="10.5">
      <c r="B4" s="1268"/>
      <c r="C4" s="1269"/>
      <c r="D4" s="1269"/>
      <c r="E4" s="1269"/>
      <c r="F4" s="1269"/>
      <c r="G4" s="1269"/>
      <c r="H4" s="1270"/>
      <c r="I4" s="1270"/>
      <c r="J4" s="1270"/>
      <c r="K4" s="1270"/>
      <c r="L4" s="1270"/>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1"/>
      <c r="BC4" s="1271"/>
      <c r="BD4" s="1271"/>
      <c r="BE4" s="1271"/>
      <c r="BF4" s="1271"/>
      <c r="BG4" s="1271"/>
      <c r="BH4" s="1271"/>
      <c r="BI4" s="1271"/>
      <c r="BJ4" s="1271"/>
      <c r="BK4" s="1271"/>
      <c r="BL4" s="1271"/>
      <c r="BM4" s="1271"/>
      <c r="BN4" s="1271"/>
      <c r="BO4" s="1271"/>
      <c r="BP4" s="1271"/>
      <c r="BQ4" s="1271"/>
      <c r="BR4" s="1271"/>
      <c r="BS4" s="1271"/>
      <c r="BT4" s="1271"/>
      <c r="BU4" s="1271"/>
      <c r="BV4" s="1271"/>
      <c r="BW4" s="1271"/>
      <c r="BX4" s="1271"/>
      <c r="BY4" s="1271"/>
      <c r="BZ4" s="1271"/>
      <c r="CA4" s="1271"/>
      <c r="CB4" s="1271"/>
      <c r="CC4" s="1271"/>
      <c r="CD4" s="1271"/>
      <c r="CE4" s="1271"/>
      <c r="CF4" s="1271"/>
      <c r="CG4" s="1271"/>
      <c r="CH4" s="1271"/>
      <c r="CI4" s="1271"/>
      <c r="CJ4" s="1271"/>
      <c r="CK4" s="1271"/>
      <c r="CL4" s="1271"/>
      <c r="CM4" s="1271"/>
      <c r="CN4" s="1271"/>
      <c r="CO4" s="1271"/>
      <c r="CP4" s="1271"/>
      <c r="CQ4" s="1271"/>
      <c r="CR4" s="1271"/>
      <c r="CS4" s="1271"/>
      <c r="CT4" s="1271"/>
      <c r="CU4" s="1271"/>
      <c r="CV4" s="1271"/>
      <c r="CW4" s="1271"/>
      <c r="CX4" s="1271"/>
      <c r="CY4" s="1271"/>
      <c r="CZ4" s="1271"/>
      <c r="DA4" s="1271"/>
      <c r="DB4" s="1271"/>
      <c r="DC4" s="1271"/>
      <c r="DD4" s="1271"/>
      <c r="DE4" s="1271"/>
      <c r="DF4" s="1271"/>
      <c r="DG4" s="1271"/>
      <c r="DH4" s="1271"/>
      <c r="DI4" s="1271"/>
      <c r="DJ4" s="1271"/>
      <c r="DK4" s="1271"/>
      <c r="DL4" s="1271"/>
      <c r="DM4" s="1271"/>
      <c r="DN4" s="1271"/>
      <c r="DO4" s="1271"/>
      <c r="DP4" s="1271"/>
      <c r="DQ4" s="1271"/>
      <c r="DR4" s="1271"/>
      <c r="DS4" s="1271"/>
      <c r="DT4" s="1271"/>
      <c r="DU4" s="1271"/>
      <c r="DV4" s="1271"/>
      <c r="DW4" s="1271"/>
      <c r="DX4" s="1271"/>
      <c r="DY4" s="1271"/>
      <c r="DZ4" s="1271"/>
      <c r="EA4" s="1271"/>
      <c r="EB4" s="1271"/>
      <c r="EC4" s="1271"/>
      <c r="ED4" s="1271"/>
      <c r="EE4" s="1271"/>
      <c r="EF4" s="1271"/>
      <c r="EG4" s="1271"/>
      <c r="EH4" s="1271"/>
      <c r="EI4" s="1271"/>
      <c r="EJ4" s="1271"/>
      <c r="EK4" s="1271"/>
      <c r="EL4" s="1271"/>
      <c r="EM4" s="1271"/>
      <c r="EN4" s="1271"/>
      <c r="EO4" s="1271"/>
      <c r="EP4" s="1271"/>
      <c r="EQ4" s="1271"/>
      <c r="ER4" s="1271"/>
      <c r="ES4" s="1271"/>
      <c r="ET4" s="1271"/>
      <c r="EU4" s="1271"/>
      <c r="EV4" s="1271"/>
      <c r="EW4" s="1271"/>
      <c r="EX4" s="1271"/>
      <c r="EY4" s="1271"/>
      <c r="EZ4" s="1271"/>
      <c r="FA4" s="1271"/>
      <c r="FB4" s="1271"/>
      <c r="FC4" s="1271"/>
      <c r="FD4" s="1271"/>
      <c r="FE4" s="1271"/>
      <c r="FF4" s="1271"/>
      <c r="FG4" s="1271"/>
      <c r="FH4" s="1271"/>
      <c r="FI4" s="1271"/>
      <c r="FJ4" s="1271"/>
      <c r="FK4" s="1271"/>
      <c r="FL4" s="1271"/>
      <c r="FM4" s="1271"/>
      <c r="FN4" s="1271"/>
      <c r="FO4" s="1271"/>
      <c r="FP4" s="1271"/>
      <c r="FQ4" s="1271"/>
      <c r="FR4" s="1271"/>
      <c r="FS4" s="1271"/>
      <c r="FT4" s="1271"/>
      <c r="FU4" s="1271"/>
      <c r="FV4" s="1271"/>
      <c r="FW4" s="1271"/>
      <c r="GC4" s="1267">
        <v>10</v>
      </c>
    </row>
    <row s="18994" customFormat="1" customHeight="1" ht="27.299999999999997">
      <c r="B5" s="2213"/>
      <c r="E5" s="2215"/>
      <c r="F5" s="277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10"/>
      <c r="H5" s="2510"/>
      <c r="I5" s="2510"/>
      <c r="J5" s="2510"/>
      <c r="K5" s="2510"/>
      <c r="L5" s="2510"/>
      <c r="M5" s="2510"/>
      <c r="N5" s="2510"/>
      <c r="O5" s="2510"/>
      <c r="P5" s="2510"/>
      <c r="Q5" s="2510"/>
      <c r="R5" s="2510"/>
      <c r="S5" s="2510"/>
      <c r="T5" s="2510"/>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c r="BP5" s="2510"/>
      <c r="BQ5" s="2510"/>
      <c r="BR5" s="2510"/>
      <c r="BS5" s="2510"/>
      <c r="GC5" s="2214">
        <v>26</v>
      </c>
    </row>
    <row s="18999" customFormat="1" customHeight="1" ht="18.75">
      <c r="B6" s="1284"/>
      <c r="E6" s="1286"/>
      <c r="F6" s="2555" t="str">
        <f>IF(org=0,"Не определено",org)</f>
        <v>АО "ДГК"</v>
      </c>
      <c r="G6" s="2556"/>
      <c r="H6" s="2556"/>
      <c r="I6" s="2556"/>
      <c r="J6" s="2556"/>
      <c r="K6" s="2556"/>
      <c r="L6" s="2556"/>
      <c r="M6" s="2556"/>
      <c r="N6" s="2556"/>
      <c r="O6" s="2556"/>
      <c r="P6" s="2556"/>
      <c r="Q6" s="2556"/>
      <c r="R6" s="2556"/>
      <c r="S6" s="2556"/>
      <c r="T6" s="2556"/>
      <c r="U6" s="2556"/>
      <c r="V6" s="2556"/>
      <c r="W6" s="2556"/>
      <c r="X6" s="2556"/>
      <c r="Y6" s="2556"/>
      <c r="Z6" s="2556"/>
      <c r="AA6" s="2556"/>
      <c r="AB6" s="2556"/>
      <c r="AC6" s="2556"/>
      <c r="AD6" s="2556"/>
      <c r="AE6" s="2556"/>
      <c r="AF6" s="2556"/>
      <c r="AG6" s="2556"/>
      <c r="AH6" s="2556"/>
      <c r="AI6" s="2556"/>
      <c r="AJ6" s="2556"/>
      <c r="AK6" s="2556"/>
      <c r="AL6" s="2556"/>
      <c r="AM6" s="2556"/>
      <c r="AN6" s="2556"/>
      <c r="AO6" s="2556"/>
      <c r="AP6" s="2556"/>
      <c r="AQ6" s="2556"/>
      <c r="AR6" s="2556"/>
      <c r="AS6" s="2556"/>
      <c r="AT6" s="2556"/>
      <c r="AU6" s="2556"/>
      <c r="AV6" s="2556"/>
      <c r="AW6" s="2556"/>
      <c r="AX6" s="2556"/>
      <c r="AY6" s="2556"/>
      <c r="AZ6" s="2556"/>
      <c r="BA6" s="2556"/>
      <c r="BB6" s="2556"/>
      <c r="BC6" s="2556"/>
      <c r="BD6" s="2556"/>
      <c r="BE6" s="2556"/>
      <c r="BF6" s="2556"/>
      <c r="BG6" s="2556"/>
      <c r="BH6" s="2556"/>
      <c r="BI6" s="2556"/>
      <c r="BJ6" s="2556"/>
      <c r="BK6" s="2556"/>
      <c r="BL6" s="2556"/>
      <c r="BM6" s="2556"/>
      <c r="BN6" s="2556"/>
      <c r="BO6" s="2556"/>
      <c r="BP6" s="2556"/>
      <c r="BQ6" s="2556"/>
      <c r="BR6" s="2556"/>
      <c r="BS6" s="2556"/>
      <c r="GC6" s="1285">
        <v>18</v>
      </c>
    </row>
    <row s="19003" customFormat="1" customHeight="1" ht="10.5">
      <c r="B7" s="1273"/>
      <c r="E7" s="1274"/>
      <c r="F7" s="1274"/>
      <c r="G7" s="1276"/>
      <c r="H7" s="1270"/>
      <c r="I7" s="1270"/>
      <c r="J7" s="1270"/>
      <c r="K7" s="1270"/>
      <c r="L7" s="1270"/>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c r="AM7" s="1274"/>
      <c r="AN7" s="1274"/>
      <c r="AO7" s="1274"/>
      <c r="AP7" s="1274"/>
      <c r="AQ7" s="1274"/>
      <c r="AR7" s="1274"/>
      <c r="AS7" s="1274"/>
      <c r="AT7" s="1274"/>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274"/>
      <c r="BS7" s="1274"/>
      <c r="BT7" s="1274"/>
      <c r="BU7" s="1274"/>
      <c r="BV7" s="1274"/>
      <c r="BW7" s="1274"/>
      <c r="BX7" s="1274"/>
      <c r="BY7" s="1274"/>
      <c r="BZ7" s="1274"/>
      <c r="CA7" s="1274"/>
      <c r="CB7" s="1274"/>
      <c r="CC7" s="1274"/>
      <c r="CD7" s="1274"/>
      <c r="CE7" s="1274"/>
      <c r="CF7" s="1274"/>
      <c r="CG7" s="1274"/>
      <c r="CH7" s="1274"/>
      <c r="CI7" s="1274"/>
      <c r="CJ7" s="1274"/>
      <c r="CK7" s="1274"/>
      <c r="CL7" s="1274"/>
      <c r="CM7" s="1274"/>
      <c r="CN7" s="1274"/>
      <c r="CO7" s="1274"/>
      <c r="CP7" s="1274"/>
      <c r="CQ7" s="1274"/>
      <c r="CR7" s="1274"/>
      <c r="CS7" s="1274"/>
      <c r="CT7" s="1274"/>
      <c r="CU7" s="1274"/>
      <c r="CV7" s="1274"/>
      <c r="CW7" s="1274"/>
      <c r="CX7" s="1274"/>
      <c r="CY7" s="1274"/>
      <c r="CZ7" s="1274"/>
      <c r="DA7" s="1274"/>
      <c r="DB7" s="1274"/>
      <c r="DC7" s="1274"/>
      <c r="DD7" s="1274"/>
      <c r="DE7" s="1274"/>
      <c r="DF7" s="1274"/>
      <c r="DG7" s="1274"/>
      <c r="DH7" s="1274"/>
      <c r="DI7" s="1274"/>
      <c r="DJ7" s="1274"/>
      <c r="DK7" s="1274"/>
      <c r="DL7" s="1274"/>
      <c r="DM7" s="1274"/>
      <c r="DN7" s="1274"/>
      <c r="DO7" s="1274"/>
      <c r="DP7" s="1274"/>
      <c r="DQ7" s="1274"/>
      <c r="DR7" s="1274"/>
      <c r="DS7" s="1274"/>
      <c r="DT7" s="1274"/>
      <c r="DU7" s="1274"/>
      <c r="DV7" s="1274"/>
      <c r="DW7" s="1274"/>
      <c r="DX7" s="1274"/>
      <c r="DY7" s="1274"/>
      <c r="DZ7" s="1274"/>
      <c r="EA7" s="1274"/>
      <c r="EB7" s="1274"/>
      <c r="EC7" s="1274"/>
      <c r="ED7" s="1274"/>
      <c r="EE7" s="1274"/>
      <c r="EF7" s="1274"/>
      <c r="EG7" s="1274"/>
      <c r="EH7" s="1274"/>
      <c r="EI7" s="1274"/>
      <c r="EJ7" s="1274"/>
      <c r="EK7" s="1274"/>
      <c r="EL7" s="1274"/>
      <c r="EM7" s="1274"/>
      <c r="EN7" s="1274"/>
      <c r="EO7" s="1274"/>
      <c r="EP7" s="1274"/>
      <c r="EQ7" s="1274"/>
      <c r="ER7" s="1274"/>
      <c r="ES7" s="1274"/>
      <c r="ET7" s="1274"/>
      <c r="EU7" s="1274"/>
      <c r="EV7" s="1274"/>
      <c r="EW7" s="1274"/>
      <c r="EX7" s="1274"/>
      <c r="EY7" s="1274"/>
      <c r="EZ7" s="1274"/>
      <c r="FA7" s="1274"/>
      <c r="FB7" s="1274"/>
      <c r="FC7" s="1274"/>
      <c r="FD7" s="1274"/>
      <c r="FE7" s="1274"/>
      <c r="FF7" s="1274"/>
      <c r="FG7" s="1274"/>
      <c r="FH7" s="1274"/>
      <c r="FI7" s="1274"/>
      <c r="FJ7" s="1274"/>
      <c r="FK7" s="1274"/>
      <c r="FL7" s="1274"/>
      <c r="FM7" s="1274"/>
      <c r="FN7" s="1274"/>
      <c r="FO7" s="1274"/>
      <c r="FP7" s="1274"/>
      <c r="FQ7" s="1274"/>
      <c r="FR7" s="1274"/>
      <c r="FS7" s="1274"/>
      <c r="FT7" s="1274"/>
      <c r="FU7" s="1274"/>
      <c r="FV7" s="1274"/>
      <c r="FW7" s="1274"/>
      <c r="GC7" s="1272">
        <v>10</v>
      </c>
    </row>
    <row s="19003" customFormat="1" customHeight="1" ht="11.25" hidden="1">
      <c r="B8" s="1275"/>
      <c r="F8" s="1397"/>
      <c r="G8" s="1104"/>
      <c r="H8" s="701"/>
      <c r="I8" s="701"/>
      <c r="J8" s="701"/>
      <c r="K8" s="701"/>
      <c r="L8" s="701"/>
      <c r="M8" s="1397"/>
      <c r="N8" s="1397"/>
      <c r="O8" s="2791" t="s">
        <v>1249</v>
      </c>
      <c r="P8" s="2792"/>
      <c r="Q8" s="2792"/>
      <c r="R8" s="2792"/>
      <c r="S8" s="2792"/>
      <c r="T8" s="2792"/>
      <c r="U8" s="2792"/>
      <c r="V8" s="2792"/>
      <c r="W8" s="2792"/>
      <c r="X8" s="2792"/>
      <c r="Y8" s="2792"/>
      <c r="Z8" s="2792"/>
      <c r="AA8" s="2792"/>
      <c r="AB8" s="2792"/>
      <c r="AC8" s="2792"/>
      <c r="AD8" s="2792"/>
      <c r="AE8" s="2792"/>
      <c r="AF8" s="2792"/>
      <c r="AG8" s="2792"/>
      <c r="AH8" s="2792"/>
      <c r="AI8" s="2792"/>
      <c r="AJ8" s="2792"/>
      <c r="AK8" s="2792"/>
      <c r="AL8" s="2792"/>
      <c r="AM8" s="2792"/>
      <c r="AN8" s="2792"/>
      <c r="AO8" s="2792"/>
      <c r="AP8" s="2792"/>
      <c r="AQ8" s="2792"/>
      <c r="AR8" s="2792"/>
      <c r="AS8" s="2792"/>
      <c r="AT8" s="2792"/>
      <c r="AU8" s="2792"/>
      <c r="AV8" s="2792"/>
      <c r="AW8" s="2792"/>
      <c r="AX8" s="2792"/>
      <c r="AY8" s="2792"/>
      <c r="AZ8" s="2792"/>
      <c r="BA8" s="2792"/>
      <c r="BB8" s="2792"/>
      <c r="BC8" s="2792"/>
      <c r="BD8" s="2792"/>
      <c r="BE8" s="2792"/>
      <c r="BF8" s="2792"/>
      <c r="BG8" s="2792"/>
      <c r="BH8" s="2792"/>
      <c r="BI8" s="2792"/>
      <c r="BJ8" s="2792"/>
      <c r="BK8" s="2792"/>
      <c r="BL8" s="2792"/>
      <c r="BM8" s="2792"/>
      <c r="BN8" s="2792"/>
      <c r="BO8" s="2792"/>
      <c r="BP8" s="2792"/>
      <c r="BQ8" s="2792"/>
      <c r="BR8" s="2792"/>
      <c r="BS8" s="2793"/>
      <c r="BT8" s="2780"/>
      <c r="BU8" s="2781"/>
      <c r="BV8" s="2781"/>
      <c r="BW8" s="2781"/>
      <c r="BX8" s="2781"/>
      <c r="BY8" s="2781"/>
      <c r="BZ8" s="2781"/>
      <c r="CA8" s="2781"/>
      <c r="CB8" s="2781"/>
      <c r="CC8" s="2781"/>
      <c r="CD8" s="2781"/>
      <c r="CE8" s="2781"/>
      <c r="CF8" s="2781"/>
      <c r="CG8" s="2781"/>
      <c r="CH8" s="2781"/>
      <c r="CI8" s="2781"/>
      <c r="CJ8" s="2781"/>
      <c r="CK8" s="2781"/>
      <c r="CL8" s="2781"/>
      <c r="CM8" s="2781"/>
      <c r="CN8" s="2781"/>
      <c r="CO8" s="2781"/>
      <c r="CP8" s="2781"/>
      <c r="CQ8" s="2781"/>
      <c r="CR8" s="2781"/>
      <c r="CS8" s="2781"/>
      <c r="CT8" s="2781"/>
      <c r="CU8" s="2781"/>
      <c r="CV8" s="2781"/>
      <c r="CW8" s="2781"/>
      <c r="CX8" s="2782"/>
      <c r="CY8" s="2783"/>
      <c r="CZ8" s="2784"/>
      <c r="DA8" s="2784"/>
      <c r="DB8" s="2784"/>
      <c r="DC8" s="2784"/>
      <c r="DD8" s="2784"/>
      <c r="DE8" s="2784"/>
      <c r="DF8" s="2784"/>
      <c r="DG8" s="2784"/>
      <c r="DH8" s="2784"/>
      <c r="DI8" s="2784"/>
      <c r="DJ8" s="2784"/>
      <c r="DK8" s="2784"/>
      <c r="DL8" s="2784"/>
      <c r="DM8" s="2784"/>
      <c r="DN8" s="2784"/>
      <c r="DO8" s="2784"/>
      <c r="DP8" s="2784"/>
      <c r="DQ8" s="2784"/>
      <c r="DR8" s="2784"/>
      <c r="DS8" s="2784"/>
      <c r="DT8" s="2784"/>
      <c r="DU8" s="2784"/>
      <c r="DV8" s="2784"/>
      <c r="DW8" s="2784"/>
      <c r="DX8" s="2785"/>
      <c r="DY8" s="2786" t="s">
        <v>1250</v>
      </c>
      <c r="DZ8" s="2787"/>
      <c r="EA8" s="2787"/>
      <c r="EB8" s="2787"/>
      <c r="EC8" s="2787"/>
      <c r="ED8" s="2787"/>
      <c r="EE8" s="2787"/>
      <c r="EF8" s="2787"/>
      <c r="EG8" s="2787"/>
      <c r="EH8" s="2787"/>
      <c r="EI8" s="2787"/>
      <c r="EJ8" s="2787"/>
      <c r="EK8" s="2787"/>
      <c r="EL8" s="2787"/>
      <c r="EM8" s="2787"/>
      <c r="EN8" s="2787"/>
      <c r="EO8" s="2787"/>
      <c r="EP8" s="2787"/>
      <c r="EQ8" s="2787"/>
      <c r="ER8" s="2787"/>
      <c r="ES8" s="2787"/>
      <c r="ET8" s="2787"/>
      <c r="EU8" s="2787"/>
      <c r="EV8" s="2787"/>
      <c r="EW8" s="2787"/>
      <c r="EX8" s="2787"/>
      <c r="EY8" s="2787"/>
      <c r="EZ8" s="2787"/>
      <c r="FA8" s="2787"/>
      <c r="FB8" s="2787"/>
      <c r="FC8" s="2787"/>
      <c r="FD8" s="2787"/>
      <c r="FE8" s="2787"/>
      <c r="FF8" s="2787"/>
      <c r="FG8" s="2787"/>
      <c r="FH8" s="2787"/>
      <c r="FI8" s="2787"/>
      <c r="FJ8" s="2787"/>
      <c r="FK8" s="2787"/>
      <c r="FL8" s="2787"/>
      <c r="FM8" s="2787"/>
      <c r="FN8" s="2787"/>
      <c r="FO8" s="2787"/>
      <c r="FP8" s="2787"/>
      <c r="FQ8" s="2787"/>
      <c r="FR8" s="2787"/>
      <c r="FS8" s="2787"/>
      <c r="FT8" s="2787"/>
      <c r="FU8" s="2787"/>
      <c r="FV8" s="2787"/>
      <c r="FW8" s="2788"/>
      <c r="FX8" s="1397"/>
      <c r="GC8" s="1274">
        <v>0</v>
      </c>
    </row>
    <row s="19003" customFormat="1" customHeight="1" ht="11.25" hidden="1">
      <c r="B9" s="1275"/>
      <c r="F9" s="1397"/>
      <c r="G9" s="1104"/>
      <c r="H9" s="701"/>
      <c r="I9" s="701"/>
      <c r="J9" s="701"/>
      <c r="K9" s="701"/>
      <c r="L9" s="701"/>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c r="AM9" s="1397"/>
      <c r="AN9" s="1397"/>
      <c r="AO9" s="1397"/>
      <c r="AP9" s="1397"/>
      <c r="AQ9" s="1397"/>
      <c r="AR9" s="1397"/>
      <c r="AS9" s="1397"/>
      <c r="AT9" s="1397"/>
      <c r="AU9" s="1397"/>
      <c r="AV9" s="1397"/>
      <c r="AW9" s="1397"/>
      <c r="AX9" s="1397"/>
      <c r="AY9" s="1397"/>
      <c r="AZ9" s="1397"/>
      <c r="BA9" s="1397"/>
      <c r="BB9" s="1397"/>
      <c r="BC9" s="1397"/>
      <c r="BD9" s="1397"/>
      <c r="BE9" s="1397"/>
      <c r="BF9" s="1397"/>
      <c r="BG9" s="1397"/>
      <c r="BH9" s="1397"/>
      <c r="BI9" s="1397"/>
      <c r="BJ9" s="1397"/>
      <c r="BK9" s="1397"/>
      <c r="BL9" s="1397"/>
      <c r="BM9" s="1397"/>
      <c r="BN9" s="1397"/>
      <c r="BO9" s="1397"/>
      <c r="BP9" s="1397"/>
      <c r="BQ9" s="1397"/>
      <c r="BR9" s="1397"/>
      <c r="BS9" s="1397"/>
      <c r="BT9" s="1397"/>
      <c r="BU9" s="1397"/>
      <c r="BV9" s="1397"/>
      <c r="BW9" s="1397"/>
      <c r="BX9" s="1397"/>
      <c r="BY9" s="1397"/>
      <c r="BZ9" s="1397"/>
      <c r="CA9" s="1397"/>
      <c r="CB9" s="1397"/>
      <c r="CC9" s="1397"/>
      <c r="CD9" s="1397"/>
      <c r="CE9" s="1397"/>
      <c r="CF9" s="1397"/>
      <c r="CG9" s="1397"/>
      <c r="CH9" s="1397"/>
      <c r="CI9" s="1397"/>
      <c r="CJ9" s="1397"/>
      <c r="CK9" s="1397"/>
      <c r="CL9" s="1397"/>
      <c r="CM9" s="1397"/>
      <c r="CN9" s="1397"/>
      <c r="CO9" s="1397"/>
      <c r="CP9" s="1397"/>
      <c r="CQ9" s="1397"/>
      <c r="CR9" s="1397"/>
      <c r="CS9" s="1397"/>
      <c r="CT9" s="1397"/>
      <c r="CU9" s="1397"/>
      <c r="CV9" s="1397"/>
      <c r="CW9" s="1397"/>
      <c r="CX9" s="1397"/>
      <c r="CY9" s="1397"/>
      <c r="CZ9" s="1397"/>
      <c r="DA9" s="1397"/>
      <c r="DB9" s="1397"/>
      <c r="DC9" s="1397"/>
      <c r="DD9" s="1397"/>
      <c r="DE9" s="1397"/>
      <c r="DF9" s="1397"/>
      <c r="DG9" s="1397"/>
      <c r="DH9" s="1397"/>
      <c r="DI9" s="1397"/>
      <c r="DJ9" s="1397"/>
      <c r="DK9" s="1397"/>
      <c r="DL9" s="1397"/>
      <c r="DM9" s="1397"/>
      <c r="DN9" s="1397"/>
      <c r="DO9" s="1397"/>
      <c r="DP9" s="1397"/>
      <c r="DQ9" s="1397"/>
      <c r="DR9" s="1397"/>
      <c r="DS9" s="1397"/>
      <c r="DT9" s="1397"/>
      <c r="DU9" s="1397"/>
      <c r="DV9" s="1397"/>
      <c r="DW9" s="1397"/>
      <c r="DX9" s="1397"/>
      <c r="DY9" s="1397"/>
      <c r="DZ9" s="1397"/>
      <c r="EA9" s="1397"/>
      <c r="EB9" s="1397"/>
      <c r="EC9" s="1397"/>
      <c r="ED9" s="1397"/>
      <c r="EE9" s="1397"/>
      <c r="EF9" s="1397"/>
      <c r="EG9" s="1397"/>
      <c r="EH9" s="1397"/>
      <c r="EI9" s="1397"/>
      <c r="EJ9" s="1397"/>
      <c r="EK9" s="1397"/>
      <c r="EL9" s="1397"/>
      <c r="EM9" s="1397"/>
      <c r="EN9" s="1397"/>
      <c r="EO9" s="1397"/>
      <c r="EP9" s="1397"/>
      <c r="EQ9" s="1397"/>
      <c r="ER9" s="1397"/>
      <c r="ES9" s="1397"/>
      <c r="ET9" s="1397"/>
      <c r="EU9" s="1397"/>
      <c r="EV9" s="1397"/>
      <c r="EW9" s="1397"/>
      <c r="EX9" s="1397"/>
      <c r="EY9" s="1397"/>
      <c r="EZ9" s="1397"/>
      <c r="FA9" s="1397"/>
      <c r="FB9" s="1397"/>
      <c r="FC9" s="1397"/>
      <c r="FD9" s="1397"/>
      <c r="FE9" s="1397"/>
      <c r="FF9" s="1397"/>
      <c r="FG9" s="1397"/>
      <c r="FH9" s="1397"/>
      <c r="FI9" s="1397"/>
      <c r="FJ9" s="1397"/>
      <c r="FK9" s="1397"/>
      <c r="FL9" s="1397"/>
      <c r="FM9" s="1397"/>
      <c r="FN9" s="1397"/>
      <c r="FO9" s="1397"/>
      <c r="FP9" s="1397"/>
      <c r="FQ9" s="1397"/>
      <c r="FR9" s="1397"/>
      <c r="FS9" s="1397"/>
      <c r="FT9" s="1397"/>
      <c r="FU9" s="1397"/>
      <c r="FV9" s="1397"/>
      <c r="FW9" s="2789"/>
      <c r="FX9" s="1397"/>
      <c r="GC9" s="1274">
        <v>0</v>
      </c>
    </row>
    <row s="19003" customFormat="1" customHeight="1" ht="11.549999999999999">
      <c r="B10" s="1275"/>
      <c r="F10" s="2770" t="s">
        <v>295</v>
      </c>
      <c r="G10" s="2771"/>
      <c r="H10" s="2771"/>
      <c r="I10" s="2771"/>
      <c r="J10" s="2771"/>
      <c r="K10" s="2771"/>
      <c r="L10" s="2771"/>
      <c r="M10" s="2771"/>
      <c r="N10" s="2771"/>
      <c r="O10" s="2771"/>
      <c r="P10" s="2771"/>
      <c r="Q10" s="2771"/>
      <c r="R10" s="2771"/>
      <c r="S10" s="2771"/>
      <c r="T10" s="2771"/>
      <c r="U10" s="2771"/>
      <c r="V10" s="2771"/>
      <c r="W10" s="2771"/>
      <c r="X10" s="2771"/>
      <c r="Y10" s="2771"/>
      <c r="Z10" s="2771"/>
      <c r="AA10" s="2771"/>
      <c r="AB10" s="2771"/>
      <c r="AC10" s="2771"/>
      <c r="AD10" s="2771"/>
      <c r="AE10" s="2771"/>
      <c r="AF10" s="2771"/>
      <c r="AG10" s="2771"/>
      <c r="AH10" s="2771"/>
      <c r="AI10" s="2771"/>
      <c r="AJ10" s="2771"/>
      <c r="AK10" s="2771"/>
      <c r="AL10" s="2771"/>
      <c r="AM10" s="2771"/>
      <c r="AN10" s="2771"/>
      <c r="AO10" s="2771"/>
      <c r="AP10" s="2771"/>
      <c r="AQ10" s="2771"/>
      <c r="AR10" s="2771"/>
      <c r="AS10" s="2771"/>
      <c r="AT10" s="2771"/>
      <c r="AU10" s="2771"/>
      <c r="AV10" s="2771"/>
      <c r="AW10" s="2771"/>
      <c r="AX10" s="2771"/>
      <c r="AY10" s="2771"/>
      <c r="AZ10" s="2771"/>
      <c r="BA10" s="2771"/>
      <c r="BB10" s="2771"/>
      <c r="BC10" s="2771"/>
      <c r="BD10" s="2771"/>
      <c r="BE10" s="2771"/>
      <c r="BF10" s="2771"/>
      <c r="BG10" s="2771"/>
      <c r="BH10" s="2771"/>
      <c r="BI10" s="2771"/>
      <c r="BJ10" s="2771"/>
      <c r="BK10" s="2771"/>
      <c r="BL10" s="2771"/>
      <c r="BM10" s="2771"/>
      <c r="BN10" s="2771"/>
      <c r="BO10" s="2771"/>
      <c r="BP10" s="2771"/>
      <c r="BQ10" s="2771"/>
      <c r="BR10" s="2771"/>
      <c r="BS10" s="2771"/>
      <c r="BT10" s="2771"/>
      <c r="BU10" s="2771"/>
      <c r="BV10" s="2771"/>
      <c r="BW10" s="2771"/>
      <c r="BX10" s="2771"/>
      <c r="BY10" s="2771"/>
      <c r="BZ10" s="2771"/>
      <c r="CA10" s="2771"/>
      <c r="CB10" s="2771"/>
      <c r="CC10" s="2771"/>
      <c r="CD10" s="2771"/>
      <c r="CE10" s="2771"/>
      <c r="CF10" s="2771"/>
      <c r="CG10" s="2771"/>
      <c r="CH10" s="2771"/>
      <c r="CI10" s="2771"/>
      <c r="CJ10" s="2771"/>
      <c r="CK10" s="2771"/>
      <c r="CL10" s="2771"/>
      <c r="CM10" s="2771"/>
      <c r="CN10" s="2771"/>
      <c r="CO10" s="2771"/>
      <c r="CP10" s="2771"/>
      <c r="CQ10" s="2771"/>
      <c r="CR10" s="2771"/>
      <c r="CS10" s="2771"/>
      <c r="CT10" s="2771"/>
      <c r="CU10" s="2771"/>
      <c r="CV10" s="2771"/>
      <c r="CW10" s="2771"/>
      <c r="CX10" s="2771"/>
      <c r="CY10" s="2771"/>
      <c r="CZ10" s="2771"/>
      <c r="DA10" s="2771"/>
      <c r="DB10" s="2771"/>
      <c r="DC10" s="2771"/>
      <c r="DD10" s="2771"/>
      <c r="DE10" s="2771"/>
      <c r="DF10" s="2771"/>
      <c r="DG10" s="2771"/>
      <c r="DH10" s="2771"/>
      <c r="DI10" s="2771"/>
      <c r="DJ10" s="2771"/>
      <c r="DK10" s="2771"/>
      <c r="DL10" s="2771"/>
      <c r="DM10" s="2771"/>
      <c r="DN10" s="2771"/>
      <c r="DO10" s="2771"/>
      <c r="DP10" s="2771"/>
      <c r="DQ10" s="2771"/>
      <c r="DR10" s="2771"/>
      <c r="DS10" s="2771"/>
      <c r="DT10" s="2771"/>
      <c r="DU10" s="2771"/>
      <c r="DV10" s="2771"/>
      <c r="DW10" s="2771"/>
      <c r="DX10" s="2771"/>
      <c r="DY10" s="2771"/>
      <c r="DZ10" s="2771"/>
      <c r="EA10" s="2771"/>
      <c r="EB10" s="2771"/>
      <c r="EC10" s="2771"/>
      <c r="ED10" s="2771"/>
      <c r="EE10" s="2771"/>
      <c r="EF10" s="2771"/>
      <c r="EG10" s="2771"/>
      <c r="EH10" s="2771"/>
      <c r="EI10" s="2771"/>
      <c r="EJ10" s="2771"/>
      <c r="EK10" s="2771"/>
      <c r="EL10" s="2771"/>
      <c r="EM10" s="2771"/>
      <c r="EN10" s="2771"/>
      <c r="EO10" s="2771"/>
      <c r="EP10" s="2771"/>
      <c r="EQ10" s="2771"/>
      <c r="ER10" s="2771"/>
      <c r="ES10" s="2771"/>
      <c r="ET10" s="2771"/>
      <c r="EU10" s="2771"/>
      <c r="EV10" s="2771"/>
      <c r="EW10" s="2771"/>
      <c r="EX10" s="2771"/>
      <c r="EY10" s="2771"/>
      <c r="EZ10" s="2771"/>
      <c r="FA10" s="2771"/>
      <c r="FB10" s="2771"/>
      <c r="FC10" s="2771"/>
      <c r="FD10" s="2771"/>
      <c r="FE10" s="2771"/>
      <c r="FF10" s="2771"/>
      <c r="FG10" s="2771"/>
      <c r="FH10" s="2771"/>
      <c r="FI10" s="2771"/>
      <c r="FJ10" s="2771"/>
      <c r="FK10" s="2771"/>
      <c r="FL10" s="2771"/>
      <c r="FM10" s="2771"/>
      <c r="FN10" s="2771"/>
      <c r="FO10" s="2771"/>
      <c r="FP10" s="2771"/>
      <c r="FQ10" s="2771"/>
      <c r="FR10" s="2771"/>
      <c r="FS10" s="2771"/>
      <c r="FT10" s="2771"/>
      <c r="FU10" s="2771"/>
      <c r="FV10" s="2772"/>
      <c r="FW10" s="2789"/>
      <c r="FX10" s="1397"/>
      <c r="GC10" s="1274">
        <v>11</v>
      </c>
    </row>
    <row customHeight="1" ht="12.75">
      <c r="E11" s="1278"/>
      <c r="F11" s="2546" t="s">
        <v>88</v>
      </c>
      <c r="G11" s="2546" t="s">
        <v>1251</v>
      </c>
      <c r="H11" s="2778" t="s">
        <v>1252</v>
      </c>
      <c r="I11" s="2778" t="s">
        <v>1253</v>
      </c>
      <c r="J11" s="2779"/>
      <c r="K11" s="2779"/>
      <c r="L11" s="2779"/>
      <c r="M11" s="2779"/>
      <c r="N11" s="2779"/>
      <c r="O11" s="2550" t="s">
        <v>1254</v>
      </c>
      <c r="P11" s="2550"/>
      <c r="Q11" s="2550"/>
      <c r="R11" s="2550"/>
      <c r="S11" s="2550"/>
      <c r="T11" s="2550"/>
      <c r="U11" s="2550"/>
      <c r="V11" s="2550"/>
      <c r="W11" s="2550"/>
      <c r="X11" s="2550"/>
      <c r="Y11" s="2550"/>
      <c r="Z11" s="2550"/>
      <c r="AA11" s="2550"/>
      <c r="AB11" s="2550"/>
      <c r="AC11" s="2775"/>
      <c r="AD11" s="2775"/>
      <c r="AE11" s="2775"/>
      <c r="AF11" s="2775"/>
      <c r="AG11" s="2775"/>
      <c r="AH11" s="2775"/>
      <c r="AI11" s="2775"/>
      <c r="AJ11" s="2775"/>
      <c r="AK11" s="2775"/>
      <c r="AL11" s="2775"/>
      <c r="AM11" s="2775"/>
      <c r="AN11" s="2775"/>
      <c r="AO11" s="2775"/>
      <c r="AP11" s="2775"/>
      <c r="AQ11" s="2775"/>
      <c r="AR11" s="2775"/>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c r="BP11" s="2775"/>
      <c r="BQ11" s="2775"/>
      <c r="BR11" s="2775"/>
      <c r="BS11" s="2794"/>
      <c r="BT11" s="2727" t="s">
        <v>1254</v>
      </c>
      <c r="BU11" s="2728"/>
      <c r="BV11" s="2728"/>
      <c r="BW11" s="2728"/>
      <c r="BX11" s="2728"/>
      <c r="BY11" s="2728"/>
      <c r="BZ11" s="2728"/>
      <c r="CA11" s="2728"/>
      <c r="CB11" s="2728"/>
      <c r="CC11" s="2728"/>
      <c r="CD11" s="2728"/>
      <c r="CE11" s="2728"/>
      <c r="CF11" s="2728"/>
      <c r="CG11" s="2728"/>
      <c r="CH11" s="2728"/>
      <c r="CI11" s="2728"/>
      <c r="CJ11" s="2728"/>
      <c r="CK11" s="2774"/>
      <c r="CL11" s="2777"/>
      <c r="CM11" s="2775"/>
      <c r="CN11" s="2775"/>
      <c r="CO11" s="2775"/>
      <c r="CP11" s="2775"/>
      <c r="CQ11" s="2775"/>
      <c r="CR11" s="2775"/>
      <c r="CS11" s="2775"/>
      <c r="CT11" s="2775"/>
      <c r="CU11" s="2775"/>
      <c r="CV11" s="2775"/>
      <c r="CW11" s="2775"/>
      <c r="CX11" s="2794"/>
      <c r="CY11" s="2727" t="s">
        <v>1254</v>
      </c>
      <c r="CZ11" s="2728"/>
      <c r="DA11" s="2728"/>
      <c r="DB11" s="2728"/>
      <c r="DC11" s="2728"/>
      <c r="DD11" s="2728"/>
      <c r="DE11" s="2728"/>
      <c r="DF11" s="2728"/>
      <c r="DG11" s="2728"/>
      <c r="DH11" s="2728"/>
      <c r="DI11" s="2728"/>
      <c r="DJ11" s="2774"/>
      <c r="DK11" s="2777"/>
      <c r="DL11" s="2775"/>
      <c r="DM11" s="2775"/>
      <c r="DN11" s="2775"/>
      <c r="DO11" s="2775"/>
      <c r="DP11" s="2775"/>
      <c r="DQ11" s="2775"/>
      <c r="DR11" s="2775"/>
      <c r="DS11" s="2775"/>
      <c r="DT11" s="2775"/>
      <c r="DU11" s="2775"/>
      <c r="DV11" s="2775"/>
      <c r="DW11" s="2775"/>
      <c r="DX11" s="2775"/>
      <c r="DY11" s="2775"/>
      <c r="DZ11" s="2775"/>
      <c r="EA11" s="2775"/>
      <c r="EB11" s="2775"/>
      <c r="EC11" s="2775"/>
      <c r="ED11" s="2775"/>
      <c r="EE11" s="2775"/>
      <c r="EF11" s="2775"/>
      <c r="EG11" s="2775"/>
      <c r="EH11" s="2775"/>
      <c r="EI11" s="2775"/>
      <c r="EJ11" s="2775"/>
      <c r="EK11" s="2775"/>
      <c r="EL11" s="2775"/>
      <c r="EM11" s="2775"/>
      <c r="EN11" s="2775"/>
      <c r="EO11" s="2775"/>
      <c r="EP11" s="2775"/>
      <c r="EQ11" s="2775"/>
      <c r="ER11" s="2775"/>
      <c r="ES11" s="2775"/>
      <c r="ET11" s="2775"/>
      <c r="EU11" s="2775"/>
      <c r="EV11" s="2775"/>
      <c r="EW11" s="2775"/>
      <c r="EX11" s="2775"/>
      <c r="EY11" s="2775"/>
      <c r="EZ11" s="2775"/>
      <c r="FA11" s="2775"/>
      <c r="FB11" s="2775"/>
      <c r="FC11" s="2775"/>
      <c r="FD11" s="2775"/>
      <c r="FE11" s="2775"/>
      <c r="FF11" s="2775"/>
      <c r="FG11" s="2775"/>
      <c r="FH11" s="2775"/>
      <c r="FI11" s="2775"/>
      <c r="FJ11" s="2775"/>
      <c r="FK11" s="2775"/>
      <c r="FL11" s="2775"/>
      <c r="FM11" s="2775"/>
      <c r="FN11" s="2775"/>
      <c r="FO11" s="2775"/>
      <c r="FP11" s="2775"/>
      <c r="FQ11" s="2775"/>
      <c r="FR11" s="2775"/>
      <c r="FS11" s="2775"/>
      <c r="FT11" s="2775"/>
      <c r="FU11" s="2775"/>
      <c r="FV11" s="2775"/>
      <c r="FW11" s="2789"/>
      <c r="FX11" s="1103"/>
      <c r="GC11" s="1267">
        <v>12</v>
      </c>
    </row>
    <row customHeight="1" ht="12.75">
      <c r="D12" s="1279"/>
      <c r="E12" s="1278"/>
      <c r="F12" s="2546"/>
      <c r="G12" s="2546"/>
      <c r="H12" s="2778"/>
      <c r="I12" s="2778"/>
      <c r="J12" s="2779"/>
      <c r="K12" s="2779"/>
      <c r="L12" s="2779"/>
      <c r="M12" s="2779"/>
      <c r="N12" s="2779"/>
      <c r="O12" s="2550" t="s">
        <v>1255</v>
      </c>
      <c r="P12" s="2550"/>
      <c r="Q12" s="2550"/>
      <c r="R12" s="2550"/>
      <c r="S12" s="2550" t="s">
        <v>1256</v>
      </c>
      <c r="T12" s="2550"/>
      <c r="U12" s="2550"/>
      <c r="V12" s="2550"/>
      <c r="W12" s="2550"/>
      <c r="X12" s="2550"/>
      <c r="Y12" s="2550"/>
      <c r="Z12" s="2550"/>
      <c r="AA12" s="2550"/>
      <c r="AB12" s="2550"/>
      <c r="AC12" s="2775"/>
      <c r="AD12" s="2775"/>
      <c r="AE12" s="2775"/>
      <c r="AF12" s="2775"/>
      <c r="AG12" s="2775"/>
      <c r="AH12" s="2775"/>
      <c r="AI12" s="2775"/>
      <c r="AJ12" s="2775"/>
      <c r="AK12" s="2775"/>
      <c r="AL12" s="2775"/>
      <c r="AM12" s="2775"/>
      <c r="AN12" s="2775"/>
      <c r="AO12" s="2775"/>
      <c r="AP12" s="2775"/>
      <c r="AQ12" s="2775"/>
      <c r="AR12" s="2775"/>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c r="BP12" s="2775"/>
      <c r="BQ12" s="2775"/>
      <c r="BR12" s="2775"/>
      <c r="BS12" s="2794"/>
      <c r="BT12" s="2727" t="s">
        <v>1257</v>
      </c>
      <c r="BU12" s="2728"/>
      <c r="BV12" s="2728"/>
      <c r="BW12" s="2774"/>
      <c r="BX12" s="2727" t="s">
        <v>1258</v>
      </c>
      <c r="BY12" s="2728"/>
      <c r="BZ12" s="2728"/>
      <c r="CA12" s="2774"/>
      <c r="CB12" s="2727" t="s">
        <v>1259</v>
      </c>
      <c r="CC12" s="2774"/>
      <c r="CD12" s="2727" t="s">
        <v>1260</v>
      </c>
      <c r="CE12" s="2728"/>
      <c r="CF12" s="2728"/>
      <c r="CG12" s="2728"/>
      <c r="CH12" s="2728"/>
      <c r="CI12" s="2728"/>
      <c r="CJ12" s="2728"/>
      <c r="CK12" s="2774"/>
      <c r="CL12" s="2777"/>
      <c r="CM12" s="2775"/>
      <c r="CN12" s="2775"/>
      <c r="CO12" s="2775"/>
      <c r="CP12" s="2775"/>
      <c r="CQ12" s="2775"/>
      <c r="CR12" s="2775"/>
      <c r="CS12" s="2775"/>
      <c r="CT12" s="2775"/>
      <c r="CU12" s="2775"/>
      <c r="CV12" s="2775"/>
      <c r="CW12" s="2775"/>
      <c r="CX12" s="2794"/>
      <c r="CY12" s="2727" t="s">
        <v>1261</v>
      </c>
      <c r="CZ12" s="2728"/>
      <c r="DA12" s="2728"/>
      <c r="DB12" s="2728"/>
      <c r="DC12" s="2728"/>
      <c r="DD12" s="2774"/>
      <c r="DE12" s="2727" t="s">
        <v>1262</v>
      </c>
      <c r="DF12" s="2774"/>
      <c r="DG12" s="2727" t="s">
        <v>1260</v>
      </c>
      <c r="DH12" s="2728"/>
      <c r="DI12" s="2728"/>
      <c r="DJ12" s="2774"/>
      <c r="DK12" s="2777"/>
      <c r="DL12" s="2775"/>
      <c r="DM12" s="2775"/>
      <c r="DN12" s="2775"/>
      <c r="DO12" s="2775"/>
      <c r="DP12" s="2775"/>
      <c r="DQ12" s="2775"/>
      <c r="DR12" s="2775"/>
      <c r="DS12" s="2775"/>
      <c r="DT12" s="2775"/>
      <c r="DU12" s="2775"/>
      <c r="DV12" s="2775"/>
      <c r="DW12" s="2775"/>
      <c r="DX12" s="2775"/>
      <c r="DY12" s="2775"/>
      <c r="DZ12" s="2775"/>
      <c r="EA12" s="2775"/>
      <c r="EB12" s="2775"/>
      <c r="EC12" s="2775"/>
      <c r="ED12" s="2775"/>
      <c r="EE12" s="2775"/>
      <c r="EF12" s="2775"/>
      <c r="EG12" s="2775"/>
      <c r="EH12" s="2775"/>
      <c r="EI12" s="2775"/>
      <c r="EJ12" s="2775"/>
      <c r="EK12" s="2775"/>
      <c r="EL12" s="2775"/>
      <c r="EM12" s="2775"/>
      <c r="EN12" s="2775"/>
      <c r="EO12" s="2775"/>
      <c r="EP12" s="2775"/>
      <c r="EQ12" s="2775"/>
      <c r="ER12" s="2775"/>
      <c r="ES12" s="2775"/>
      <c r="ET12" s="2775"/>
      <c r="EU12" s="2775"/>
      <c r="EV12" s="2775"/>
      <c r="EW12" s="2775"/>
      <c r="EX12" s="2775"/>
      <c r="EY12" s="2775"/>
      <c r="EZ12" s="2775"/>
      <c r="FA12" s="2775"/>
      <c r="FB12" s="2775"/>
      <c r="FC12" s="2775"/>
      <c r="FD12" s="2775"/>
      <c r="FE12" s="2775"/>
      <c r="FF12" s="2775"/>
      <c r="FG12" s="2775"/>
      <c r="FH12" s="2775"/>
      <c r="FI12" s="2775"/>
      <c r="FJ12" s="2775"/>
      <c r="FK12" s="2775"/>
      <c r="FL12" s="2775"/>
      <c r="FM12" s="2775"/>
      <c r="FN12" s="2775"/>
      <c r="FO12" s="2775"/>
      <c r="FP12" s="2775"/>
      <c r="FQ12" s="2775"/>
      <c r="FR12" s="2775"/>
      <c r="FS12" s="2775"/>
      <c r="FT12" s="2775"/>
      <c r="FU12" s="2775"/>
      <c r="FV12" s="2775"/>
      <c r="FW12" s="2789"/>
      <c r="FX12" s="1103"/>
      <c r="GC12" s="1267">
        <v>12</v>
      </c>
    </row>
    <row customHeight="1" ht="37.8">
      <c r="D13" s="1279"/>
      <c r="E13" s="1278"/>
      <c r="F13" s="2546"/>
      <c r="G13" s="2546"/>
      <c r="H13" s="2778"/>
      <c r="I13" s="2778"/>
      <c r="J13" s="2779"/>
      <c r="K13" s="2779"/>
      <c r="L13" s="2779"/>
      <c r="M13" s="2779"/>
      <c r="N13" s="2779"/>
      <c r="O13" s="2550" t="s">
        <v>1263</v>
      </c>
      <c r="P13" s="2550"/>
      <c r="Q13" s="2550"/>
      <c r="R13" s="2550"/>
      <c r="S13" s="2677" t="s">
        <v>1264</v>
      </c>
      <c r="T13" s="2729"/>
      <c r="U13" s="2468" t="s">
        <v>1265</v>
      </c>
      <c r="V13" s="2468"/>
      <c r="W13" s="2468"/>
      <c r="X13" s="2468"/>
      <c r="Y13" s="2468" t="s">
        <v>1266</v>
      </c>
      <c r="Z13" s="2468"/>
      <c r="AA13" s="2468"/>
      <c r="AB13" s="2468"/>
      <c r="AC13" s="2775"/>
      <c r="AD13" s="2775"/>
      <c r="AE13" s="2775"/>
      <c r="AF13" s="2775"/>
      <c r="AG13" s="2775"/>
      <c r="AH13" s="2775"/>
      <c r="AI13" s="2775"/>
      <c r="AJ13" s="2775"/>
      <c r="AK13" s="2775"/>
      <c r="AL13" s="2775"/>
      <c r="AM13" s="2775"/>
      <c r="AN13" s="2775"/>
      <c r="AO13" s="2775"/>
      <c r="AP13" s="2775"/>
      <c r="AQ13" s="2775"/>
      <c r="AR13" s="2775"/>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c r="BP13" s="2775"/>
      <c r="BQ13" s="2775"/>
      <c r="BR13" s="2775"/>
      <c r="BS13" s="2794"/>
      <c r="BT13" s="2677" t="s">
        <v>1267</v>
      </c>
      <c r="BU13" s="2729"/>
      <c r="BV13" s="2677" t="s">
        <v>1268</v>
      </c>
      <c r="BW13" s="2729"/>
      <c r="BX13" s="2677" t="s">
        <v>1269</v>
      </c>
      <c r="BY13" s="2729"/>
      <c r="BZ13" s="2677" t="s">
        <v>1270</v>
      </c>
      <c r="CA13" s="2729"/>
      <c r="CB13" s="2677" t="s">
        <v>1271</v>
      </c>
      <c r="CC13" s="2729"/>
      <c r="CD13" s="2677" t="s">
        <v>1272</v>
      </c>
      <c r="CE13" s="2729"/>
      <c r="CF13" s="2677" t="s">
        <v>1273</v>
      </c>
      <c r="CG13" s="2729"/>
      <c r="CH13" s="2727" t="s">
        <v>1274</v>
      </c>
      <c r="CI13" s="2728"/>
      <c r="CJ13" s="2728"/>
      <c r="CK13" s="2774"/>
      <c r="CL13" s="2777"/>
      <c r="CM13" s="2775"/>
      <c r="CN13" s="2775"/>
      <c r="CO13" s="2775"/>
      <c r="CP13" s="2775"/>
      <c r="CQ13" s="2775"/>
      <c r="CR13" s="2775"/>
      <c r="CS13" s="2775"/>
      <c r="CT13" s="2775"/>
      <c r="CU13" s="2775"/>
      <c r="CV13" s="2775"/>
      <c r="CW13" s="2775"/>
      <c r="CX13" s="2794"/>
      <c r="CY13" s="2677" t="s">
        <v>1275</v>
      </c>
      <c r="CZ13" s="2729"/>
      <c r="DA13" s="2677" t="s">
        <v>1276</v>
      </c>
      <c r="DB13" s="2729"/>
      <c r="DC13" s="2677" t="s">
        <v>1277</v>
      </c>
      <c r="DD13" s="2729"/>
      <c r="DE13" s="2677" t="s">
        <v>1278</v>
      </c>
      <c r="DF13" s="2729"/>
      <c r="DG13" s="2727" t="s">
        <v>1279</v>
      </c>
      <c r="DH13" s="2728"/>
      <c r="DI13" s="2728"/>
      <c r="DJ13" s="2774"/>
      <c r="DK13" s="2777"/>
      <c r="DL13" s="2775"/>
      <c r="DM13" s="2775"/>
      <c r="DN13" s="2775"/>
      <c r="DO13" s="2775"/>
      <c r="DP13" s="2775"/>
      <c r="DQ13" s="2775"/>
      <c r="DR13" s="2775"/>
      <c r="DS13" s="2775"/>
      <c r="DT13" s="2775"/>
      <c r="DU13" s="2775"/>
      <c r="DV13" s="2775"/>
      <c r="DW13" s="2775"/>
      <c r="DX13" s="2775"/>
      <c r="DY13" s="2775"/>
      <c r="DZ13" s="2775"/>
      <c r="EA13" s="2775"/>
      <c r="EB13" s="2775"/>
      <c r="EC13" s="2775"/>
      <c r="ED13" s="2775"/>
      <c r="EE13" s="2775"/>
      <c r="EF13" s="2775"/>
      <c r="EG13" s="2775"/>
      <c r="EH13" s="2775"/>
      <c r="EI13" s="2775"/>
      <c r="EJ13" s="2775"/>
      <c r="EK13" s="2775"/>
      <c r="EL13" s="2775"/>
      <c r="EM13" s="2775"/>
      <c r="EN13" s="2775"/>
      <c r="EO13" s="2775"/>
      <c r="EP13" s="2775"/>
      <c r="EQ13" s="2775"/>
      <c r="ER13" s="2775"/>
      <c r="ES13" s="2775"/>
      <c r="ET13" s="2775"/>
      <c r="EU13" s="2775"/>
      <c r="EV13" s="2775"/>
      <c r="EW13" s="2775"/>
      <c r="EX13" s="2775"/>
      <c r="EY13" s="2775"/>
      <c r="EZ13" s="2775"/>
      <c r="FA13" s="2775"/>
      <c r="FB13" s="2775"/>
      <c r="FC13" s="2775"/>
      <c r="FD13" s="2775"/>
      <c r="FE13" s="2775"/>
      <c r="FF13" s="2775"/>
      <c r="FG13" s="2775"/>
      <c r="FH13" s="2775"/>
      <c r="FI13" s="2775"/>
      <c r="FJ13" s="2775"/>
      <c r="FK13" s="2775"/>
      <c r="FL13" s="2775"/>
      <c r="FM13" s="2775"/>
      <c r="FN13" s="2775"/>
      <c r="FO13" s="2775"/>
      <c r="FP13" s="2775"/>
      <c r="FQ13" s="2775"/>
      <c r="FR13" s="2775"/>
      <c r="FS13" s="2775"/>
      <c r="FT13" s="2775"/>
      <c r="FU13" s="2775"/>
      <c r="FV13" s="2775"/>
      <c r="FW13" s="2789"/>
      <c r="FX13" s="1103"/>
      <c r="GC13" s="1267">
        <v>36</v>
      </c>
    </row>
    <row customHeight="1" ht="37.8">
      <c r="D14" s="1279"/>
      <c r="E14" s="1278"/>
      <c r="F14" s="2546"/>
      <c r="G14" s="2546"/>
      <c r="H14" s="2778"/>
      <c r="I14" s="2778"/>
      <c r="J14" s="2779"/>
      <c r="K14" s="2779"/>
      <c r="L14" s="2779"/>
      <c r="M14" s="2779"/>
      <c r="N14" s="2779"/>
      <c r="O14" s="2677" t="s">
        <v>1280</v>
      </c>
      <c r="P14" s="2729"/>
      <c r="Q14" s="2677" t="s">
        <v>1281</v>
      </c>
      <c r="R14" s="2729"/>
      <c r="S14" s="2678"/>
      <c r="T14" s="2554"/>
      <c r="U14" s="2677" t="s">
        <v>831</v>
      </c>
      <c r="V14" s="2729"/>
      <c r="W14" s="2677" t="s">
        <v>834</v>
      </c>
      <c r="X14" s="2729"/>
      <c r="Y14" s="2677" t="s">
        <v>831</v>
      </c>
      <c r="Z14" s="2729"/>
      <c r="AA14" s="2677" t="s">
        <v>841</v>
      </c>
      <c r="AB14" s="2729"/>
      <c r="AC14" s="2775"/>
      <c r="AD14" s="2775"/>
      <c r="AE14" s="2775"/>
      <c r="AF14" s="2775"/>
      <c r="AG14" s="2775"/>
      <c r="AH14" s="2775"/>
      <c r="AI14" s="2775"/>
      <c r="AJ14" s="2775"/>
      <c r="AK14" s="2775"/>
      <c r="AL14" s="2775"/>
      <c r="AM14" s="2775"/>
      <c r="AN14" s="2775"/>
      <c r="AO14" s="2775"/>
      <c r="AP14" s="2775"/>
      <c r="AQ14" s="2775"/>
      <c r="AR14" s="2775"/>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c r="BP14" s="2775"/>
      <c r="BQ14" s="2775"/>
      <c r="BR14" s="2775"/>
      <c r="BS14" s="2794"/>
      <c r="BT14" s="2678"/>
      <c r="BU14" s="2554"/>
      <c r="BV14" s="2678"/>
      <c r="BW14" s="2554"/>
      <c r="BX14" s="2678"/>
      <c r="BY14" s="2554"/>
      <c r="BZ14" s="2678"/>
      <c r="CA14" s="2554"/>
      <c r="CB14" s="2678"/>
      <c r="CC14" s="2554"/>
      <c r="CD14" s="2678"/>
      <c r="CE14" s="2554"/>
      <c r="CF14" s="2678"/>
      <c r="CG14" s="2554"/>
      <c r="CH14" s="2677" t="s">
        <v>1282</v>
      </c>
      <c r="CI14" s="2729"/>
      <c r="CJ14" s="2677" t="s">
        <v>1283</v>
      </c>
      <c r="CK14" s="2729"/>
      <c r="CL14" s="2777"/>
      <c r="CM14" s="2775"/>
      <c r="CN14" s="2775"/>
      <c r="CO14" s="2775"/>
      <c r="CP14" s="2775"/>
      <c r="CQ14" s="2775"/>
      <c r="CR14" s="2775"/>
      <c r="CS14" s="2775"/>
      <c r="CT14" s="2775"/>
      <c r="CU14" s="2775"/>
      <c r="CV14" s="2775"/>
      <c r="CW14" s="2775"/>
      <c r="CX14" s="2794"/>
      <c r="CY14" s="2678"/>
      <c r="CZ14" s="2554"/>
      <c r="DA14" s="2678"/>
      <c r="DB14" s="2554"/>
      <c r="DC14" s="2678"/>
      <c r="DD14" s="2554"/>
      <c r="DE14" s="2678"/>
      <c r="DF14" s="2554"/>
      <c r="DG14" s="2677" t="s">
        <v>1284</v>
      </c>
      <c r="DH14" s="2729"/>
      <c r="DI14" s="2677" t="s">
        <v>1285</v>
      </c>
      <c r="DJ14" s="2729"/>
      <c r="DK14" s="2777"/>
      <c r="DL14" s="2775"/>
      <c r="DM14" s="2775"/>
      <c r="DN14" s="2775"/>
      <c r="DO14" s="2775"/>
      <c r="DP14" s="2775"/>
      <c r="DQ14" s="2775"/>
      <c r="DR14" s="2775"/>
      <c r="DS14" s="2775"/>
      <c r="DT14" s="2775"/>
      <c r="DU14" s="2775"/>
      <c r="DV14" s="2775"/>
      <c r="DW14" s="2775"/>
      <c r="DX14" s="2775"/>
      <c r="DY14" s="2775"/>
      <c r="DZ14" s="2775"/>
      <c r="EA14" s="2775"/>
      <c r="EB14" s="2775"/>
      <c r="EC14" s="2775"/>
      <c r="ED14" s="2775"/>
      <c r="EE14" s="2775"/>
      <c r="EF14" s="2775"/>
      <c r="EG14" s="2775"/>
      <c r="EH14" s="2775"/>
      <c r="EI14" s="2775"/>
      <c r="EJ14" s="2775"/>
      <c r="EK14" s="2775"/>
      <c r="EL14" s="2775"/>
      <c r="EM14" s="2775"/>
      <c r="EN14" s="2775"/>
      <c r="EO14" s="2775"/>
      <c r="EP14" s="2775"/>
      <c r="EQ14" s="2775"/>
      <c r="ER14" s="2775"/>
      <c r="ES14" s="2775"/>
      <c r="ET14" s="2775"/>
      <c r="EU14" s="2775"/>
      <c r="EV14" s="2775"/>
      <c r="EW14" s="2775"/>
      <c r="EX14" s="2775"/>
      <c r="EY14" s="2775"/>
      <c r="EZ14" s="2775"/>
      <c r="FA14" s="2775"/>
      <c r="FB14" s="2775"/>
      <c r="FC14" s="2775"/>
      <c r="FD14" s="2775"/>
      <c r="FE14" s="2775"/>
      <c r="FF14" s="2775"/>
      <c r="FG14" s="2775"/>
      <c r="FH14" s="2775"/>
      <c r="FI14" s="2775"/>
      <c r="FJ14" s="2775"/>
      <c r="FK14" s="2775"/>
      <c r="FL14" s="2775"/>
      <c r="FM14" s="2775"/>
      <c r="FN14" s="2775"/>
      <c r="FO14" s="2775"/>
      <c r="FP14" s="2775"/>
      <c r="FQ14" s="2775"/>
      <c r="FR14" s="2775"/>
      <c r="FS14" s="2775"/>
      <c r="FT14" s="2775"/>
      <c r="FU14" s="2775"/>
      <c r="FV14" s="2775"/>
      <c r="FW14" s="2789"/>
      <c r="FX14" s="1103"/>
      <c r="GC14" s="1267">
        <v>36</v>
      </c>
    </row>
    <row customHeight="1" ht="37.8">
      <c r="D15" s="1279"/>
      <c r="E15" s="1278"/>
      <c r="F15" s="2546"/>
      <c r="G15" s="2546"/>
      <c r="H15" s="2778"/>
      <c r="I15" s="2778"/>
      <c r="J15" s="2779"/>
      <c r="K15" s="2779"/>
      <c r="L15" s="2779"/>
      <c r="M15" s="2779"/>
      <c r="N15" s="2779"/>
      <c r="O15" s="2679"/>
      <c r="P15" s="2776"/>
      <c r="Q15" s="2679"/>
      <c r="R15" s="2776"/>
      <c r="S15" s="2679"/>
      <c r="T15" s="2776"/>
      <c r="U15" s="2679"/>
      <c r="V15" s="2776"/>
      <c r="W15" s="2679"/>
      <c r="X15" s="2776"/>
      <c r="Y15" s="2679"/>
      <c r="Z15" s="2776"/>
      <c r="AA15" s="2679"/>
      <c r="AB15" s="2776"/>
      <c r="AC15" s="2775"/>
      <c r="AD15" s="2775"/>
      <c r="AE15" s="2775"/>
      <c r="AF15" s="2775"/>
      <c r="AG15" s="2775"/>
      <c r="AH15" s="2775"/>
      <c r="AI15" s="2775"/>
      <c r="AJ15" s="2775"/>
      <c r="AK15" s="2775"/>
      <c r="AL15" s="2775"/>
      <c r="AM15" s="2775"/>
      <c r="AN15" s="2775"/>
      <c r="AO15" s="2775"/>
      <c r="AP15" s="2775"/>
      <c r="AQ15" s="2775"/>
      <c r="AR15" s="2775"/>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c r="BP15" s="2775"/>
      <c r="BQ15" s="2775"/>
      <c r="BR15" s="2775"/>
      <c r="BS15" s="2794"/>
      <c r="BT15" s="2679"/>
      <c r="BU15" s="2776"/>
      <c r="BV15" s="2679"/>
      <c r="BW15" s="2776"/>
      <c r="BX15" s="2679"/>
      <c r="BY15" s="2776"/>
      <c r="BZ15" s="2679"/>
      <c r="CA15" s="2776"/>
      <c r="CB15" s="2679"/>
      <c r="CC15" s="2776"/>
      <c r="CD15" s="2679"/>
      <c r="CE15" s="2776"/>
      <c r="CF15" s="2679"/>
      <c r="CG15" s="2776"/>
      <c r="CH15" s="2679"/>
      <c r="CI15" s="2776"/>
      <c r="CJ15" s="2679"/>
      <c r="CK15" s="2776"/>
      <c r="CL15" s="2777"/>
      <c r="CM15" s="2775"/>
      <c r="CN15" s="2775"/>
      <c r="CO15" s="2775"/>
      <c r="CP15" s="2775"/>
      <c r="CQ15" s="2775"/>
      <c r="CR15" s="2775"/>
      <c r="CS15" s="2775"/>
      <c r="CT15" s="2775"/>
      <c r="CU15" s="2775"/>
      <c r="CV15" s="2775"/>
      <c r="CW15" s="2775"/>
      <c r="CX15" s="2794"/>
      <c r="CY15" s="2679"/>
      <c r="CZ15" s="2776"/>
      <c r="DA15" s="2679"/>
      <c r="DB15" s="2776"/>
      <c r="DC15" s="2679"/>
      <c r="DD15" s="2776"/>
      <c r="DE15" s="2679"/>
      <c r="DF15" s="2776"/>
      <c r="DG15" s="2679"/>
      <c r="DH15" s="2776"/>
      <c r="DI15" s="2679"/>
      <c r="DJ15" s="2776"/>
      <c r="DK15" s="2777"/>
      <c r="DL15" s="2775"/>
      <c r="DM15" s="2775"/>
      <c r="DN15" s="2775"/>
      <c r="DO15" s="2775"/>
      <c r="DP15" s="2775"/>
      <c r="DQ15" s="2775"/>
      <c r="DR15" s="2775"/>
      <c r="DS15" s="2775"/>
      <c r="DT15" s="2775"/>
      <c r="DU15" s="2775"/>
      <c r="DV15" s="2775"/>
      <c r="DW15" s="2775"/>
      <c r="DX15" s="2775"/>
      <c r="DY15" s="2775"/>
      <c r="DZ15" s="2775"/>
      <c r="EA15" s="2775"/>
      <c r="EB15" s="2775"/>
      <c r="EC15" s="2775"/>
      <c r="ED15" s="2775"/>
      <c r="EE15" s="2775"/>
      <c r="EF15" s="2775"/>
      <c r="EG15" s="2775"/>
      <c r="EH15" s="2775"/>
      <c r="EI15" s="2775"/>
      <c r="EJ15" s="2775"/>
      <c r="EK15" s="2775"/>
      <c r="EL15" s="2775"/>
      <c r="EM15" s="2775"/>
      <c r="EN15" s="2775"/>
      <c r="EO15" s="2775"/>
      <c r="EP15" s="2775"/>
      <c r="EQ15" s="2775"/>
      <c r="ER15" s="2775"/>
      <c r="ES15" s="2775"/>
      <c r="ET15" s="2775"/>
      <c r="EU15" s="2775"/>
      <c r="EV15" s="2775"/>
      <c r="EW15" s="2775"/>
      <c r="EX15" s="2775"/>
      <c r="EY15" s="2775"/>
      <c r="EZ15" s="2775"/>
      <c r="FA15" s="2775"/>
      <c r="FB15" s="2775"/>
      <c r="FC15" s="2775"/>
      <c r="FD15" s="2775"/>
      <c r="FE15" s="2775"/>
      <c r="FF15" s="2775"/>
      <c r="FG15" s="2775"/>
      <c r="FH15" s="2775"/>
      <c r="FI15" s="2775"/>
      <c r="FJ15" s="2775"/>
      <c r="FK15" s="2775"/>
      <c r="FL15" s="2775"/>
      <c r="FM15" s="2775"/>
      <c r="FN15" s="2775"/>
      <c r="FO15" s="2775"/>
      <c r="FP15" s="2775"/>
      <c r="FQ15" s="2775"/>
      <c r="FR15" s="2775"/>
      <c r="FS15" s="2775"/>
      <c r="FT15" s="2775"/>
      <c r="FU15" s="2775"/>
      <c r="FV15" s="2775"/>
      <c r="FW15" s="2789"/>
      <c r="FX15" s="1103"/>
      <c r="GC15" s="1267">
        <v>36</v>
      </c>
    </row>
    <row customHeight="1" ht="12.75">
      <c r="D16" s="1279"/>
      <c r="E16" s="1278"/>
      <c r="F16" s="2546"/>
      <c r="G16" s="2546"/>
      <c r="H16" s="2778"/>
      <c r="I16" s="2778"/>
      <c r="J16" s="2779"/>
      <c r="K16" s="2779"/>
      <c r="L16" s="2779"/>
      <c r="M16" s="2779"/>
      <c r="N16" s="2779"/>
      <c r="O16" s="2727" t="s">
        <v>821</v>
      </c>
      <c r="P16" s="2774"/>
      <c r="Q16" s="2727" t="s">
        <v>823</v>
      </c>
      <c r="R16" s="2774"/>
      <c r="S16" s="2727" t="s">
        <v>827</v>
      </c>
      <c r="T16" s="2774"/>
      <c r="U16" s="2727" t="s">
        <v>832</v>
      </c>
      <c r="V16" s="2774"/>
      <c r="W16" s="2727" t="s">
        <v>835</v>
      </c>
      <c r="X16" s="2774"/>
      <c r="Y16" s="2727" t="s">
        <v>839</v>
      </c>
      <c r="Z16" s="2774"/>
      <c r="AA16" s="2727" t="s">
        <v>842</v>
      </c>
      <c r="AB16" s="2774"/>
      <c r="AC16" s="2775"/>
      <c r="AD16" s="2775"/>
      <c r="AE16" s="2775"/>
      <c r="AF16" s="2775"/>
      <c r="AG16" s="2775"/>
      <c r="AH16" s="2775"/>
      <c r="AI16" s="2775"/>
      <c r="AJ16" s="2775"/>
      <c r="AK16" s="2775"/>
      <c r="AL16" s="2775"/>
      <c r="AM16" s="2775"/>
      <c r="AN16" s="2775"/>
      <c r="AO16" s="2775"/>
      <c r="AP16" s="2775"/>
      <c r="AQ16" s="2775"/>
      <c r="AR16" s="2775"/>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c r="BP16" s="2775"/>
      <c r="BQ16" s="2775"/>
      <c r="BR16" s="2775"/>
      <c r="BS16" s="2794"/>
      <c r="BT16" s="2727" t="s">
        <v>553</v>
      </c>
      <c r="BU16" s="2774"/>
      <c r="BV16" s="2727" t="s">
        <v>553</v>
      </c>
      <c r="BW16" s="2774"/>
      <c r="BX16" s="2727" t="s">
        <v>553</v>
      </c>
      <c r="BY16" s="2774"/>
      <c r="BZ16" s="2727" t="s">
        <v>553</v>
      </c>
      <c r="CA16" s="2774"/>
      <c r="CB16" s="2727" t="s">
        <v>1286</v>
      </c>
      <c r="CC16" s="2774"/>
      <c r="CD16" s="2727" t="s">
        <v>553</v>
      </c>
      <c r="CE16" s="2774"/>
      <c r="CF16" s="2727" t="s">
        <v>1287</v>
      </c>
      <c r="CG16" s="2774"/>
      <c r="CH16" s="2727" t="s">
        <v>1288</v>
      </c>
      <c r="CI16" s="2774"/>
      <c r="CJ16" s="2727" t="s">
        <v>1288</v>
      </c>
      <c r="CK16" s="2774"/>
      <c r="CL16" s="2777"/>
      <c r="CM16" s="2775"/>
      <c r="CN16" s="2775"/>
      <c r="CO16" s="2775"/>
      <c r="CP16" s="2775"/>
      <c r="CQ16" s="2775"/>
      <c r="CR16" s="2775"/>
      <c r="CS16" s="2775"/>
      <c r="CT16" s="2775"/>
      <c r="CU16" s="2775"/>
      <c r="CV16" s="2775"/>
      <c r="CW16" s="2775"/>
      <c r="CX16" s="2794"/>
      <c r="CY16" s="2677" t="s">
        <v>553</v>
      </c>
      <c r="CZ16" s="2729"/>
      <c r="DA16" s="2677" t="s">
        <v>553</v>
      </c>
      <c r="DB16" s="2729"/>
      <c r="DC16" s="2677" t="s">
        <v>553</v>
      </c>
      <c r="DD16" s="2729"/>
      <c r="DE16" s="2727" t="s">
        <v>1286</v>
      </c>
      <c r="DF16" s="2774"/>
      <c r="DG16" s="2727" t="s">
        <v>1289</v>
      </c>
      <c r="DH16" s="2774"/>
      <c r="DI16" s="2727" t="s">
        <v>1289</v>
      </c>
      <c r="DJ16" s="2774"/>
      <c r="DK16" s="2777"/>
      <c r="DL16" s="2775"/>
      <c r="DM16" s="2775"/>
      <c r="DN16" s="2775"/>
      <c r="DO16" s="2775"/>
      <c r="DP16" s="2775"/>
      <c r="DQ16" s="2775"/>
      <c r="DR16" s="2775"/>
      <c r="DS16" s="2775"/>
      <c r="DT16" s="2775"/>
      <c r="DU16" s="2775"/>
      <c r="DV16" s="2775"/>
      <c r="DW16" s="2775"/>
      <c r="DX16" s="2775"/>
      <c r="DY16" s="2775"/>
      <c r="DZ16" s="2775"/>
      <c r="EA16" s="2775"/>
      <c r="EB16" s="2775"/>
      <c r="EC16" s="2775"/>
      <c r="ED16" s="2775"/>
      <c r="EE16" s="2775"/>
      <c r="EF16" s="2775"/>
      <c r="EG16" s="2775"/>
      <c r="EH16" s="2775"/>
      <c r="EI16" s="2775"/>
      <c r="EJ16" s="2775"/>
      <c r="EK16" s="2775"/>
      <c r="EL16" s="2775"/>
      <c r="EM16" s="2775"/>
      <c r="EN16" s="2775"/>
      <c r="EO16" s="2775"/>
      <c r="EP16" s="2775"/>
      <c r="EQ16" s="2775"/>
      <c r="ER16" s="2775"/>
      <c r="ES16" s="2775"/>
      <c r="ET16" s="2775"/>
      <c r="EU16" s="2775"/>
      <c r="EV16" s="2775"/>
      <c r="EW16" s="2775"/>
      <c r="EX16" s="2775"/>
      <c r="EY16" s="2775"/>
      <c r="EZ16" s="2775"/>
      <c r="FA16" s="2775"/>
      <c r="FB16" s="2775"/>
      <c r="FC16" s="2775"/>
      <c r="FD16" s="2775"/>
      <c r="FE16" s="2775"/>
      <c r="FF16" s="2775"/>
      <c r="FG16" s="2775"/>
      <c r="FH16" s="2775"/>
      <c r="FI16" s="2775"/>
      <c r="FJ16" s="2775"/>
      <c r="FK16" s="2775"/>
      <c r="FL16" s="2775"/>
      <c r="FM16" s="2775"/>
      <c r="FN16" s="2775"/>
      <c r="FO16" s="2775"/>
      <c r="FP16" s="2775"/>
      <c r="FQ16" s="2775"/>
      <c r="FR16" s="2775"/>
      <c r="FS16" s="2775"/>
      <c r="FT16" s="2775"/>
      <c r="FU16" s="2775"/>
      <c r="FV16" s="2775"/>
      <c r="FW16" s="2789"/>
      <c r="FX16" s="1103"/>
      <c r="GC16" s="1267">
        <v>12</v>
      </c>
    </row>
    <row customHeight="1" ht="15.75">
      <c r="E17" s="1278"/>
      <c r="F17" s="2546"/>
      <c r="G17" s="2546"/>
      <c r="H17" s="2778"/>
      <c r="I17" s="2778"/>
      <c r="J17" s="2779"/>
      <c r="K17" s="2779"/>
      <c r="L17" s="2779"/>
      <c r="M17" s="2779"/>
      <c r="N17" s="2779"/>
      <c r="O17" s="1532" t="s">
        <v>1290</v>
      </c>
      <c r="P17" s="1532" t="s">
        <v>1291</v>
      </c>
      <c r="Q17" s="1532" t="s">
        <v>1290</v>
      </c>
      <c r="R17" s="1532" t="s">
        <v>1291</v>
      </c>
      <c r="S17" s="1532" t="s">
        <v>1290</v>
      </c>
      <c r="T17" s="1532" t="s">
        <v>1291</v>
      </c>
      <c r="U17" s="1532" t="s">
        <v>1290</v>
      </c>
      <c r="V17" s="1532" t="s">
        <v>1291</v>
      </c>
      <c r="W17" s="1532" t="s">
        <v>1290</v>
      </c>
      <c r="X17" s="1532" t="s">
        <v>1291</v>
      </c>
      <c r="Y17" s="1532" t="s">
        <v>1290</v>
      </c>
      <c r="Z17" s="1532" t="s">
        <v>1291</v>
      </c>
      <c r="AA17" s="1532" t="s">
        <v>1290</v>
      </c>
      <c r="AB17" s="1532" t="s">
        <v>1291</v>
      </c>
      <c r="AC17" s="2775"/>
      <c r="AD17" s="2775"/>
      <c r="AE17" s="2775"/>
      <c r="AF17" s="2775"/>
      <c r="AG17" s="2775"/>
      <c r="AH17" s="2775"/>
      <c r="AI17" s="2775"/>
      <c r="AJ17" s="2775"/>
      <c r="AK17" s="2775"/>
      <c r="AL17" s="2775"/>
      <c r="AM17" s="2775"/>
      <c r="AN17" s="2775"/>
      <c r="AO17" s="2775"/>
      <c r="AP17" s="2775"/>
      <c r="AQ17" s="2775"/>
      <c r="AR17" s="2775"/>
      <c r="AS17" s="2775"/>
      <c r="AT17" s="2775"/>
      <c r="AU17" s="2775"/>
      <c r="AV17" s="2775"/>
      <c r="AW17" s="2775"/>
      <c r="AX17" s="2775"/>
      <c r="AY17" s="2775"/>
      <c r="AZ17" s="2775"/>
      <c r="BA17" s="2775"/>
      <c r="BB17" s="2775"/>
      <c r="BC17" s="2775"/>
      <c r="BD17" s="2775"/>
      <c r="BE17" s="2775"/>
      <c r="BF17" s="2775"/>
      <c r="BG17" s="2775"/>
      <c r="BH17" s="2775"/>
      <c r="BI17" s="2775"/>
      <c r="BJ17" s="2775"/>
      <c r="BK17" s="2775"/>
      <c r="BL17" s="2775"/>
      <c r="BM17" s="2775"/>
      <c r="BN17" s="2775"/>
      <c r="BO17" s="2775"/>
      <c r="BP17" s="2775"/>
      <c r="BQ17" s="2775"/>
      <c r="BR17" s="2775"/>
      <c r="BS17" s="2794"/>
      <c r="BT17" s="1532" t="s">
        <v>1290</v>
      </c>
      <c r="BU17" s="1532" t="s">
        <v>1291</v>
      </c>
      <c r="BV17" s="1532" t="s">
        <v>1290</v>
      </c>
      <c r="BW17" s="1532" t="s">
        <v>1291</v>
      </c>
      <c r="BX17" s="1532" t="s">
        <v>1290</v>
      </c>
      <c r="BY17" s="1532" t="s">
        <v>1291</v>
      </c>
      <c r="BZ17" s="1532" t="s">
        <v>1290</v>
      </c>
      <c r="CA17" s="1532" t="s">
        <v>1291</v>
      </c>
      <c r="CB17" s="1532" t="s">
        <v>1290</v>
      </c>
      <c r="CC17" s="1532" t="s">
        <v>1291</v>
      </c>
      <c r="CD17" s="1532" t="s">
        <v>1290</v>
      </c>
      <c r="CE17" s="1532" t="s">
        <v>1291</v>
      </c>
      <c r="CF17" s="1532" t="s">
        <v>1290</v>
      </c>
      <c r="CG17" s="1532" t="s">
        <v>1291</v>
      </c>
      <c r="CH17" s="1532" t="s">
        <v>1290</v>
      </c>
      <c r="CI17" s="1532" t="s">
        <v>1291</v>
      </c>
      <c r="CJ17" s="1532" t="s">
        <v>1290</v>
      </c>
      <c r="CK17" s="1532" t="s">
        <v>1291</v>
      </c>
      <c r="CL17" s="2777"/>
      <c r="CM17" s="2775"/>
      <c r="CN17" s="2775"/>
      <c r="CO17" s="2775"/>
      <c r="CP17" s="2775"/>
      <c r="CQ17" s="2775"/>
      <c r="CR17" s="2775"/>
      <c r="CS17" s="2775"/>
      <c r="CT17" s="2775"/>
      <c r="CU17" s="2775"/>
      <c r="CV17" s="2775"/>
      <c r="CW17" s="2775"/>
      <c r="CX17" s="2794"/>
      <c r="CY17" s="1532" t="s">
        <v>1290</v>
      </c>
      <c r="CZ17" s="1532" t="s">
        <v>1291</v>
      </c>
      <c r="DA17" s="1532" t="s">
        <v>1290</v>
      </c>
      <c r="DB17" s="1532" t="s">
        <v>1291</v>
      </c>
      <c r="DC17" s="1532" t="s">
        <v>1290</v>
      </c>
      <c r="DD17" s="1532" t="s">
        <v>1291</v>
      </c>
      <c r="DE17" s="1532" t="s">
        <v>1290</v>
      </c>
      <c r="DF17" s="1532" t="s">
        <v>1291</v>
      </c>
      <c r="DG17" s="1532" t="s">
        <v>1290</v>
      </c>
      <c r="DH17" s="1532" t="s">
        <v>1291</v>
      </c>
      <c r="DI17" s="1532" t="s">
        <v>1290</v>
      </c>
      <c r="DJ17" s="1532" t="s">
        <v>1291</v>
      </c>
      <c r="DK17" s="2777"/>
      <c r="DL17" s="2775"/>
      <c r="DM17" s="2775"/>
      <c r="DN17" s="2775"/>
      <c r="DO17" s="2775"/>
      <c r="DP17" s="2775"/>
      <c r="DQ17" s="2775"/>
      <c r="DR17" s="2775"/>
      <c r="DS17" s="2775"/>
      <c r="DT17" s="2775"/>
      <c r="DU17" s="2775"/>
      <c r="DV17" s="2775"/>
      <c r="DW17" s="2775"/>
      <c r="DX17" s="2775"/>
      <c r="DY17" s="2775"/>
      <c r="DZ17" s="2775"/>
      <c r="EA17" s="2775"/>
      <c r="EB17" s="2775"/>
      <c r="EC17" s="2775"/>
      <c r="ED17" s="2775"/>
      <c r="EE17" s="2775"/>
      <c r="EF17" s="2775"/>
      <c r="EG17" s="2775"/>
      <c r="EH17" s="2775"/>
      <c r="EI17" s="2775"/>
      <c r="EJ17" s="2775"/>
      <c r="EK17" s="2775"/>
      <c r="EL17" s="2775"/>
      <c r="EM17" s="2775"/>
      <c r="EN17" s="2775"/>
      <c r="EO17" s="2775"/>
      <c r="EP17" s="2775"/>
      <c r="EQ17" s="2775"/>
      <c r="ER17" s="2775"/>
      <c r="ES17" s="2775"/>
      <c r="ET17" s="2775"/>
      <c r="EU17" s="2775"/>
      <c r="EV17" s="2775"/>
      <c r="EW17" s="2775"/>
      <c r="EX17" s="2775"/>
      <c r="EY17" s="2775"/>
      <c r="EZ17" s="2775"/>
      <c r="FA17" s="2775"/>
      <c r="FB17" s="2775"/>
      <c r="FC17" s="2775"/>
      <c r="FD17" s="2775"/>
      <c r="FE17" s="2775"/>
      <c r="FF17" s="2775"/>
      <c r="FG17" s="2775"/>
      <c r="FH17" s="2775"/>
      <c r="FI17" s="2775"/>
      <c r="FJ17" s="2775"/>
      <c r="FK17" s="2775"/>
      <c r="FL17" s="2775"/>
      <c r="FM17" s="2775"/>
      <c r="FN17" s="2775"/>
      <c r="FO17" s="2775"/>
      <c r="FP17" s="2775"/>
      <c r="FQ17" s="2775"/>
      <c r="FR17" s="2775"/>
      <c r="FS17" s="2775"/>
      <c r="FT17" s="2775"/>
      <c r="FU17" s="2775"/>
      <c r="FV17" s="2775"/>
      <c r="FW17" s="2790"/>
      <c r="FX17" s="1103"/>
      <c r="GC17" s="1267">
        <v>15</v>
      </c>
    </row>
    <row s="18984" customFormat="1" customHeight="1" ht="12" hidden="1">
      <c r="B18" s="1264"/>
      <c r="E18" s="1280"/>
      <c r="F18" s="1533"/>
      <c r="G18" s="1533"/>
      <c r="H18" s="1533"/>
      <c r="I18" s="1533"/>
      <c r="J18" s="1534"/>
      <c r="K18" s="1534"/>
      <c r="L18" s="1534"/>
      <c r="M18" s="1534"/>
      <c r="N18" s="1534"/>
      <c r="O18" s="1533"/>
      <c r="P18" s="1533"/>
      <c r="Q18" s="1533"/>
      <c r="R18" s="1533"/>
      <c r="S18" s="1533"/>
      <c r="T18" s="1533"/>
      <c r="U18" s="1535"/>
      <c r="V18" s="1535"/>
      <c r="W18" s="1535"/>
      <c r="X18" s="1535"/>
      <c r="Y18" s="1535"/>
      <c r="Z18" s="1535"/>
      <c r="AA18" s="1535"/>
      <c r="AB18" s="1533"/>
      <c r="AC18" s="1534"/>
      <c r="AD18" s="1534"/>
      <c r="AE18" s="1534"/>
      <c r="AF18" s="1534"/>
      <c r="AG18" s="1534"/>
      <c r="AH18" s="1534"/>
      <c r="AI18" s="1534"/>
      <c r="AJ18" s="1534"/>
      <c r="AK18" s="1534"/>
      <c r="AL18" s="1534"/>
      <c r="AM18" s="1534"/>
      <c r="AN18" s="1534"/>
      <c r="AO18" s="1534"/>
      <c r="AP18" s="1534"/>
      <c r="AQ18" s="1534"/>
      <c r="AR18" s="1534"/>
      <c r="AS18" s="1534"/>
      <c r="AT18" s="1534"/>
      <c r="AU18" s="1534"/>
      <c r="AV18" s="1534"/>
      <c r="AW18" s="1534"/>
      <c r="AX18" s="1534"/>
      <c r="AY18" s="1534"/>
      <c r="AZ18" s="1534"/>
      <c r="BA18" s="1534"/>
      <c r="BB18" s="1534"/>
      <c r="BC18" s="1534"/>
      <c r="BD18" s="1534"/>
      <c r="BE18" s="1534"/>
      <c r="BF18" s="1534"/>
      <c r="BG18" s="1534"/>
      <c r="BH18" s="1534"/>
      <c r="BI18" s="1534"/>
      <c r="BJ18" s="1534"/>
      <c r="BK18" s="1534"/>
      <c r="BL18" s="1534"/>
      <c r="BM18" s="1534"/>
      <c r="BN18" s="1534"/>
      <c r="BO18" s="1534"/>
      <c r="BP18" s="1534"/>
      <c r="BQ18" s="1534"/>
      <c r="BR18" s="1534"/>
      <c r="BS18" s="1534"/>
      <c r="BT18" s="1536"/>
      <c r="BU18" s="1536"/>
      <c r="BV18" s="1536"/>
      <c r="BW18" s="1536"/>
      <c r="BX18" s="1536"/>
      <c r="BY18" s="1536"/>
      <c r="BZ18" s="1536"/>
      <c r="CA18" s="1536"/>
      <c r="CB18" s="1536"/>
      <c r="CC18" s="1536"/>
      <c r="CD18" s="1536"/>
      <c r="CE18" s="1536"/>
      <c r="CF18" s="1536"/>
      <c r="CG18" s="1536"/>
      <c r="CH18" s="1536"/>
      <c r="CI18" s="1536"/>
      <c r="CJ18" s="1536"/>
      <c r="CK18" s="1536"/>
      <c r="CL18" s="1534"/>
      <c r="CM18" s="1534"/>
      <c r="CN18" s="1534"/>
      <c r="CO18" s="1534"/>
      <c r="CP18" s="1534"/>
      <c r="CQ18" s="1534"/>
      <c r="CR18" s="1534"/>
      <c r="CS18" s="1534"/>
      <c r="CT18" s="1534"/>
      <c r="CU18" s="1534"/>
      <c r="CV18" s="1534"/>
      <c r="CW18" s="1534"/>
      <c r="CX18" s="1534"/>
      <c r="CY18" s="1536"/>
      <c r="CZ18" s="1536"/>
      <c r="DA18" s="1536"/>
      <c r="DB18" s="1536"/>
      <c r="DC18" s="1536"/>
      <c r="DD18" s="1536"/>
      <c r="DE18" s="1536"/>
      <c r="DF18" s="1536"/>
      <c r="DG18" s="1536"/>
      <c r="DH18" s="1536"/>
      <c r="DI18" s="1536"/>
      <c r="DJ18" s="1536"/>
      <c r="DK18" s="1534"/>
      <c r="DL18" s="1534"/>
      <c r="DM18" s="1534"/>
      <c r="DN18" s="1534"/>
      <c r="DO18" s="1534"/>
      <c r="DP18" s="1534"/>
      <c r="DQ18" s="1534"/>
      <c r="DR18" s="1534"/>
      <c r="DS18" s="1534"/>
      <c r="DT18" s="1534"/>
      <c r="DU18" s="1534"/>
      <c r="DV18" s="1534"/>
      <c r="DW18" s="1534"/>
      <c r="DX18" s="1534"/>
      <c r="DY18" s="1534"/>
      <c r="DZ18" s="1534"/>
      <c r="EA18" s="1534"/>
      <c r="EB18" s="1534"/>
      <c r="EC18" s="1534"/>
      <c r="ED18" s="1534"/>
      <c r="EE18" s="1534"/>
      <c r="EF18" s="1534"/>
      <c r="EG18" s="1534"/>
      <c r="EH18" s="1534"/>
      <c r="EI18" s="1534"/>
      <c r="EJ18" s="1534"/>
      <c r="EK18" s="1534"/>
      <c r="EL18" s="1534"/>
      <c r="EM18" s="1534"/>
      <c r="EN18" s="1534"/>
      <c r="EO18" s="1534"/>
      <c r="EP18" s="1534"/>
      <c r="EQ18" s="1534"/>
      <c r="ER18" s="1534"/>
      <c r="ES18" s="1534"/>
      <c r="ET18" s="1534"/>
      <c r="EU18" s="1534"/>
      <c r="EV18" s="1534"/>
      <c r="EW18" s="1534"/>
      <c r="EX18" s="1534"/>
      <c r="EY18" s="1534"/>
      <c r="EZ18" s="1534"/>
      <c r="FA18" s="1534"/>
      <c r="FB18" s="1534"/>
      <c r="FC18" s="1534"/>
      <c r="FD18" s="1534"/>
      <c r="FE18" s="1534"/>
      <c r="FF18" s="1534"/>
      <c r="FG18" s="1534"/>
      <c r="FH18" s="1534"/>
      <c r="FI18" s="1534"/>
      <c r="FJ18" s="1534"/>
      <c r="FK18" s="1534"/>
      <c r="FL18" s="1534"/>
      <c r="FM18" s="1534"/>
      <c r="FN18" s="1534"/>
      <c r="FO18" s="1534"/>
      <c r="FP18" s="1534"/>
      <c r="FQ18" s="1534"/>
      <c r="FR18" s="1534"/>
      <c r="FS18" s="1534"/>
      <c r="FT18" s="1534"/>
      <c r="FU18" s="1534"/>
      <c r="FV18" s="1534"/>
      <c r="FW18" s="1533"/>
      <c r="FX18" s="1537"/>
      <c r="GC18" s="1265">
        <v>0</v>
      </c>
    </row>
    <row s="18984" customFormat="1" customHeight="1" ht="11.25" hidden="1">
      <c r="B19" s="1264"/>
      <c r="E19" s="1280"/>
      <c r="F19" s="1533"/>
      <c r="G19" s="1533"/>
      <c r="H19" s="1533"/>
      <c r="I19" s="1533"/>
      <c r="J19" s="1533"/>
      <c r="K19" s="1533"/>
      <c r="L19" s="1533"/>
      <c r="M19" s="1533"/>
      <c r="N19" s="1533"/>
      <c r="O19" s="1533"/>
      <c r="P19" s="1533"/>
      <c r="Q19" s="1533"/>
      <c r="R19" s="1533"/>
      <c r="S19" s="1533"/>
      <c r="T19" s="1533"/>
      <c r="U19" s="1535"/>
      <c r="V19" s="1535"/>
      <c r="W19" s="1535"/>
      <c r="X19" s="1535"/>
      <c r="Y19" s="1535"/>
      <c r="Z19" s="1535"/>
      <c r="AA19" s="1535"/>
      <c r="AB19" s="1533"/>
      <c r="AC19" s="1533"/>
      <c r="AD19" s="1533"/>
      <c r="AE19" s="1533"/>
      <c r="AF19" s="1533"/>
      <c r="AG19" s="1533"/>
      <c r="AH19" s="1533"/>
      <c r="AI19" s="1533"/>
      <c r="AJ19" s="1533"/>
      <c r="AK19" s="1533"/>
      <c r="AL19" s="1533"/>
      <c r="AM19" s="1533"/>
      <c r="AN19" s="1533"/>
      <c r="AO19" s="1533"/>
      <c r="AP19" s="1533"/>
      <c r="AQ19" s="1533"/>
      <c r="AR19" s="1533"/>
      <c r="AS19" s="1533"/>
      <c r="AT19" s="1533"/>
      <c r="AU19" s="1533"/>
      <c r="AV19" s="1533"/>
      <c r="AW19" s="1533"/>
      <c r="AX19" s="1533"/>
      <c r="AY19" s="1533"/>
      <c r="AZ19" s="1533"/>
      <c r="BA19" s="1533"/>
      <c r="BB19" s="1533"/>
      <c r="BC19" s="1533"/>
      <c r="BD19" s="1533"/>
      <c r="BE19" s="1533"/>
      <c r="BF19" s="1533"/>
      <c r="BG19" s="1533"/>
      <c r="BH19" s="1533"/>
      <c r="BI19" s="1533"/>
      <c r="BJ19" s="1533"/>
      <c r="BK19" s="1533"/>
      <c r="BL19" s="1533"/>
      <c r="BM19" s="1533"/>
      <c r="BN19" s="1533"/>
      <c r="BO19" s="1533"/>
      <c r="BP19" s="1533"/>
      <c r="BQ19" s="1533"/>
      <c r="BR19" s="1533"/>
      <c r="BS19" s="1533"/>
      <c r="BT19" s="1533"/>
      <c r="BU19" s="1533"/>
      <c r="BV19" s="1533"/>
      <c r="BW19" s="1533"/>
      <c r="BX19" s="1533"/>
      <c r="BY19" s="1533"/>
      <c r="BZ19" s="1533"/>
      <c r="CA19" s="1533"/>
      <c r="CB19" s="1533"/>
      <c r="CC19" s="1533"/>
      <c r="CD19" s="1533"/>
      <c r="CE19" s="1533"/>
      <c r="CF19" s="1533"/>
      <c r="CG19" s="1533"/>
      <c r="CH19" s="1533"/>
      <c r="CI19" s="1533"/>
      <c r="CJ19" s="1533"/>
      <c r="CK19" s="1533"/>
      <c r="CL19" s="1533"/>
      <c r="CM19" s="1533"/>
      <c r="CN19" s="1533"/>
      <c r="CO19" s="1533"/>
      <c r="CP19" s="1533"/>
      <c r="CQ19" s="1533"/>
      <c r="CR19" s="1533"/>
      <c r="CS19" s="1533"/>
      <c r="CT19" s="1533"/>
      <c r="CU19" s="1533"/>
      <c r="CV19" s="1533"/>
      <c r="CW19" s="1533"/>
      <c r="CX19" s="1533"/>
      <c r="CY19" s="1533"/>
      <c r="CZ19" s="1533"/>
      <c r="DA19" s="1533"/>
      <c r="DB19" s="1533"/>
      <c r="DC19" s="1533"/>
      <c r="DD19" s="1533"/>
      <c r="DE19" s="1533"/>
      <c r="DF19" s="1533"/>
      <c r="DG19" s="1533"/>
      <c r="DH19" s="1533"/>
      <c r="DI19" s="1533"/>
      <c r="DJ19" s="1533"/>
      <c r="DK19" s="1533"/>
      <c r="DL19" s="1533"/>
      <c r="DM19" s="1533"/>
      <c r="DN19" s="1533"/>
      <c r="DO19" s="1533"/>
      <c r="DP19" s="1533"/>
      <c r="DQ19" s="1533"/>
      <c r="DR19" s="1533"/>
      <c r="DS19" s="1533"/>
      <c r="DT19" s="1533"/>
      <c r="DU19" s="1533"/>
      <c r="DV19" s="1533"/>
      <c r="DW19" s="1533"/>
      <c r="DX19" s="1533"/>
      <c r="DY19" s="1533"/>
      <c r="DZ19" s="1533"/>
      <c r="EA19" s="1533"/>
      <c r="EB19" s="1533"/>
      <c r="EC19" s="1533"/>
      <c r="ED19" s="1533"/>
      <c r="EE19" s="1533"/>
      <c r="EF19" s="1533"/>
      <c r="EG19" s="1533"/>
      <c r="EH19" s="1533"/>
      <c r="EI19" s="1533"/>
      <c r="EJ19" s="1533"/>
      <c r="EK19" s="1533"/>
      <c r="EL19" s="1533"/>
      <c r="EM19" s="1533"/>
      <c r="EN19" s="1533"/>
      <c r="EO19" s="1533"/>
      <c r="EP19" s="1533"/>
      <c r="EQ19" s="1533"/>
      <c r="ER19" s="1533"/>
      <c r="ES19" s="1533"/>
      <c r="ET19" s="1533"/>
      <c r="EU19" s="1533"/>
      <c r="EV19" s="1533"/>
      <c r="EW19" s="1533"/>
      <c r="EX19" s="1533"/>
      <c r="EY19" s="1533"/>
      <c r="EZ19" s="1533"/>
      <c r="FA19" s="1533"/>
      <c r="FB19" s="1533"/>
      <c r="FC19" s="1533"/>
      <c r="FD19" s="1533"/>
      <c r="FE19" s="1533"/>
      <c r="FF19" s="1533"/>
      <c r="FG19" s="1533"/>
      <c r="FH19" s="1533"/>
      <c r="FI19" s="1533"/>
      <c r="FJ19" s="1533"/>
      <c r="FK19" s="1533"/>
      <c r="FL19" s="1533"/>
      <c r="FM19" s="1533"/>
      <c r="FN19" s="1533"/>
      <c r="FO19" s="1533"/>
      <c r="FP19" s="1533"/>
      <c r="FQ19" s="1533"/>
      <c r="FR19" s="1533"/>
      <c r="FS19" s="1533"/>
      <c r="FT19" s="1533"/>
      <c r="FU19" s="1533"/>
      <c r="FV19" s="1533"/>
      <c r="FW19" s="1533"/>
      <c r="FX19" s="1537"/>
      <c r="GC19" s="1265">
        <v>0</v>
      </c>
    </row>
    <row s="18984" customFormat="1" customHeight="1" ht="11.25" hidden="1">
      <c r="B20" s="1281"/>
      <c r="D20" s="1265"/>
      <c r="E20" s="1280"/>
      <c r="F20" s="1538" t="s">
        <v>371</v>
      </c>
      <c r="G20" s="1539"/>
      <c r="H20" s="1540"/>
      <c r="I20" s="1540"/>
      <c r="J20" s="1540"/>
      <c r="K20" s="1540"/>
      <c r="L20" s="1540"/>
      <c r="M20" s="1540"/>
      <c r="N20" s="1540"/>
      <c r="O20" s="1539"/>
      <c r="P20" s="1539"/>
      <c r="Q20" s="1539"/>
      <c r="R20" s="1539"/>
      <c r="S20" s="1539"/>
      <c r="T20" s="1539"/>
      <c r="U20" s="1541"/>
      <c r="V20" s="1541"/>
      <c r="W20" s="1541"/>
      <c r="X20" s="1541"/>
      <c r="Y20" s="1541"/>
      <c r="Z20" s="1541"/>
      <c r="AA20" s="1541"/>
      <c r="AB20" s="1539"/>
      <c r="AC20" s="1540"/>
      <c r="AD20" s="1540"/>
      <c r="AE20" s="1540"/>
      <c r="AF20" s="1540"/>
      <c r="AG20" s="1540"/>
      <c r="AH20" s="1540"/>
      <c r="AI20" s="1540"/>
      <c r="AJ20" s="1540"/>
      <c r="AK20" s="1540"/>
      <c r="AL20" s="1540"/>
      <c r="AM20" s="1540"/>
      <c r="AN20" s="1540"/>
      <c r="AO20" s="1540"/>
      <c r="AP20" s="1540"/>
      <c r="AQ20" s="1540"/>
      <c r="AR20" s="1540"/>
      <c r="AS20" s="1540"/>
      <c r="AT20" s="1540"/>
      <c r="AU20" s="1540"/>
      <c r="AV20" s="1540"/>
      <c r="AW20" s="1540"/>
      <c r="AX20" s="1540"/>
      <c r="AY20" s="1540"/>
      <c r="AZ20" s="1540"/>
      <c r="BA20" s="1540"/>
      <c r="BB20" s="1540"/>
      <c r="BC20" s="1540"/>
      <c r="BD20" s="1540"/>
      <c r="BE20" s="1540"/>
      <c r="BF20" s="1540"/>
      <c r="BG20" s="1540"/>
      <c r="BH20" s="1540"/>
      <c r="BI20" s="1540"/>
      <c r="BJ20" s="1540"/>
      <c r="BK20" s="1540"/>
      <c r="BL20" s="1540"/>
      <c r="BM20" s="1540"/>
      <c r="BN20" s="1540"/>
      <c r="BO20" s="1540"/>
      <c r="BP20" s="1540"/>
      <c r="BQ20" s="1540"/>
      <c r="BR20" s="1540"/>
      <c r="BS20" s="1540"/>
      <c r="BT20" s="1540"/>
      <c r="BU20" s="1540"/>
      <c r="BV20" s="1540"/>
      <c r="BW20" s="1540"/>
      <c r="BX20" s="1540"/>
      <c r="BY20" s="1540"/>
      <c r="BZ20" s="1540"/>
      <c r="CA20" s="1540"/>
      <c r="CB20" s="1540"/>
      <c r="CC20" s="1540"/>
      <c r="CD20" s="1540"/>
      <c r="CE20" s="1540"/>
      <c r="CF20" s="1540"/>
      <c r="CG20" s="1540"/>
      <c r="CH20" s="1540"/>
      <c r="CI20" s="1540"/>
      <c r="CJ20" s="1540"/>
      <c r="CK20" s="1540"/>
      <c r="CL20" s="1542"/>
      <c r="CM20" s="1542"/>
      <c r="CN20" s="1542"/>
      <c r="CO20" s="1542"/>
      <c r="CP20" s="1542"/>
      <c r="CQ20" s="1542"/>
      <c r="CR20" s="1542"/>
      <c r="CS20" s="1542"/>
      <c r="CT20" s="1542"/>
      <c r="CU20" s="1542"/>
      <c r="CV20" s="1542"/>
      <c r="CW20" s="1542"/>
      <c r="CX20" s="1542"/>
      <c r="CY20" s="1542"/>
      <c r="CZ20" s="1542"/>
      <c r="DA20" s="1542"/>
      <c r="DB20" s="1542"/>
      <c r="DC20" s="1542"/>
      <c r="DD20" s="1542"/>
      <c r="DE20" s="1542"/>
      <c r="DF20" s="1542"/>
      <c r="DG20" s="1542"/>
      <c r="DH20" s="1542"/>
      <c r="DI20" s="1542"/>
      <c r="DJ20" s="1542"/>
      <c r="DK20" s="1542"/>
      <c r="DL20" s="1542"/>
      <c r="DM20" s="1542"/>
      <c r="DN20" s="1542"/>
      <c r="DO20" s="1542"/>
      <c r="DP20" s="1542"/>
      <c r="DQ20" s="1542"/>
      <c r="DR20" s="1542"/>
      <c r="DS20" s="1542"/>
      <c r="DT20" s="1542"/>
      <c r="DU20" s="1542"/>
      <c r="DV20" s="1542"/>
      <c r="DW20" s="1542"/>
      <c r="DX20" s="1542"/>
      <c r="DY20" s="1542"/>
      <c r="DZ20" s="1542"/>
      <c r="EA20" s="1542"/>
      <c r="EB20" s="1542"/>
      <c r="EC20" s="1542"/>
      <c r="ED20" s="1542"/>
      <c r="EE20" s="1542"/>
      <c r="EF20" s="1542"/>
      <c r="EG20" s="1542"/>
      <c r="EH20" s="1542"/>
      <c r="EI20" s="1542"/>
      <c r="EJ20" s="1542"/>
      <c r="EK20" s="1542"/>
      <c r="EL20" s="1542"/>
      <c r="EM20" s="1542"/>
      <c r="EN20" s="1542"/>
      <c r="EO20" s="1542"/>
      <c r="EP20" s="1542"/>
      <c r="EQ20" s="1542"/>
      <c r="ER20" s="1542"/>
      <c r="ES20" s="1542"/>
      <c r="ET20" s="1542"/>
      <c r="EU20" s="1542"/>
      <c r="EV20" s="1542"/>
      <c r="EW20" s="1542"/>
      <c r="EX20" s="1542"/>
      <c r="EY20" s="1542"/>
      <c r="EZ20" s="1542"/>
      <c r="FA20" s="1542"/>
      <c r="FB20" s="1542"/>
      <c r="FC20" s="1542"/>
      <c r="FD20" s="1542"/>
      <c r="FE20" s="1542"/>
      <c r="FF20" s="1542"/>
      <c r="FG20" s="1542"/>
      <c r="FH20" s="1542"/>
      <c r="FI20" s="1542"/>
      <c r="FJ20" s="1542"/>
      <c r="FK20" s="1542"/>
      <c r="FL20" s="1542"/>
      <c r="FM20" s="1542"/>
      <c r="FN20" s="1542"/>
      <c r="FO20" s="1542"/>
      <c r="FP20" s="1542"/>
      <c r="FQ20" s="1542"/>
      <c r="FR20" s="1542"/>
      <c r="FS20" s="1542"/>
      <c r="FT20" s="1542"/>
      <c r="FU20" s="1542"/>
      <c r="FV20" s="1542"/>
      <c r="FW20" s="1542"/>
      <c r="FX20" s="1543"/>
      <c r="GC20" s="1263">
        <v>0</v>
      </c>
    </row>
    <row s="19052" customFormat="1" customHeight="1" ht="21">
      <c r="A21" s="4817" t="s">
        <v>990</v>
      </c>
      <c r="B21" s="4818"/>
      <c r="C21" s="4819"/>
      <c r="D21" s="4819"/>
      <c r="E21" s="4820" t="s">
        <v>22</v>
      </c>
      <c r="F21" s="4821" t="str">
        <f>INDEX(IP_MAIN_LIST_NAME_IP,MATCH(A21,IP_MAIN_LIST_IP_ID,0))&amp;" ("&amp;INDEX(IP_MAIN_START_DATE,MATCH(A21,IP_MAIN_LIST_IP_ID,0))&amp;"-"&amp;INDEX(IP_MAIN_END_DATE,MATCH(A21,IP_MAIN_LIST_IP_ID,0))&amp;")"</f>
        <v>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 (23.12.2024-31.12.2029)</v>
      </c>
      <c r="G21" s="4822"/>
      <c r="H21" s="4823"/>
      <c r="I21" s="4823"/>
      <c r="J21" s="4823"/>
      <c r="K21" s="4823"/>
      <c r="L21" s="4823"/>
      <c r="M21" s="4823"/>
      <c r="N21" s="4823"/>
      <c r="O21" s="4822"/>
      <c r="P21" s="4822"/>
      <c r="Q21" s="4822"/>
      <c r="R21" s="4822"/>
      <c r="S21" s="4822"/>
      <c r="T21" s="4822"/>
      <c r="U21" s="4824"/>
      <c r="V21" s="4824"/>
      <c r="W21" s="4824"/>
      <c r="X21" s="4824"/>
      <c r="Y21" s="4824"/>
      <c r="Z21" s="4824"/>
      <c r="AA21" s="4824"/>
      <c r="AB21" s="4822"/>
      <c r="AC21" s="4823"/>
      <c r="AD21" s="4823"/>
      <c r="AE21" s="4823"/>
      <c r="AF21" s="4823"/>
      <c r="AG21" s="4823"/>
      <c r="AH21" s="4823"/>
      <c r="AI21" s="4823"/>
      <c r="AJ21" s="4823"/>
      <c r="AK21" s="4823"/>
      <c r="AL21" s="4823"/>
      <c r="AM21" s="4823"/>
      <c r="AN21" s="4823"/>
      <c r="AO21" s="4823"/>
      <c r="AP21" s="4823"/>
      <c r="AQ21" s="4823"/>
      <c r="AR21" s="4823"/>
      <c r="AS21" s="4823"/>
      <c r="AT21" s="4823"/>
      <c r="AU21" s="4823"/>
      <c r="AV21" s="4823"/>
      <c r="AW21" s="4823"/>
      <c r="AX21" s="4823"/>
      <c r="AY21" s="4823"/>
      <c r="AZ21" s="4823"/>
      <c r="BA21" s="4823"/>
      <c r="BB21" s="4823"/>
      <c r="BC21" s="4823"/>
      <c r="BD21" s="4823"/>
      <c r="BE21" s="4823"/>
      <c r="BF21" s="4823"/>
      <c r="BG21" s="4823"/>
      <c r="BH21" s="4823"/>
      <c r="BI21" s="4823"/>
      <c r="BJ21" s="4823"/>
      <c r="BK21" s="4823"/>
      <c r="BL21" s="4823"/>
      <c r="BM21" s="4823"/>
      <c r="BN21" s="4823"/>
      <c r="BO21" s="4823"/>
      <c r="BP21" s="4823"/>
      <c r="BQ21" s="4823"/>
      <c r="BR21" s="4823"/>
      <c r="BS21" s="4823"/>
      <c r="BT21" s="4823"/>
      <c r="BU21" s="4823"/>
      <c r="BV21" s="4823"/>
      <c r="BW21" s="4823"/>
      <c r="BX21" s="4823"/>
      <c r="BY21" s="4823"/>
      <c r="BZ21" s="4823"/>
      <c r="CA21" s="4823"/>
      <c r="CB21" s="4823"/>
      <c r="CC21" s="4823"/>
      <c r="CD21" s="4823"/>
      <c r="CE21" s="4823"/>
      <c r="CF21" s="4823"/>
      <c r="CG21" s="4823"/>
      <c r="CH21" s="4823"/>
      <c r="CI21" s="4823"/>
      <c r="CJ21" s="4823"/>
      <c r="CK21" s="4823"/>
      <c r="CL21" s="4825"/>
      <c r="CM21" s="4825"/>
      <c r="CN21" s="4825"/>
      <c r="CO21" s="4825"/>
      <c r="CP21" s="4825"/>
      <c r="CQ21" s="4825"/>
      <c r="CR21" s="4825"/>
      <c r="CS21" s="4825"/>
      <c r="CT21" s="4825"/>
      <c r="CU21" s="4825"/>
      <c r="CV21" s="4825"/>
      <c r="CW21" s="4825"/>
      <c r="CX21" s="4825"/>
      <c r="CY21" s="4825"/>
      <c r="CZ21" s="4825"/>
      <c r="DA21" s="4825"/>
      <c r="DB21" s="4825"/>
      <c r="DC21" s="4825"/>
      <c r="DD21" s="4825"/>
      <c r="DE21" s="4825"/>
      <c r="DF21" s="4825"/>
      <c r="DG21" s="4825"/>
      <c r="DH21" s="4825"/>
      <c r="DI21" s="4825"/>
      <c r="DJ21" s="4825"/>
      <c r="DK21" s="4825"/>
      <c r="DL21" s="4825"/>
      <c r="DM21" s="4825"/>
      <c r="DN21" s="4825"/>
      <c r="DO21" s="4825"/>
      <c r="DP21" s="4825"/>
      <c r="DQ21" s="4825"/>
      <c r="DR21" s="4825"/>
      <c r="DS21" s="4825"/>
      <c r="DT21" s="4825"/>
      <c r="DU21" s="4825"/>
      <c r="DV21" s="4825"/>
      <c r="DW21" s="4825"/>
      <c r="DX21" s="4825"/>
      <c r="DY21" s="4825"/>
      <c r="DZ21" s="4825"/>
      <c r="EA21" s="4825"/>
      <c r="EB21" s="4825"/>
      <c r="EC21" s="4825"/>
      <c r="ED21" s="4825"/>
      <c r="EE21" s="4825"/>
      <c r="EF21" s="4825"/>
      <c r="EG21" s="4825"/>
      <c r="EH21" s="4825"/>
      <c r="EI21" s="4825"/>
      <c r="EJ21" s="4825"/>
      <c r="EK21" s="4825"/>
      <c r="EL21" s="4825"/>
      <c r="EM21" s="4825"/>
      <c r="EN21" s="4825"/>
      <c r="EO21" s="4825"/>
      <c r="EP21" s="4825"/>
      <c r="EQ21" s="4825"/>
      <c r="ER21" s="4825"/>
      <c r="ES21" s="4825"/>
      <c r="ET21" s="4825"/>
      <c r="EU21" s="4825"/>
      <c r="EV21" s="4825"/>
      <c r="EW21" s="4825"/>
      <c r="EX21" s="4825"/>
      <c r="EY21" s="4825"/>
      <c r="EZ21" s="4825"/>
      <c r="FA21" s="4825"/>
      <c r="FB21" s="4825"/>
      <c r="FC21" s="4825"/>
      <c r="FD21" s="4825"/>
      <c r="FE21" s="4825"/>
      <c r="FF21" s="4825"/>
      <c r="FG21" s="4825"/>
      <c r="FH21" s="4825"/>
      <c r="FI21" s="4825"/>
      <c r="FJ21" s="4825"/>
      <c r="FK21" s="4825"/>
      <c r="FL21" s="4825"/>
      <c r="FM21" s="4825"/>
      <c r="FN21" s="4825"/>
      <c r="FO21" s="4825"/>
      <c r="FP21" s="4825"/>
      <c r="FQ21" s="4825"/>
      <c r="FR21" s="4825"/>
      <c r="FS21" s="4825"/>
      <c r="FT21" s="4825"/>
      <c r="FU21" s="4825"/>
      <c r="FV21" s="4826"/>
      <c r="FW21" s="4827"/>
      <c r="FX21" s="4828"/>
      <c r="FY21" s="4819"/>
      <c r="FZ21" s="4819"/>
      <c r="GA21" s="4819"/>
      <c r="GB21" s="4819"/>
    </row>
    <row s="19065" customFormat="1" customHeight="1" ht="24.75">
      <c r="A22" s="4819" t="s">
        <v>990</v>
      </c>
      <c r="B22" s="4818"/>
      <c r="C22" s="4819"/>
      <c r="D22" s="4819"/>
      <c r="E22" s="4829"/>
      <c r="F22" s="4830">
        <v>1</v>
      </c>
      <c r="G22" s="4831" t="s">
        <v>981</v>
      </c>
      <c r="H22" s="3095" t="s">
        <v>1292</v>
      </c>
      <c r="I22" s="4832" t="s">
        <v>1293</v>
      </c>
      <c r="J22" s="4833"/>
      <c r="K22" s="4833"/>
      <c r="L22" s="4833"/>
      <c r="M22" s="4833"/>
      <c r="N22" s="4833"/>
      <c r="O22" s="4834"/>
      <c r="P22" s="4834"/>
      <c r="Q22" s="4834"/>
      <c r="R22" s="4834"/>
      <c r="S22" s="4834">
        <v>150.54</v>
      </c>
      <c r="T22" s="4834"/>
      <c r="U22" s="4834">
        <v>5.63</v>
      </c>
      <c r="V22" s="4834"/>
      <c r="W22" s="4834">
        <v>37.01</v>
      </c>
      <c r="X22" s="4834"/>
      <c r="Y22" s="4834">
        <v>2813500.12</v>
      </c>
      <c r="Z22" s="4834"/>
      <c r="AA22" s="4834">
        <v>18490760</v>
      </c>
      <c r="AB22" s="4834"/>
      <c r="AC22" s="4833"/>
      <c r="AD22" s="4833"/>
      <c r="AE22" s="4833"/>
      <c r="AF22" s="4833"/>
      <c r="AG22" s="4833"/>
      <c r="AH22" s="4833"/>
      <c r="AI22" s="4833"/>
      <c r="AJ22" s="4833"/>
      <c r="AK22" s="4833"/>
      <c r="AL22" s="4833"/>
      <c r="AM22" s="4833"/>
      <c r="AN22" s="4833"/>
      <c r="AO22" s="4833"/>
      <c r="AP22" s="4833"/>
      <c r="AQ22" s="4833"/>
      <c r="AR22" s="4833"/>
      <c r="AS22" s="4833"/>
      <c r="AT22" s="4833"/>
      <c r="AU22" s="4833"/>
      <c r="AV22" s="4833"/>
      <c r="AW22" s="4833"/>
      <c r="AX22" s="4833"/>
      <c r="AY22" s="4833"/>
      <c r="AZ22" s="4833"/>
      <c r="BA22" s="4833"/>
      <c r="BB22" s="4833"/>
      <c r="BC22" s="4833"/>
      <c r="BD22" s="4833"/>
      <c r="BE22" s="4833"/>
      <c r="BF22" s="4833"/>
      <c r="BG22" s="4833"/>
      <c r="BH22" s="4833"/>
      <c r="BI22" s="4833"/>
      <c r="BJ22" s="4833"/>
      <c r="BK22" s="4833"/>
      <c r="BL22" s="4833"/>
      <c r="BM22" s="4833"/>
      <c r="BN22" s="4833"/>
      <c r="BO22" s="4833"/>
      <c r="BP22" s="4833"/>
      <c r="BQ22" s="4833"/>
      <c r="BR22" s="4833"/>
      <c r="BS22" s="4833"/>
      <c r="BT22" s="4834"/>
      <c r="BU22" s="4834"/>
      <c r="BV22" s="4834"/>
      <c r="BW22" s="4834"/>
      <c r="BX22" s="4834"/>
      <c r="BY22" s="4834"/>
      <c r="BZ22" s="4834"/>
      <c r="CA22" s="4834"/>
      <c r="CB22" s="4834"/>
      <c r="CC22" s="4834"/>
      <c r="CD22" s="4834"/>
      <c r="CE22" s="4834"/>
      <c r="CF22" s="4834"/>
      <c r="CG22" s="4834"/>
      <c r="CH22" s="4834"/>
      <c r="CI22" s="4834"/>
      <c r="CJ22" s="4834"/>
      <c r="CK22" s="4834"/>
      <c r="CL22" s="4833"/>
      <c r="CM22" s="4833"/>
      <c r="CN22" s="4833"/>
      <c r="CO22" s="4833"/>
      <c r="CP22" s="4833"/>
      <c r="CQ22" s="4833"/>
      <c r="CR22" s="4833"/>
      <c r="CS22" s="4833"/>
      <c r="CT22" s="4833"/>
      <c r="CU22" s="4833"/>
      <c r="CV22" s="4833"/>
      <c r="CW22" s="4833"/>
      <c r="CX22" s="4833"/>
      <c r="CY22" s="4834"/>
      <c r="CZ22" s="4834"/>
      <c r="DA22" s="4834"/>
      <c r="DB22" s="4834"/>
      <c r="DC22" s="4834"/>
      <c r="DD22" s="4834"/>
      <c r="DE22" s="4834"/>
      <c r="DF22" s="4834"/>
      <c r="DG22" s="4834"/>
      <c r="DH22" s="4834"/>
      <c r="DI22" s="4834"/>
      <c r="DJ22" s="4834"/>
      <c r="DK22" s="4833"/>
      <c r="DL22" s="4833"/>
      <c r="DM22" s="4833"/>
      <c r="DN22" s="4833"/>
      <c r="DO22" s="4833"/>
      <c r="DP22" s="4833"/>
      <c r="DQ22" s="4833"/>
      <c r="DR22" s="4833"/>
      <c r="DS22" s="4833"/>
      <c r="DT22" s="4833"/>
      <c r="DU22" s="4833"/>
      <c r="DV22" s="4833"/>
      <c r="DW22" s="4833"/>
      <c r="DX22" s="4833"/>
      <c r="DY22" s="4833"/>
      <c r="DZ22" s="4833"/>
      <c r="EA22" s="4833"/>
      <c r="EB22" s="4833"/>
      <c r="EC22" s="4833"/>
      <c r="ED22" s="4833"/>
      <c r="EE22" s="4833"/>
      <c r="EF22" s="4833"/>
      <c r="EG22" s="4833"/>
      <c r="EH22" s="4833"/>
      <c r="EI22" s="4833"/>
      <c r="EJ22" s="4833"/>
      <c r="EK22" s="4833"/>
      <c r="EL22" s="4833"/>
      <c r="EM22" s="4833"/>
      <c r="EN22" s="4833"/>
      <c r="EO22" s="4833"/>
      <c r="EP22" s="4833"/>
      <c r="EQ22" s="4833"/>
      <c r="ER22" s="4833"/>
      <c r="ES22" s="4833"/>
      <c r="ET22" s="4833"/>
      <c r="EU22" s="4833"/>
      <c r="EV22" s="4833"/>
      <c r="EW22" s="4833"/>
      <c r="EX22" s="4833"/>
      <c r="EY22" s="4833"/>
      <c r="EZ22" s="4833"/>
      <c r="FA22" s="4833"/>
      <c r="FB22" s="4833"/>
      <c r="FC22" s="4833"/>
      <c r="FD22" s="4833"/>
      <c r="FE22" s="4833"/>
      <c r="FF22" s="4833"/>
      <c r="FG22" s="4833"/>
      <c r="FH22" s="4833"/>
      <c r="FI22" s="4833"/>
      <c r="FJ22" s="4833"/>
      <c r="FK22" s="4833"/>
      <c r="FL22" s="4833"/>
      <c r="FM22" s="4833"/>
      <c r="FN22" s="4833"/>
      <c r="FO22" s="4833"/>
      <c r="FP22" s="4833"/>
      <c r="FQ22" s="4833"/>
      <c r="FR22" s="4833"/>
      <c r="FS22" s="4833"/>
      <c r="FT22" s="4833"/>
      <c r="FU22" s="4833"/>
      <c r="FV22" s="4833"/>
      <c r="FW22" s="4833"/>
      <c r="FX22" s="4828"/>
      <c r="FY22" s="4819"/>
      <c r="FZ22" s="4819"/>
      <c r="GA22" s="4819"/>
      <c r="GB22" s="4819"/>
    </row>
    <row s="19065" customFormat="1" customHeight="1" ht="12">
      <c r="A23" s="4819" t="s">
        <v>990</v>
      </c>
      <c r="B23" s="4818"/>
      <c r="C23" s="4819"/>
      <c r="D23" s="4819"/>
      <c r="E23" s="4819"/>
      <c r="F23" s="4835"/>
      <c r="G23" s="4836" t="s">
        <v>1294</v>
      </c>
      <c r="H23" s="4837"/>
      <c r="I23" s="4838"/>
      <c r="J23" s="4839"/>
      <c r="K23" s="4840"/>
      <c r="L23" s="4841"/>
      <c r="M23" s="4842"/>
      <c r="N23" s="4843"/>
      <c r="O23" s="4844"/>
      <c r="P23" s="4845"/>
      <c r="Q23" s="4846"/>
      <c r="R23" s="4847"/>
      <c r="S23" s="4848"/>
      <c r="T23" s="4849"/>
      <c r="U23" s="4850"/>
      <c r="V23" s="4851"/>
      <c r="W23" s="4852"/>
      <c r="X23" s="4853"/>
      <c r="Y23" s="4854"/>
      <c r="Z23" s="4855"/>
      <c r="AA23" s="4856"/>
      <c r="AB23" s="4857"/>
      <c r="AC23" s="4858"/>
      <c r="AD23" s="4859"/>
      <c r="AE23" s="4860"/>
      <c r="AF23" s="4861"/>
      <c r="AG23" s="4862"/>
      <c r="AH23" s="4863"/>
      <c r="AI23" s="4864"/>
      <c r="AJ23" s="4865"/>
      <c r="AK23" s="4866"/>
      <c r="AL23" s="4867"/>
      <c r="AM23" s="4868"/>
      <c r="AN23" s="4869"/>
      <c r="AO23" s="4870"/>
      <c r="AP23" s="4871"/>
      <c r="AQ23" s="4872"/>
      <c r="AR23" s="4873"/>
      <c r="AS23" s="4874"/>
      <c r="AT23" s="4875"/>
      <c r="AU23" s="4876"/>
      <c r="AV23" s="4877"/>
      <c r="AW23" s="4878"/>
      <c r="AX23" s="4879"/>
      <c r="AY23" s="4880"/>
      <c r="AZ23" s="4881"/>
      <c r="BA23" s="4882"/>
      <c r="BB23" s="4883"/>
      <c r="BC23" s="4884"/>
      <c r="BD23" s="4885"/>
      <c r="BE23" s="4886"/>
      <c r="BF23" s="4887"/>
      <c r="BG23" s="4888"/>
      <c r="BH23" s="4889"/>
      <c r="BI23" s="4890"/>
      <c r="BJ23" s="4891"/>
      <c r="BK23" s="4892"/>
      <c r="BL23" s="4893"/>
      <c r="BM23" s="4894"/>
      <c r="BN23" s="4895"/>
      <c r="BO23" s="4896"/>
      <c r="BP23" s="4897"/>
      <c r="BQ23" s="4898"/>
      <c r="BR23" s="4899"/>
      <c r="BS23" s="4900"/>
      <c r="BT23" s="4901"/>
      <c r="BU23" s="4902"/>
      <c r="BV23" s="4903"/>
      <c r="BW23" s="4904"/>
      <c r="BX23" s="4905"/>
      <c r="BY23" s="4906"/>
      <c r="BZ23" s="4907"/>
      <c r="CA23" s="4908"/>
      <c r="CB23" s="4909"/>
      <c r="CC23" s="4910"/>
      <c r="CD23" s="4911"/>
      <c r="CE23" s="4912"/>
      <c r="CF23" s="4913"/>
      <c r="CG23" s="4914"/>
      <c r="CH23" s="4915"/>
      <c r="CI23" s="4916"/>
      <c r="CJ23" s="4917"/>
      <c r="CK23" s="4918"/>
      <c r="CL23" s="4919"/>
      <c r="CM23" s="4920"/>
      <c r="CN23" s="4921"/>
      <c r="CO23" s="4922"/>
      <c r="CP23" s="4923"/>
      <c r="CQ23" s="4924"/>
      <c r="CR23" s="4925"/>
      <c r="CS23" s="4926"/>
      <c r="CT23" s="4927"/>
      <c r="CU23" s="4928"/>
      <c r="CV23" s="4929"/>
      <c r="CW23" s="4930"/>
      <c r="CX23" s="4931"/>
      <c r="CY23" s="4932"/>
      <c r="CZ23" s="4933"/>
      <c r="DA23" s="4934"/>
      <c r="DB23" s="4935"/>
      <c r="DC23" s="4936"/>
      <c r="DD23" s="4937"/>
      <c r="DE23" s="4938"/>
      <c r="DF23" s="4939"/>
      <c r="DG23" s="4940"/>
      <c r="DH23" s="4941"/>
      <c r="DI23" s="4942"/>
      <c r="DJ23" s="4943"/>
      <c r="DK23" s="4944"/>
      <c r="DL23" s="4945"/>
      <c r="DM23" s="4946"/>
      <c r="DN23" s="4947"/>
      <c r="DO23" s="4948"/>
      <c r="DP23" s="4949"/>
      <c r="DQ23" s="4950"/>
      <c r="DR23" s="4951"/>
      <c r="DS23" s="4952"/>
      <c r="DT23" s="4953"/>
      <c r="DU23" s="4954"/>
      <c r="DV23" s="4955"/>
      <c r="DW23" s="4956"/>
      <c r="DX23" s="4957"/>
      <c r="DY23" s="4958"/>
      <c r="DZ23" s="4959"/>
      <c r="EA23" s="4960"/>
      <c r="EB23" s="4961"/>
      <c r="EC23" s="4962"/>
      <c r="ED23" s="4963"/>
      <c r="EE23" s="4964"/>
      <c r="EF23" s="4965"/>
      <c r="EG23" s="4966"/>
      <c r="EH23" s="4967"/>
      <c r="EI23" s="4968"/>
      <c r="EJ23" s="4969"/>
      <c r="EK23" s="4970"/>
      <c r="EL23" s="4971"/>
      <c r="EM23" s="4972"/>
      <c r="EN23" s="4973"/>
      <c r="EO23" s="4974"/>
      <c r="EP23" s="4975"/>
      <c r="EQ23" s="4976"/>
      <c r="ER23" s="4977"/>
      <c r="ES23" s="4978"/>
      <c r="ET23" s="4979"/>
      <c r="EU23" s="4980"/>
      <c r="EV23" s="4981"/>
      <c r="EW23" s="4982"/>
      <c r="EX23" s="4983"/>
      <c r="EY23" s="4984"/>
      <c r="EZ23" s="4985"/>
      <c r="FA23" s="4986"/>
      <c r="FB23" s="4987"/>
      <c r="FC23" s="4988"/>
      <c r="FD23" s="4989"/>
      <c r="FE23" s="4990"/>
      <c r="FF23" s="4991"/>
      <c r="FG23" s="4992"/>
      <c r="FH23" s="4993"/>
      <c r="FI23" s="4994"/>
      <c r="FJ23" s="4995"/>
      <c r="FK23" s="4996"/>
      <c r="FL23" s="4997"/>
      <c r="FM23" s="4998"/>
      <c r="FN23" s="4999"/>
      <c r="FO23" s="5000"/>
      <c r="FP23" s="5001"/>
      <c r="FQ23" s="5002"/>
      <c r="FR23" s="5003"/>
      <c r="FS23" s="5004"/>
      <c r="FT23" s="5005"/>
      <c r="FU23" s="5006"/>
      <c r="FV23" s="5007"/>
      <c r="FW23" s="5008"/>
      <c r="FX23" s="5009"/>
      <c r="FY23" s="5010"/>
      <c r="FZ23" s="5010"/>
      <c r="GA23" s="5010"/>
      <c r="GB23" s="5010"/>
    </row>
    <row s="18984" customFormat="1" customHeight="1" ht="12.75">
      <c r="A24" s="1282"/>
      <c r="B24" s="1282"/>
      <c r="C24" s="1282"/>
      <c r="D24" s="1282"/>
      <c r="E24" s="1282"/>
      <c r="F24" s="1280"/>
      <c r="G24" s="1280"/>
      <c r="H24" s="1280"/>
      <c r="I24" s="1280"/>
      <c r="J24" s="1280"/>
      <c r="K24" s="1280"/>
      <c r="L24" s="1280"/>
      <c r="M24" s="1280"/>
      <c r="N24" s="1280"/>
      <c r="O24" s="1280"/>
      <c r="P24" s="1280"/>
      <c r="Q24" s="1280"/>
      <c r="R24" s="1280"/>
      <c r="S24" s="1283"/>
      <c r="T24" s="1283"/>
      <c r="U24" s="1280"/>
      <c r="V24" s="1280"/>
      <c r="W24" s="1280"/>
      <c r="X24" s="1280"/>
      <c r="Y24" s="1280"/>
      <c r="Z24" s="1280"/>
      <c r="AA24" s="1280"/>
      <c r="AB24" s="1280"/>
      <c r="AC24" s="1280"/>
      <c r="AD24" s="1280"/>
      <c r="AE24" s="1280"/>
      <c r="AF24" s="1280"/>
      <c r="AG24" s="1280"/>
      <c r="AH24" s="1280"/>
      <c r="AI24" s="1280"/>
      <c r="AJ24" s="1280"/>
      <c r="AK24" s="1280"/>
      <c r="AL24" s="1280"/>
      <c r="AM24" s="1280"/>
      <c r="AN24" s="1280"/>
      <c r="AO24" s="1280"/>
      <c r="AP24" s="1280"/>
      <c r="AQ24" s="1280"/>
      <c r="AR24" s="1280"/>
      <c r="AS24" s="1280"/>
      <c r="AT24" s="1280"/>
      <c r="AU24" s="1280"/>
      <c r="AV24" s="1280"/>
      <c r="AW24" s="1280"/>
      <c r="AX24" s="1280"/>
      <c r="AY24" s="1280"/>
      <c r="AZ24" s="1280"/>
      <c r="BA24" s="1280"/>
      <c r="BB24" s="1280"/>
      <c r="BC24" s="1280"/>
      <c r="BD24" s="1280"/>
      <c r="BE24" s="1280"/>
      <c r="BF24" s="1280"/>
      <c r="BG24" s="1280"/>
      <c r="BH24" s="1280"/>
      <c r="BI24" s="1280"/>
      <c r="BJ24" s="1280"/>
      <c r="BK24" s="1280"/>
      <c r="BL24" s="1280"/>
      <c r="BM24" s="1280"/>
      <c r="BN24" s="1280"/>
      <c r="BO24" s="1280"/>
      <c r="BP24" s="1280"/>
      <c r="BQ24" s="1280"/>
      <c r="BR24" s="1280"/>
      <c r="BS24" s="1280"/>
      <c r="BT24" s="1280"/>
      <c r="BU24" s="1280"/>
      <c r="BV24" s="1280"/>
      <c r="BW24" s="1280"/>
      <c r="BX24" s="1280"/>
      <c r="BY24" s="1280"/>
      <c r="BZ24" s="1280"/>
      <c r="CA24" s="1280"/>
      <c r="CB24" s="1280"/>
      <c r="CC24" s="1280"/>
      <c r="CD24" s="1280"/>
      <c r="CE24" s="1280"/>
      <c r="CF24" s="1280"/>
      <c r="CG24" s="1280"/>
      <c r="CH24" s="1280"/>
      <c r="CI24" s="1280"/>
      <c r="CJ24" s="1280"/>
      <c r="CK24" s="1280"/>
      <c r="CL24" s="1280"/>
      <c r="CM24" s="1280"/>
      <c r="CN24" s="1280"/>
      <c r="CO24" s="1280"/>
      <c r="CP24" s="1280"/>
      <c r="CQ24" s="1280"/>
      <c r="CR24" s="1280"/>
      <c r="CS24" s="1280"/>
      <c r="CT24" s="1280"/>
      <c r="CU24" s="1280"/>
      <c r="CV24" s="1280"/>
      <c r="CW24" s="1280"/>
      <c r="CX24" s="1280"/>
      <c r="CY24" s="1280"/>
      <c r="CZ24" s="1280"/>
      <c r="DA24" s="1280"/>
      <c r="DB24" s="1280"/>
      <c r="DC24" s="1280"/>
      <c r="DD24" s="1280"/>
      <c r="DE24" s="1280"/>
      <c r="DF24" s="1280"/>
      <c r="DG24" s="1280"/>
      <c r="DH24" s="1280"/>
      <c r="DI24" s="1280"/>
      <c r="DJ24" s="1280"/>
      <c r="DK24" s="1280"/>
      <c r="DL24" s="1280"/>
      <c r="DM24" s="1280"/>
      <c r="DN24" s="1280"/>
      <c r="DO24" s="1280"/>
      <c r="DP24" s="1280"/>
      <c r="DQ24" s="1280"/>
      <c r="DR24" s="1280"/>
      <c r="DS24" s="1280"/>
      <c r="DT24" s="1280"/>
      <c r="DU24" s="1280"/>
      <c r="DV24" s="1280"/>
      <c r="DW24" s="1280"/>
      <c r="DX24" s="1280"/>
      <c r="DY24" s="1280"/>
      <c r="DZ24" s="1280"/>
      <c r="EA24" s="1280"/>
      <c r="EB24" s="1280"/>
      <c r="EC24" s="1280"/>
      <c r="ED24" s="1280"/>
      <c r="EE24" s="1280"/>
      <c r="EF24" s="1280"/>
      <c r="EG24" s="1280"/>
      <c r="EH24" s="1280"/>
      <c r="EI24" s="1280"/>
      <c r="EJ24" s="1280"/>
      <c r="EK24" s="1280"/>
      <c r="EL24" s="1280"/>
      <c r="EM24" s="1280"/>
      <c r="EN24" s="1280"/>
      <c r="EO24" s="1280"/>
      <c r="EP24" s="1280"/>
      <c r="EQ24" s="1280"/>
      <c r="ER24" s="1280"/>
      <c r="ES24" s="1280"/>
      <c r="ET24" s="1280"/>
      <c r="EU24" s="1280"/>
      <c r="EV24" s="1280"/>
      <c r="EW24" s="1280"/>
      <c r="EX24" s="1280"/>
      <c r="EY24" s="1280"/>
      <c r="EZ24" s="1280"/>
      <c r="FA24" s="1280"/>
      <c r="FB24" s="1280"/>
      <c r="FC24" s="1280"/>
      <c r="FD24" s="1280"/>
      <c r="FE24" s="1280"/>
      <c r="FF24" s="1280"/>
      <c r="FG24" s="1280"/>
      <c r="FH24" s="1280"/>
      <c r="FI24" s="1280"/>
      <c r="FJ24" s="1280"/>
      <c r="FK24" s="1280"/>
      <c r="FL24" s="1280"/>
      <c r="FM24" s="1280"/>
      <c r="FN24" s="1280"/>
      <c r="FO24" s="1280"/>
      <c r="FP24" s="1280"/>
      <c r="FQ24" s="1280"/>
      <c r="FR24" s="1280"/>
      <c r="FS24" s="1280"/>
      <c r="FT24" s="1280"/>
      <c r="FU24" s="1280"/>
      <c r="FV24" s="1280"/>
      <c r="FW24" s="1280"/>
      <c r="FX24" s="1282"/>
      <c r="FY24" s="1282"/>
      <c r="FZ24" s="1282"/>
      <c r="GA24" s="1282"/>
      <c r="GB24" s="1282"/>
      <c r="GC24" s="1263">
        <v>12</v>
      </c>
    </row>
    <row s="18984" customFormat="1" customHeight="1" ht="12.75">
      <c r="A25" s="1282"/>
      <c r="B25" s="1282"/>
      <c r="C25" s="1282"/>
      <c r="D25" s="1282"/>
      <c r="E25" s="1282"/>
      <c r="FX25" s="1282"/>
      <c r="FY25" s="1282"/>
      <c r="FZ25" s="1282"/>
      <c r="GA25" s="1282"/>
      <c r="GB25" s="1282"/>
      <c r="GC25" s="1263">
        <v>12</v>
      </c>
    </row>
    <row s="19250" customFormat="1" customHeight="1" ht="12.75">
      <c r="A26" s="1403"/>
      <c r="B26" s="1403"/>
      <c r="C26" s="1403"/>
      <c r="D26" s="1403"/>
      <c r="E26" s="1403"/>
      <c r="O26" s="1405"/>
      <c r="P26" s="1405"/>
      <c r="Q26" s="1405"/>
      <c r="R26" s="1405"/>
      <c r="S26" s="1405"/>
      <c r="T26" s="1405"/>
      <c r="U26" s="1405"/>
      <c r="V26" s="1405"/>
      <c r="W26" s="1405"/>
      <c r="X26" s="1405"/>
      <c r="Y26" s="1405"/>
      <c r="Z26" s="1405"/>
      <c r="AA26" s="1405"/>
      <c r="AB26" s="1405"/>
      <c r="AC26" s="1405"/>
      <c r="AD26" s="1405"/>
      <c r="AE26" s="1405"/>
      <c r="AF26" s="1405"/>
      <c r="AG26" s="1405"/>
      <c r="AH26" s="1405"/>
      <c r="AI26" s="1405"/>
      <c r="AJ26" s="1405"/>
      <c r="AK26" s="1405"/>
      <c r="AL26" s="1405"/>
      <c r="AM26" s="1405"/>
      <c r="AN26" s="1405"/>
      <c r="AO26" s="1405"/>
      <c r="AP26" s="1405"/>
      <c r="AQ26" s="1405"/>
      <c r="AR26" s="1405"/>
      <c r="AS26" s="1405"/>
      <c r="AT26" s="1405"/>
      <c r="AU26" s="1405"/>
      <c r="AV26" s="1405"/>
      <c r="AW26" s="1405"/>
      <c r="AX26" s="1405"/>
      <c r="AY26" s="1405"/>
      <c r="AZ26" s="1405"/>
      <c r="BA26" s="1405"/>
      <c r="BB26" s="1405"/>
      <c r="BC26" s="1405"/>
      <c r="BD26" s="1405"/>
      <c r="BE26" s="1405"/>
      <c r="BF26" s="1405"/>
      <c r="BG26" s="1405"/>
      <c r="BH26" s="1405"/>
      <c r="BI26" s="1405"/>
      <c r="BJ26" s="1405"/>
      <c r="BK26" s="1405"/>
      <c r="BL26" s="1405"/>
      <c r="BM26" s="1405"/>
      <c r="BN26" s="1405"/>
      <c r="BO26" s="1405"/>
      <c r="BP26" s="1405"/>
      <c r="BQ26" s="1405"/>
      <c r="BR26" s="1405"/>
      <c r="BS26" s="1405"/>
      <c r="BT26" s="1406"/>
      <c r="BU26" s="1406"/>
      <c r="BV26" s="1406"/>
      <c r="BW26" s="1406"/>
      <c r="BX26" s="1406"/>
      <c r="BY26" s="1406"/>
      <c r="BZ26" s="1406"/>
      <c r="CA26" s="1406"/>
      <c r="CB26" s="1406"/>
      <c r="CC26" s="1406"/>
      <c r="CD26" s="1406"/>
      <c r="CE26" s="1406"/>
      <c r="CF26" s="1406"/>
      <c r="CG26" s="1406"/>
      <c r="CH26" s="1406"/>
      <c r="CI26" s="1406"/>
      <c r="CJ26" s="1406"/>
      <c r="CK26" s="1406"/>
      <c r="CL26" s="1406"/>
      <c r="CM26" s="1406"/>
      <c r="CN26" s="1406"/>
      <c r="CO26" s="1406"/>
      <c r="CP26" s="1406"/>
      <c r="CQ26" s="1406"/>
      <c r="CR26" s="1406"/>
      <c r="CS26" s="1406"/>
      <c r="CT26" s="1406"/>
      <c r="CU26" s="1406"/>
      <c r="CV26" s="1406"/>
      <c r="CW26" s="1406"/>
      <c r="CX26" s="1406"/>
      <c r="CY26" s="1406"/>
      <c r="CZ26" s="1406"/>
      <c r="DA26" s="1406"/>
      <c r="DB26" s="1406"/>
      <c r="DC26" s="1406"/>
      <c r="DD26" s="1406"/>
      <c r="DE26" s="1406"/>
      <c r="DF26" s="1406"/>
      <c r="DG26" s="1406"/>
      <c r="DH26" s="1406"/>
      <c r="DI26" s="1406"/>
      <c r="DJ26" s="1406"/>
      <c r="DK26" s="1406"/>
      <c r="DL26" s="1406"/>
      <c r="DM26" s="1406"/>
      <c r="DN26" s="1406"/>
      <c r="DO26" s="1406"/>
      <c r="DP26" s="1406"/>
      <c r="DQ26" s="1406"/>
      <c r="DR26" s="1406"/>
      <c r="DS26" s="1406"/>
      <c r="DT26" s="1406"/>
      <c r="DU26" s="1406"/>
      <c r="DV26" s="1406"/>
      <c r="DW26" s="1406"/>
      <c r="DX26" s="1406"/>
      <c r="FX26" s="1403"/>
      <c r="FY26" s="1403"/>
      <c r="FZ26" s="1403"/>
      <c r="GA26" s="1403"/>
      <c r="GB26" s="1403"/>
      <c r="GC26" s="1404">
        <v>12</v>
      </c>
    </row>
    <row customHeight="1" ht="12.75">
      <c r="S27" s="1279"/>
      <c r="T27" s="1279"/>
      <c r="U27" s="1279"/>
      <c r="V27" s="1279"/>
      <c r="W27" s="1279"/>
      <c r="X27" s="1279"/>
      <c r="Y27" s="1279"/>
      <c r="Z27" s="1279"/>
      <c r="AA27" s="1279"/>
      <c r="AB27" s="1279"/>
      <c r="FX27" s="1279"/>
      <c r="FY27" s="1279"/>
      <c r="FZ27" s="1279"/>
      <c r="GA27" s="1279"/>
      <c r="GB27" s="1279"/>
      <c r="GC27" s="1267">
        <v>12</v>
      </c>
    </row>
    <row customHeight="1" ht="12" hidden="1">
      <c r="A28" s="1267" t="s">
        <v>82</v>
      </c>
      <c r="B28" s="1277">
        <v>0</v>
      </c>
      <c r="C28" s="1267">
        <v>0</v>
      </c>
      <c r="D28" s="1267">
        <v>0</v>
      </c>
      <c r="E28" s="1267">
        <v>3</v>
      </c>
      <c r="F28" s="1267">
        <v>6</v>
      </c>
      <c r="G28" s="1267">
        <v>18</v>
      </c>
      <c r="H28" s="1267">
        <v>27</v>
      </c>
      <c r="I28" s="1267">
        <v>18</v>
      </c>
      <c r="J28" s="1267">
        <v>0</v>
      </c>
      <c r="K28" s="1267">
        <v>0</v>
      </c>
      <c r="L28" s="1267">
        <v>0</v>
      </c>
      <c r="M28" s="1267">
        <v>0</v>
      </c>
      <c r="N28" s="1267">
        <v>0</v>
      </c>
      <c r="O28" s="1267">
        <v>0</v>
      </c>
      <c r="P28" s="1267">
        <v>0</v>
      </c>
      <c r="Q28" s="1267">
        <v>0</v>
      </c>
      <c r="R28" s="1267">
        <v>0</v>
      </c>
      <c r="S28" s="1267">
        <v>0</v>
      </c>
      <c r="T28" s="1267">
        <v>0</v>
      </c>
      <c r="U28" s="1267">
        <v>0</v>
      </c>
      <c r="V28" s="1267">
        <v>0</v>
      </c>
      <c r="W28" s="1267">
        <v>0</v>
      </c>
      <c r="X28" s="1267">
        <v>0</v>
      </c>
      <c r="Y28" s="1267">
        <v>0</v>
      </c>
      <c r="Z28" s="1267">
        <v>0</v>
      </c>
      <c r="AA28" s="1267">
        <v>0</v>
      </c>
      <c r="AB28" s="1267">
        <v>0</v>
      </c>
      <c r="AC28" s="1267">
        <v>0</v>
      </c>
      <c r="AD28" s="1267">
        <v>0</v>
      </c>
      <c r="AE28" s="1267">
        <v>0</v>
      </c>
      <c r="AF28" s="1267">
        <v>0</v>
      </c>
      <c r="AG28" s="1267">
        <v>0</v>
      </c>
      <c r="AH28" s="1267">
        <v>0</v>
      </c>
      <c r="AI28" s="1267">
        <v>0</v>
      </c>
      <c r="AJ28" s="1267">
        <v>0</v>
      </c>
      <c r="AK28" s="1267">
        <v>0</v>
      </c>
      <c r="AL28" s="1267">
        <v>0</v>
      </c>
      <c r="AM28" s="1267">
        <v>0</v>
      </c>
      <c r="AN28" s="1267">
        <v>0</v>
      </c>
      <c r="AO28" s="1267">
        <v>0</v>
      </c>
      <c r="AP28" s="1267">
        <v>0</v>
      </c>
      <c r="AQ28" s="1267">
        <v>0</v>
      </c>
      <c r="AR28" s="1267">
        <v>0</v>
      </c>
      <c r="AS28" s="1267">
        <v>0</v>
      </c>
      <c r="AT28" s="1267">
        <v>0</v>
      </c>
      <c r="AU28" s="1267">
        <v>0</v>
      </c>
      <c r="AV28" s="1267">
        <v>0</v>
      </c>
      <c r="AW28" s="1267">
        <v>0</v>
      </c>
      <c r="AX28" s="1267">
        <v>0</v>
      </c>
      <c r="AY28" s="1267">
        <v>0</v>
      </c>
      <c r="AZ28" s="1267">
        <v>0</v>
      </c>
      <c r="BA28" s="1267">
        <v>0</v>
      </c>
      <c r="BB28" s="1267">
        <v>0</v>
      </c>
      <c r="BC28" s="1267">
        <v>0</v>
      </c>
      <c r="BD28" s="1267">
        <v>0</v>
      </c>
      <c r="BE28" s="1267">
        <v>0</v>
      </c>
      <c r="BF28" s="1267">
        <v>0</v>
      </c>
      <c r="BG28" s="1267">
        <v>0</v>
      </c>
      <c r="BH28" s="1267">
        <v>0</v>
      </c>
      <c r="BI28" s="1267">
        <v>0</v>
      </c>
      <c r="BJ28" s="1267">
        <v>0</v>
      </c>
      <c r="BK28" s="1267">
        <v>0</v>
      </c>
      <c r="BL28" s="1267">
        <v>0</v>
      </c>
      <c r="BM28" s="1267">
        <v>0</v>
      </c>
      <c r="BN28" s="1267">
        <v>0</v>
      </c>
      <c r="BO28" s="1267">
        <v>0</v>
      </c>
      <c r="BP28" s="1267">
        <v>0</v>
      </c>
      <c r="BQ28" s="1267">
        <v>0</v>
      </c>
      <c r="BR28" s="1267">
        <v>0</v>
      </c>
      <c r="BS28" s="1267">
        <v>0</v>
      </c>
      <c r="BT28" s="1267">
        <v>0</v>
      </c>
      <c r="BU28" s="1267">
        <v>0</v>
      </c>
      <c r="BV28" s="1267">
        <v>0</v>
      </c>
      <c r="BW28" s="1267">
        <v>0</v>
      </c>
      <c r="BX28" s="1267">
        <v>0</v>
      </c>
      <c r="BY28" s="1267">
        <v>0</v>
      </c>
      <c r="BZ28" s="1267">
        <v>0</v>
      </c>
      <c r="CA28" s="1267">
        <v>0</v>
      </c>
      <c r="CB28" s="1267">
        <v>0</v>
      </c>
      <c r="CC28" s="1267">
        <v>0</v>
      </c>
      <c r="CD28" s="1267">
        <v>0</v>
      </c>
      <c r="CE28" s="1267">
        <v>0</v>
      </c>
      <c r="CF28" s="1267">
        <v>0</v>
      </c>
      <c r="CG28" s="1267">
        <v>0</v>
      </c>
      <c r="CH28" s="1267">
        <v>0</v>
      </c>
      <c r="CI28" s="1267">
        <v>0</v>
      </c>
      <c r="CJ28" s="1267">
        <v>0</v>
      </c>
      <c r="CK28" s="1267">
        <v>0</v>
      </c>
      <c r="CL28" s="1267">
        <v>0</v>
      </c>
      <c r="CM28" s="1267">
        <v>0</v>
      </c>
      <c r="CN28" s="1267">
        <v>0</v>
      </c>
      <c r="CO28" s="1267">
        <v>0</v>
      </c>
      <c r="CP28" s="1267">
        <v>0</v>
      </c>
      <c r="CQ28" s="1267">
        <v>0</v>
      </c>
      <c r="CR28" s="1267">
        <v>0</v>
      </c>
      <c r="CS28" s="1267">
        <v>0</v>
      </c>
      <c r="CT28" s="1267">
        <v>0</v>
      </c>
      <c r="CU28" s="1267">
        <v>0</v>
      </c>
      <c r="CV28" s="1267">
        <v>0</v>
      </c>
      <c r="CW28" s="1267">
        <v>0</v>
      </c>
      <c r="CX28" s="1267">
        <v>0</v>
      </c>
      <c r="CY28" s="1267">
        <v>0</v>
      </c>
      <c r="CZ28" s="1267">
        <v>0</v>
      </c>
      <c r="DA28" s="1267">
        <v>0</v>
      </c>
      <c r="DB28" s="1267">
        <v>0</v>
      </c>
      <c r="DC28" s="1267">
        <v>0</v>
      </c>
      <c r="DD28" s="1267">
        <v>0</v>
      </c>
      <c r="DE28" s="1267">
        <v>0</v>
      </c>
      <c r="DF28" s="1267">
        <v>0</v>
      </c>
      <c r="DG28" s="1267">
        <v>0</v>
      </c>
      <c r="DH28" s="1267">
        <v>0</v>
      </c>
      <c r="DI28" s="1267">
        <v>0</v>
      </c>
      <c r="DJ28" s="1267">
        <v>0</v>
      </c>
      <c r="DK28" s="1267">
        <v>0</v>
      </c>
      <c r="DL28" s="1267">
        <v>0</v>
      </c>
      <c r="DM28" s="1267">
        <v>0</v>
      </c>
      <c r="DN28" s="1267">
        <v>0</v>
      </c>
      <c r="DO28" s="1267">
        <v>0</v>
      </c>
      <c r="DP28" s="1267">
        <v>0</v>
      </c>
      <c r="DQ28" s="1267">
        <v>0</v>
      </c>
      <c r="DR28" s="1267">
        <v>0</v>
      </c>
      <c r="DS28" s="1267">
        <v>0</v>
      </c>
      <c r="DT28" s="1267">
        <v>0</v>
      </c>
      <c r="DU28" s="1267">
        <v>0</v>
      </c>
      <c r="DV28" s="1267">
        <v>0</v>
      </c>
      <c r="DW28" s="1267">
        <v>0</v>
      </c>
      <c r="DX28" s="1267">
        <v>0</v>
      </c>
      <c r="DY28" s="1267">
        <v>0</v>
      </c>
      <c r="DZ28" s="1267">
        <v>0</v>
      </c>
      <c r="EA28" s="1267">
        <v>0</v>
      </c>
      <c r="EB28" s="1267">
        <v>0</v>
      </c>
      <c r="EC28" s="1267">
        <v>0</v>
      </c>
      <c r="ED28" s="1267">
        <v>0</v>
      </c>
      <c r="EE28" s="1267">
        <v>0</v>
      </c>
      <c r="EF28" s="1267">
        <v>0</v>
      </c>
      <c r="EG28" s="1267">
        <v>0</v>
      </c>
      <c r="EH28" s="1267">
        <v>0</v>
      </c>
      <c r="EI28" s="1267">
        <v>0</v>
      </c>
      <c r="EJ28" s="1267">
        <v>0</v>
      </c>
      <c r="EK28" s="1267">
        <v>0</v>
      </c>
      <c r="EL28" s="1267">
        <v>0</v>
      </c>
      <c r="EM28" s="1267">
        <v>0</v>
      </c>
      <c r="EN28" s="1267">
        <v>0</v>
      </c>
      <c r="EO28" s="1267">
        <v>0</v>
      </c>
      <c r="EP28" s="1267">
        <v>0</v>
      </c>
      <c r="EQ28" s="1267">
        <v>0</v>
      </c>
      <c r="ER28" s="1267">
        <v>0</v>
      </c>
      <c r="ES28" s="1267">
        <v>0</v>
      </c>
      <c r="ET28" s="1267">
        <v>0</v>
      </c>
      <c r="EU28" s="1267">
        <v>0</v>
      </c>
      <c r="EV28" s="1267">
        <v>0</v>
      </c>
      <c r="EW28" s="1267">
        <v>0</v>
      </c>
      <c r="EX28" s="1267">
        <v>0</v>
      </c>
      <c r="EY28" s="1267">
        <v>0</v>
      </c>
      <c r="EZ28" s="1267">
        <v>0</v>
      </c>
      <c r="FA28" s="1267">
        <v>0</v>
      </c>
      <c r="FB28" s="1267">
        <v>0</v>
      </c>
      <c r="FC28" s="1267">
        <v>0</v>
      </c>
      <c r="FD28" s="1267">
        <v>0</v>
      </c>
      <c r="FE28" s="1267">
        <v>0</v>
      </c>
      <c r="FF28" s="1267">
        <v>0</v>
      </c>
      <c r="FG28" s="1267">
        <v>0</v>
      </c>
      <c r="FH28" s="1267">
        <v>0</v>
      </c>
      <c r="FI28" s="1267">
        <v>0</v>
      </c>
      <c r="FJ28" s="1267">
        <v>0</v>
      </c>
      <c r="FK28" s="1267">
        <v>0</v>
      </c>
      <c r="FL28" s="1267">
        <v>0</v>
      </c>
      <c r="FM28" s="1267">
        <v>0</v>
      </c>
      <c r="FN28" s="1267">
        <v>0</v>
      </c>
      <c r="FO28" s="1267">
        <v>0</v>
      </c>
      <c r="FP28" s="1267">
        <v>0</v>
      </c>
      <c r="FQ28" s="1267">
        <v>0</v>
      </c>
      <c r="FR28" s="1267">
        <v>0</v>
      </c>
      <c r="FS28" s="1267">
        <v>0</v>
      </c>
      <c r="FT28" s="1267">
        <v>0</v>
      </c>
      <c r="FU28" s="1267">
        <v>0</v>
      </c>
      <c r="FV28" s="1267">
        <v>0</v>
      </c>
      <c r="FW28" s="1267">
        <v>0</v>
      </c>
      <c r="FX28" s="1267">
        <v>8</v>
      </c>
      <c r="FY28" s="1267">
        <v>8</v>
      </c>
      <c r="FZ28" s="1267">
        <v>8</v>
      </c>
      <c r="GA28" s="1267">
        <v>8</v>
      </c>
      <c r="GB28" s="1267">
        <v>8</v>
      </c>
      <c r="GC28" s="1267">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B4B081-AE9A-EA72-71AE-A455D35091EA}"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7203" width="9.140625" hidden="1" customWidth="1"/>
    <col min="2" max="2" style="17239" width="9.140625" hidden="1" customWidth="1"/>
    <col min="3" max="3" style="18754" width="4.00390625" customWidth="1"/>
    <col min="4" max="4" style="17239" width="6.00390625" customWidth="1"/>
    <col min="5" max="5" style="17239" width="36.00390625" customWidth="1"/>
    <col min="6" max="6" style="17239" width="9.00390625" customWidth="1"/>
    <col min="7" max="7" style="17239" width="42.421875" hidden="1" customWidth="1"/>
    <col min="8" max="8" style="17239" width="40.7109375" customWidth="1"/>
    <col min="9" max="9" style="17315" width="93.00390625" customWidth="1"/>
    <col min="10" max="17" style="17239" width="10.00390625" customWidth="1"/>
    <col min="18" max="18" style="18755" width="10.00390625" customWidth="1"/>
    <col min="19" max="19" style="17239" width="10.57421875" hidden="1"/>
  </cols>
  <sheetData>
    <row s="17315" customFormat="1" customHeight="1" ht="15" hidden="1">
      <c r="C1" s="1013"/>
      <c r="H1" s="758">
        <v>4</v>
      </c>
      <c r="R1" s="761"/>
      <c r="S1" s="758" t="s">
        <v>14</v>
      </c>
    </row>
    <row customHeight="1" ht="22.5" hidden="1">
      <c r="C2" s="2269" t="s">
        <v>684</v>
      </c>
      <c r="D2" s="880"/>
      <c r="E2" s="1004"/>
      <c r="F2" s="2102" t="str">
        <f>IF(TEMPLATE_SPHERE="HEAT","Гкал/час","тыс. куб. м/сутки")</f>
        <v>Гкал/час</v>
      </c>
      <c r="G2" s="1021"/>
      <c r="H2" s="1021"/>
      <c r="I2" s="630"/>
      <c r="S2" s="846">
        <v>0</v>
      </c>
    </row>
    <row s="17315" customFormat="1" customHeight="1" ht="15" hidden="1">
      <c r="C3" s="1013"/>
      <c r="R3" s="761"/>
      <c r="S3" s="758">
        <v>0</v>
      </c>
    </row>
    <row customHeight="1" ht="15.75">
      <c r="C4" s="517"/>
      <c r="D4" s="850"/>
      <c r="E4" s="850"/>
      <c r="F4" s="850"/>
      <c r="G4" s="850"/>
      <c r="H4" s="850"/>
      <c r="S4" s="846">
        <v>15</v>
      </c>
    </row>
    <row customHeight="1" ht="39.75">
      <c r="C5" s="517"/>
      <c r="D5" s="257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78"/>
      <c r="F5" s="2578"/>
      <c r="G5" s="2578"/>
      <c r="H5" s="2578"/>
      <c r="I5" s="878"/>
      <c r="S5" s="846">
        <v>38</v>
      </c>
    </row>
    <row customHeight="1" ht="15.75">
      <c r="C6" s="517"/>
      <c r="D6" s="2517" t="str">
        <f>IF(org=0,"Не определено",org)</f>
        <v>АО "ДГК"</v>
      </c>
      <c r="E6" s="2517"/>
      <c r="F6" s="2517"/>
      <c r="G6" s="2517"/>
      <c r="H6" s="2517"/>
      <c r="I6" s="878"/>
      <c r="S6" s="846">
        <v>15</v>
      </c>
    </row>
    <row s="17239" customFormat="1" customHeight="1" ht="15.75">
      <c r="A7" s="1100"/>
      <c r="C7" s="517"/>
      <c r="D7" s="1017"/>
      <c r="E7" s="1017"/>
      <c r="F7" s="1017"/>
      <c r="G7" s="1017"/>
      <c r="H7" s="1093"/>
      <c r="I7" s="878"/>
      <c r="R7" s="1016"/>
      <c r="S7" s="1099">
        <v>15</v>
      </c>
    </row>
    <row customHeight="1" ht="1.05">
      <c r="C8" s="517"/>
      <c r="D8" s="850"/>
      <c r="E8" s="850"/>
      <c r="F8" s="850"/>
      <c r="G8" s="850"/>
      <c r="H8" s="878" t="s">
        <v>114</v>
      </c>
      <c r="S8" s="846">
        <v>1</v>
      </c>
    </row>
    <row customHeight="1" ht="15.75">
      <c r="C9" s="517"/>
      <c r="D9" s="1052"/>
      <c r="E9" s="2708" t="s">
        <v>102</v>
      </c>
      <c r="F9" s="2709"/>
      <c r="G9" s="1157" t="str">
        <f>IF(G8="","",INDEX(DIFFERENTIATION_UNMERGE_VD,MATCH(G8,DIFFERENTIATION_ID_DIFF,0)))</f>
        <v/>
      </c>
      <c r="H9" s="1157">
        <f>IF(H8="","",INDEX(DIFFERENTIATION_UNMERGE_VD,MATCH(H8,DIFFERENTIATION_ID_DIFF,0)))</f>
        <v>0</v>
      </c>
      <c r="I9" s="2468" t="s">
        <v>296</v>
      </c>
      <c r="S9" s="846">
        <v>15</v>
      </c>
    </row>
    <row s="17239" customFormat="1" customHeight="1" ht="15.75">
      <c r="A10" s="1100"/>
      <c r="C10" s="517"/>
      <c r="D10" s="1052"/>
      <c r="E10" s="2708" t="s">
        <v>559</v>
      </c>
      <c r="F10" s="2709"/>
      <c r="G10" s="1157" t="str">
        <f>IF(G8="","",INDEX(DIFFERENTIATION_UNMERGE_AREA,MATCH(G8,DIFFERENTIATION_ID_DIFF,0)))</f>
        <v/>
      </c>
      <c r="H10" s="1157" t="str">
        <f>IF(H8="","",INDEX(DIFFERENTIATION_UNMERGE_AREA,MATCH(H8,DIFFERENTIATION_ID_DIFF,0)))</f>
        <v/>
      </c>
      <c r="I10" s="2468"/>
      <c r="R10" s="1016"/>
      <c r="S10" s="1099">
        <v>15</v>
      </c>
    </row>
    <row s="17239" customFormat="1" customHeight="1" ht="15.75">
      <c r="A11" s="1100"/>
      <c r="C11" s="517"/>
      <c r="D11" s="1052"/>
      <c r="E11" s="2708" t="s">
        <v>560</v>
      </c>
      <c r="F11" s="2709"/>
      <c r="G11" s="1157" t="str">
        <f>IF(G8="","",INDEX(DIFFERENTIATION_UNMERGE_SYSTEM,MATCH(G8,DIFFERENTIATION_ID_DIFF,0)))</f>
        <v/>
      </c>
      <c r="H11" s="1157" t="str">
        <f>IF(H8="","",INDEX(DIFFERENTIATION_UNMERGE_SYSTEM,MATCH(H8,DIFFERENTIATION_ID_DIFF,0)))</f>
        <v>без дифференциации</v>
      </c>
      <c r="I11" s="2468"/>
      <c r="R11" s="1016"/>
      <c r="S11" s="1099">
        <v>15</v>
      </c>
    </row>
    <row s="17239" customFormat="1" customHeight="1" ht="15.75">
      <c r="A12" s="1100"/>
      <c r="C12" s="517"/>
      <c r="D12" s="2710" t="s">
        <v>295</v>
      </c>
      <c r="E12" s="2711"/>
      <c r="F12" s="2711"/>
      <c r="G12" s="1228"/>
      <c r="H12" s="1228"/>
      <c r="I12" s="2468"/>
      <c r="R12" s="1016"/>
      <c r="S12" s="1099">
        <v>15</v>
      </c>
    </row>
    <row customHeight="1" ht="35.699999999999996">
      <c r="C13" s="517"/>
      <c r="D13" s="1102" t="s">
        <v>88</v>
      </c>
      <c r="E13" s="1101" t="s">
        <v>297</v>
      </c>
      <c r="F13" s="1101" t="s">
        <v>561</v>
      </c>
      <c r="G13" s="1149" t="s">
        <v>298</v>
      </c>
      <c r="H13" s="1095" t="s">
        <v>298</v>
      </c>
      <c r="I13" s="2468"/>
      <c r="S13" s="846">
        <v>34</v>
      </c>
    </row>
    <row customHeight="1" ht="15" hidden="1">
      <c r="C14" s="517"/>
      <c r="D14" s="934" t="s">
        <v>106</v>
      </c>
      <c r="E14" s="934" t="s">
        <v>107</v>
      </c>
      <c r="F14" s="934" t="s">
        <v>90</v>
      </c>
      <c r="G14" s="1000" t="str">
        <f>G1&amp;".1"</f>
        <v>.1</v>
      </c>
      <c r="H14" s="1000" t="str">
        <f>H1&amp;".1"</f>
        <v>4.1</v>
      </c>
      <c r="I14" s="630"/>
      <c r="S14" s="846">
        <v>0</v>
      </c>
    </row>
    <row customHeight="1" ht="15.75">
      <c r="A15" s="846"/>
      <c r="C15" s="867"/>
      <c r="D15" s="862">
        <v>1</v>
      </c>
      <c r="E15" s="2271" t="str">
        <f>TP_P_A</f>
        <v>Количество поданных заявок</v>
      </c>
      <c r="F15" s="862" t="s">
        <v>1295</v>
      </c>
      <c r="G15" s="1026"/>
      <c r="H15" s="1026"/>
      <c r="I15" s="54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846">
        <v>15</v>
      </c>
    </row>
    <row customHeight="1" ht="15.75">
      <c r="A16" s="846"/>
      <c r="C16" s="867"/>
      <c r="D16" s="862">
        <v>2</v>
      </c>
      <c r="E16" s="2271" t="str">
        <f>TP_P_B</f>
        <v>Количество рассмотренных заявок</v>
      </c>
      <c r="F16" s="862" t="s">
        <v>1295</v>
      </c>
      <c r="G16" s="1026"/>
      <c r="H16" s="1026"/>
      <c r="I16" s="54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846">
        <v>15</v>
      </c>
    </row>
    <row customHeight="1" ht="77.7">
      <c r="A17" s="846"/>
      <c r="C17" s="867"/>
      <c r="D17" s="862">
        <v>3</v>
      </c>
      <c r="E17" s="227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862" t="s">
        <v>1295</v>
      </c>
      <c r="G17" s="1026"/>
      <c r="H17" s="1026"/>
      <c r="I17" s="549" t="str">
        <f>TP_P_NOTE_V</f>
        <v>Указывается количество заявок с решением об отказе в течение отчетного квартала.</v>
      </c>
      <c r="S17" s="846">
        <v>74</v>
      </c>
    </row>
    <row customHeight="1" ht="54.75">
      <c r="A18" s="846"/>
      <c r="C18" s="867"/>
      <c r="D18" s="862">
        <v>4</v>
      </c>
      <c r="E18" s="2271" t="str">
        <f>TP_P_V_1</f>
        <v>Причины отказа в заключении договора о подключении (технологическом присоединении) к системе теплоснабжения</v>
      </c>
      <c r="F18" s="862" t="s">
        <v>301</v>
      </c>
      <c r="G18" s="1027"/>
      <c r="H18" s="1027"/>
      <c r="I18" s="1179"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846">
        <v>52</v>
      </c>
    </row>
    <row customHeight="1" ht="60">
      <c r="A19" s="846"/>
      <c r="C19" s="867"/>
      <c r="D19" s="862">
        <v>5</v>
      </c>
      <c r="E19" s="2271" t="str">
        <f>TP_P_G</f>
        <v>Резерв мощности источников тепловой энергии, входящих в систему теплоснабжения, в течение одного квартала, в том числе:</v>
      </c>
      <c r="F19" s="862" t="str">
        <f>IF(TEMPLATE_SPHERE="HEAT","Гкал/час","тыс. куб. м/сутки")</f>
        <v>Гкал/час</v>
      </c>
      <c r="G19" s="1028">
        <f>SUM(G20:G22)</f>
        <v>0</v>
      </c>
      <c r="H19" s="1028">
        <f>SUM(H20:H22)</f>
        <v>0</v>
      </c>
      <c r="I19" s="549"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846">
        <v>57</v>
      </c>
    </row>
    <row customHeight="1" ht="15" hidden="1">
      <c r="D20" s="850" t="s">
        <v>1296</v>
      </c>
      <c r="E20" s="1029"/>
      <c r="F20" s="850"/>
      <c r="G20" s="850"/>
      <c r="H20" s="850"/>
      <c r="I20" s="2104"/>
      <c r="S20" s="846">
        <v>0</v>
      </c>
    </row>
    <row customHeight="1" ht="29.25">
      <c r="C21" s="792"/>
      <c r="D21" s="880" t="s">
        <v>308</v>
      </c>
      <c r="E21" s="1011"/>
      <c r="F21" s="2102" t="str">
        <f>IF(TEMPLATE_SPHERE="HEAT","Гкал/час","тыс. куб. м/сутки")</f>
        <v>Гкал/час</v>
      </c>
      <c r="G21" s="1021"/>
      <c r="H21" s="1021"/>
      <c r="I21" s="2510"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846">
        <v>28</v>
      </c>
    </row>
    <row customHeight="1" ht="15.75">
      <c r="A22" s="846"/>
      <c r="C22" s="846"/>
      <c r="D22" s="688"/>
      <c r="E22" s="921" t="s">
        <v>1297</v>
      </c>
      <c r="F22" s="913"/>
      <c r="G22" s="913"/>
      <c r="H22" s="913"/>
      <c r="I22" s="2512"/>
      <c r="R22" s="846"/>
      <c r="S22" s="846">
        <v>15</v>
      </c>
    </row>
    <row customHeight="1" ht="22.5" hidden="1">
      <c r="A23" s="790" t="s">
        <v>82</v>
      </c>
      <c r="B23" s="846">
        <v>0</v>
      </c>
      <c r="C23" s="1024">
        <v>4</v>
      </c>
      <c r="D23" s="846">
        <v>6</v>
      </c>
      <c r="E23" s="846">
        <v>36</v>
      </c>
      <c r="F23" s="846">
        <v>9</v>
      </c>
      <c r="G23" s="1099">
        <v>0</v>
      </c>
      <c r="H23" s="846">
        <v>40</v>
      </c>
      <c r="I23" s="758">
        <v>93</v>
      </c>
      <c r="J23" s="846">
        <v>10</v>
      </c>
      <c r="K23" s="846">
        <v>10</v>
      </c>
      <c r="L23" s="846">
        <v>10</v>
      </c>
      <c r="M23" s="846">
        <v>10</v>
      </c>
      <c r="N23" s="846">
        <v>10</v>
      </c>
      <c r="O23" s="846">
        <v>10</v>
      </c>
      <c r="P23" s="846">
        <v>10</v>
      </c>
      <c r="Q23" s="846">
        <v>10</v>
      </c>
      <c r="R23" s="1016">
        <v>10</v>
      </c>
      <c r="S23" s="846">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71924F-0951-5911-3C31-0.558687CE28}"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18078" width="9.140625" hidden="1" customWidth="1"/>
    <col min="2" max="2" style="17315" width="9.140625" hidden="1" customWidth="1"/>
    <col min="3" max="3" style="18079" width="3.00390625" customWidth="1"/>
    <col min="4" max="4" style="17239" width="6.00390625" customWidth="1"/>
    <col min="5" max="6" style="17239" width="64.00390625" customWidth="1"/>
    <col min="7" max="7" style="17239" width="140.00390625" customWidth="1"/>
    <col min="8" max="8" style="17239" width="10.00390625" customWidth="1"/>
    <col min="9" max="10" style="17405" width="10.00390625" customWidth="1"/>
    <col min="11" max="16" style="17239" width="10.00390625" customWidth="1"/>
    <col min="17" max="17" style="17239" width="10.57421875" hidden="1"/>
  </cols>
  <sheetData>
    <row customHeight="1" ht="22.5" hidden="1">
      <c r="M1" s="596"/>
      <c r="N1" s="596"/>
      <c r="P1" s="596"/>
      <c r="Q1" s="424" t="s">
        <v>14</v>
      </c>
    </row>
    <row customHeight="1" ht="14.25" hidden="1">
      <c r="Q2" s="424">
        <v>0</v>
      </c>
    </row>
    <row customHeight="1" ht="14.25" hidden="1">
      <c r="Q3" s="424">
        <v>0</v>
      </c>
    </row>
    <row customHeight="1" ht="3">
      <c r="C4" s="437"/>
      <c r="D4" s="425"/>
      <c r="E4" s="425"/>
      <c r="F4" s="426"/>
      <c r="G4" s="426"/>
      <c r="Q4" s="424">
        <v>3</v>
      </c>
    </row>
    <row customHeight="1" ht="29.25">
      <c r="C5" s="437"/>
      <c r="D5" s="279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96"/>
      <c r="F5" s="2796"/>
      <c r="G5" s="2797"/>
      <c r="Q5" s="424">
        <v>28</v>
      </c>
    </row>
    <row s="17239" customFormat="1" customHeight="1" ht="18.75">
      <c r="A6" s="1223"/>
      <c r="B6" s="758"/>
      <c r="C6" s="717"/>
      <c r="D6" s="2798" t="str">
        <f>IF(org=0,"Не определено",org)</f>
        <v>АО "ДГК"</v>
      </c>
      <c r="E6" s="2799"/>
      <c r="F6" s="2799"/>
      <c r="G6" s="2800"/>
      <c r="I6" s="841"/>
      <c r="J6" s="841"/>
      <c r="Q6" s="1099">
        <v>18</v>
      </c>
    </row>
    <row customHeight="1" ht="14.699999999999998">
      <c r="C7" s="437"/>
      <c r="D7" s="425"/>
      <c r="E7" s="436"/>
      <c r="F7" s="1093"/>
      <c r="G7" s="534"/>
      <c r="Q7" s="424">
        <v>14</v>
      </c>
    </row>
    <row s="17239" customFormat="1" customHeight="1" ht="1.05">
      <c r="A8" s="2010"/>
      <c r="B8" s="1501"/>
      <c r="C8" s="717"/>
      <c r="D8" s="704"/>
      <c r="E8" s="730"/>
      <c r="F8" s="1093"/>
      <c r="G8" s="534"/>
      <c r="I8" s="1965"/>
      <c r="J8" s="1965"/>
      <c r="Q8" s="1972">
        <v>1</v>
      </c>
    </row>
    <row customHeight="1" ht="14.699999999999998">
      <c r="C9" s="437"/>
      <c r="D9" s="2550" t="s">
        <v>295</v>
      </c>
      <c r="E9" s="2550"/>
      <c r="F9" s="2550"/>
      <c r="G9" s="2730" t="s">
        <v>296</v>
      </c>
      <c r="Q9" s="424">
        <v>14</v>
      </c>
    </row>
    <row customHeight="1" ht="24">
      <c r="C10" s="437"/>
      <c r="D10" s="446" t="s">
        <v>88</v>
      </c>
      <c r="E10" s="449" t="s">
        <v>297</v>
      </c>
      <c r="F10" s="449" t="s">
        <v>385</v>
      </c>
      <c r="G10" s="2730"/>
      <c r="Q10" s="424">
        <v>23</v>
      </c>
    </row>
    <row customHeight="1" ht="12" hidden="1">
      <c r="C11" s="437"/>
      <c r="D11" s="428"/>
      <c r="E11" s="428"/>
      <c r="F11" s="428"/>
      <c r="G11" s="428"/>
      <c r="Q11" s="424">
        <v>0</v>
      </c>
    </row>
    <row customHeight="1" ht="65.25">
      <c r="A12" s="533"/>
      <c r="C12" s="437"/>
      <c r="D12" s="488">
        <v>1</v>
      </c>
      <c r="E12" s="53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539" t="s">
        <v>301</v>
      </c>
      <c r="G12" s="492"/>
      <c r="Q12" s="424">
        <v>62</v>
      </c>
    </row>
    <row customHeight="1" ht="24">
      <c r="A13" s="533"/>
      <c r="C13" s="437"/>
      <c r="D13" s="488" t="s">
        <v>1199</v>
      </c>
      <c r="E13" s="53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39" t="s">
        <v>301</v>
      </c>
      <c r="G13" s="492"/>
      <c r="Q13" s="424">
        <v>23</v>
      </c>
    </row>
    <row customHeight="1" ht="14.699999999999998">
      <c r="A14" s="533"/>
      <c r="C14" s="437"/>
      <c r="D14" s="488" t="s">
        <v>1235</v>
      </c>
      <c r="E14" s="536"/>
      <c r="F14" s="554"/>
      <c r="G14" s="25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24">
        <v>14</v>
      </c>
    </row>
    <row customHeight="1" ht="15.75">
      <c r="A15" s="533"/>
      <c r="C15" s="437"/>
      <c r="D15" s="450"/>
      <c r="E15" s="690" t="s">
        <v>1298</v>
      </c>
      <c r="F15" s="542"/>
      <c r="G15" s="2512"/>
      <c r="Q15" s="424">
        <v>15</v>
      </c>
    </row>
    <row customHeight="1" ht="14.699999999999998">
      <c r="A16" s="533"/>
      <c r="C16" s="437"/>
      <c r="D16" s="488" t="s">
        <v>1201</v>
      </c>
      <c r="E16" s="53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539" t="s">
        <v>301</v>
      </c>
      <c r="G16" s="678"/>
      <c r="Q16" s="424">
        <v>14</v>
      </c>
    </row>
    <row customHeight="1" ht="14.699999999999998">
      <c r="A17" s="533"/>
      <c r="C17" s="437"/>
      <c r="D17" s="488" t="s">
        <v>1243</v>
      </c>
      <c r="E17" s="536"/>
      <c r="F17" s="726"/>
      <c r="G17" s="25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424">
        <v>14</v>
      </c>
    </row>
    <row s="17239" customFormat="1" customHeight="1" ht="22.049999999999997">
      <c r="A18" s="684"/>
      <c r="B18" s="487"/>
      <c r="C18" s="648"/>
      <c r="D18" s="688"/>
      <c r="E18" s="690" t="s">
        <v>1299</v>
      </c>
      <c r="F18" s="679"/>
      <c r="G18" s="2512"/>
      <c r="I18" s="691"/>
      <c r="J18" s="691"/>
      <c r="Q18" s="683">
        <v>21</v>
      </c>
    </row>
    <row s="17239" customFormat="1" customHeight="1" ht="256.5" hidden="1">
      <c r="A19" s="684"/>
      <c r="B19" s="758"/>
      <c r="C19" s="717"/>
      <c r="D19" s="1225" t="s">
        <v>1203</v>
      </c>
      <c r="E19" s="1224" t="s">
        <v>1300</v>
      </c>
      <c r="F19" s="726"/>
      <c r="G19" s="678" t="s">
        <v>1301</v>
      </c>
      <c r="I19" s="841"/>
      <c r="J19" s="841"/>
      <c r="Q19" s="1099">
        <v>0</v>
      </c>
    </row>
    <row s="17239" customFormat="1" customHeight="1" ht="14.699999999999998">
      <c r="A20" s="684"/>
      <c r="B20" s="487"/>
      <c r="C20" s="648"/>
      <c r="D20" s="1226">
        <v>2</v>
      </c>
      <c r="E20" s="671" t="s">
        <v>1302</v>
      </c>
      <c r="F20" s="539" t="s">
        <v>301</v>
      </c>
      <c r="G20" s="678"/>
      <c r="I20" s="691"/>
      <c r="J20" s="691"/>
      <c r="Q20" s="683">
        <v>14</v>
      </c>
    </row>
    <row s="17239" customFormat="1" customHeight="1" ht="18.75" hidden="1">
      <c r="A21" s="684"/>
      <c r="B21" s="487"/>
      <c r="C21" s="648"/>
      <c r="D21" s="674" t="s">
        <v>631</v>
      </c>
      <c r="E21" s="673"/>
      <c r="F21" s="672"/>
      <c r="G21" s="682"/>
      <c r="H21" s="675"/>
      <c r="I21" s="691"/>
      <c r="J21" s="691"/>
      <c r="Q21" s="683">
        <v>0</v>
      </c>
    </row>
    <row customHeight="1" ht="15.75">
      <c r="A22" s="533"/>
      <c r="C22" s="437"/>
      <c r="D22" s="450"/>
      <c r="E22" s="544" t="s">
        <v>317</v>
      </c>
      <c r="F22" s="679"/>
      <c r="G22" s="680"/>
      <c r="Q22" s="424">
        <v>15</v>
      </c>
    </row>
    <row s="17239" customFormat="1" customHeight="1" ht="22.5" hidden="1">
      <c r="A23" s="684"/>
      <c r="B23" s="1501"/>
      <c r="C23" s="717"/>
      <c r="D23" s="2014" t="s">
        <v>107</v>
      </c>
      <c r="E23" s="538" t="s">
        <v>1303</v>
      </c>
      <c r="F23" s="2011" t="s">
        <v>301</v>
      </c>
      <c r="G23" s="686"/>
      <c r="I23" s="1965"/>
      <c r="J23" s="1965"/>
      <c r="Q23" s="1972">
        <v>0</v>
      </c>
    </row>
    <row s="17239" customFormat="1" customHeight="1" ht="14.25" hidden="1">
      <c r="A24" s="684"/>
      <c r="B24" s="1501"/>
      <c r="C24" s="717"/>
      <c r="D24" s="2014" t="s">
        <v>704</v>
      </c>
      <c r="E24" s="2013" t="s">
        <v>1304</v>
      </c>
      <c r="F24" s="2011" t="s">
        <v>301</v>
      </c>
      <c r="G24" s="678"/>
      <c r="I24" s="1965"/>
      <c r="J24" s="1965"/>
      <c r="Q24" s="1972">
        <v>0</v>
      </c>
    </row>
    <row s="17239" customFormat="1" customHeight="1" ht="14.25" hidden="1">
      <c r="A25" s="684"/>
      <c r="B25" s="1501"/>
      <c r="C25" s="717"/>
      <c r="D25" s="2014" t="s">
        <v>707</v>
      </c>
      <c r="E25" s="536"/>
      <c r="F25" s="726"/>
      <c r="G25" s="2510" t="s">
        <v>1305</v>
      </c>
      <c r="I25" s="1965"/>
      <c r="J25" s="1965"/>
      <c r="Q25" s="1972">
        <v>0</v>
      </c>
    </row>
    <row s="17239" customFormat="1" customHeight="1" ht="22.5" hidden="1">
      <c r="A26" s="684"/>
      <c r="B26" s="1501"/>
      <c r="C26" s="717"/>
      <c r="D26" s="688"/>
      <c r="E26" s="690" t="s">
        <v>1306</v>
      </c>
      <c r="F26" s="679"/>
      <c r="G26" s="2512"/>
      <c r="I26" s="1965"/>
      <c r="J26" s="1965"/>
      <c r="Q26" s="1972">
        <v>0</v>
      </c>
    </row>
    <row customHeight="1" ht="3">
      <c r="Q27" s="424">
        <v>3</v>
      </c>
    </row>
    <row customHeight="1" ht="14.699999999999998">
      <c r="D28" s="677"/>
      <c r="E28" s="676"/>
      <c r="F28" s="656"/>
      <c r="G28" s="656"/>
      <c r="H28" s="656"/>
      <c r="I28" s="656"/>
      <c r="J28" s="656"/>
      <c r="K28" s="656"/>
      <c r="L28" s="656"/>
      <c r="M28" s="656"/>
      <c r="N28" s="656"/>
      <c r="O28" s="656"/>
      <c r="P28" s="656"/>
      <c r="Q28" s="424">
        <v>14</v>
      </c>
    </row>
    <row customHeight="1" ht="14.699999999999998">
      <c r="D29" s="677"/>
      <c r="E29" s="923"/>
      <c r="Q29" s="424">
        <v>14</v>
      </c>
    </row>
    <row customHeight="1" ht="14.699999999999998">
      <c r="Q30" s="424">
        <v>14</v>
      </c>
    </row>
    <row customHeight="1" ht="14.699999999999998">
      <c r="E31" s="1099"/>
      <c r="Q31" s="424">
        <v>14</v>
      </c>
    </row>
    <row customHeight="1" ht="22.5" hidden="1">
      <c r="A32" s="442" t="s">
        <v>82</v>
      </c>
      <c r="B32" s="487">
        <v>0</v>
      </c>
      <c r="C32" s="438">
        <v>3</v>
      </c>
      <c r="D32" s="424">
        <v>6</v>
      </c>
      <c r="E32" s="424">
        <v>64</v>
      </c>
      <c r="F32" s="424">
        <v>64</v>
      </c>
      <c r="G32" s="424">
        <v>140</v>
      </c>
      <c r="H32" s="424">
        <v>10</v>
      </c>
      <c r="I32" s="496">
        <v>10</v>
      </c>
      <c r="J32" s="496">
        <v>10</v>
      </c>
      <c r="K32" s="424">
        <v>10</v>
      </c>
      <c r="L32" s="424">
        <v>10</v>
      </c>
      <c r="M32" s="424">
        <v>10</v>
      </c>
      <c r="N32" s="424">
        <v>10</v>
      </c>
      <c r="O32" s="424">
        <v>10</v>
      </c>
      <c r="P32" s="424">
        <v>10</v>
      </c>
      <c r="Q32" s="424">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167EE3-E37C-A6ED-CCBF-B353AC555BCA}"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8077" width="9.140625" hidden="1" customWidth="1"/>
    <col min="2" max="2" style="17315" width="9.140625" hidden="1" customWidth="1"/>
    <col min="3" max="3" style="18079" width="3.00390625" customWidth="1"/>
    <col min="4" max="4" style="17239" width="6.00390625" customWidth="1"/>
    <col min="5" max="5" style="17239" width="63.00390625" customWidth="1"/>
    <col min="6" max="6" style="17239" width="1.7109375" hidden="1" customWidth="1"/>
    <col min="7" max="8" style="17239" width="35.00390625" customWidth="1"/>
    <col min="9" max="9" style="17239" width="91.00390625" customWidth="1"/>
    <col min="10" max="10" style="17239" width="68.00390625" customWidth="1"/>
    <col min="11" max="12" style="17405" width="10.00390625" customWidth="1"/>
    <col min="13" max="13" style="17239" width="10.57421875" hidden="1"/>
  </cols>
  <sheetData>
    <row customHeight="1" ht="22.5" hidden="1">
      <c r="M1" s="424" t="s">
        <v>14</v>
      </c>
    </row>
    <row s="17239" customFormat="1" customHeight="1" ht="18.75" hidden="1">
      <c r="A2" s="2024"/>
      <c r="B2" s="1501"/>
      <c r="C2" s="2071" t="s">
        <v>684</v>
      </c>
      <c r="D2" s="2014"/>
      <c r="E2" s="540"/>
      <c r="F2" s="2011"/>
      <c r="G2" s="2011" t="s">
        <v>301</v>
      </c>
      <c r="H2" s="1502"/>
      <c r="K2" s="1965"/>
      <c r="L2" s="1965"/>
      <c r="M2" s="1972">
        <v>0</v>
      </c>
    </row>
    <row s="17239" customFormat="1" customHeight="1" ht="14.25" hidden="1">
      <c r="A3" s="1703"/>
      <c r="B3" s="1501"/>
      <c r="C3" s="685"/>
      <c r="K3" s="1965"/>
      <c r="L3" s="1965"/>
      <c r="M3" s="1972">
        <v>0</v>
      </c>
    </row>
    <row s="17239" customFormat="1" customHeight="1" ht="18.75" hidden="1">
      <c r="A4" s="2024"/>
      <c r="B4" s="1501"/>
      <c r="C4" s="2071" t="s">
        <v>684</v>
      </c>
      <c r="D4" s="2014"/>
      <c r="E4" s="546" t="s">
        <v>1307</v>
      </c>
      <c r="F4" s="2011"/>
      <c r="G4" s="598"/>
      <c r="H4" s="2011" t="s">
        <v>301</v>
      </c>
      <c r="K4" s="1965"/>
      <c r="L4" s="1965"/>
      <c r="M4" s="1972">
        <v>0</v>
      </c>
    </row>
    <row s="17239" customFormat="1" customHeight="1" ht="14.25" hidden="1">
      <c r="A5" s="1703"/>
      <c r="B5" s="1501"/>
      <c r="C5" s="685"/>
      <c r="K5" s="1965"/>
      <c r="L5" s="1965"/>
      <c r="M5" s="1972">
        <v>0</v>
      </c>
    </row>
    <row s="17239" customFormat="1" customHeight="1" ht="18.75" hidden="1">
      <c r="A6" s="2024"/>
      <c r="B6" s="1501"/>
      <c r="C6" s="2071" t="s">
        <v>684</v>
      </c>
      <c r="D6" s="2014"/>
      <c r="E6" s="547" t="s">
        <v>1308</v>
      </c>
      <c r="F6" s="2011"/>
      <c r="G6" s="598"/>
      <c r="H6" s="2011" t="s">
        <v>301</v>
      </c>
      <c r="K6" s="1965"/>
      <c r="L6" s="1965"/>
      <c r="M6" s="1972">
        <v>0</v>
      </c>
    </row>
    <row s="17239" customFormat="1" customHeight="1" ht="14.25" hidden="1">
      <c r="A7" s="1703"/>
      <c r="B7" s="1501"/>
      <c r="C7" s="685"/>
      <c r="K7" s="1965"/>
      <c r="L7" s="1965"/>
      <c r="M7" s="1972">
        <v>0</v>
      </c>
    </row>
    <row s="17239" customFormat="1" customHeight="1" ht="18.75" hidden="1">
      <c r="A8" s="2024"/>
      <c r="B8" s="1501"/>
      <c r="C8" s="2071" t="s">
        <v>684</v>
      </c>
      <c r="D8" s="2014"/>
      <c r="E8" s="547" t="s">
        <v>1309</v>
      </c>
      <c r="F8" s="2011"/>
      <c r="G8" s="598"/>
      <c r="H8" s="2011" t="s">
        <v>301</v>
      </c>
      <c r="K8" s="1965"/>
      <c r="L8" s="1965"/>
      <c r="M8" s="1972">
        <v>0</v>
      </c>
    </row>
    <row s="17239" customFormat="1" customHeight="1" ht="14.25" hidden="1">
      <c r="A9" s="1703"/>
      <c r="B9" s="1501"/>
      <c r="C9" s="685"/>
      <c r="K9" s="1965"/>
      <c r="L9" s="1965"/>
      <c r="M9" s="1972">
        <v>0</v>
      </c>
    </row>
    <row s="17239" customFormat="1" customHeight="1" ht="18.75" hidden="1">
      <c r="A10" s="2024"/>
      <c r="B10" s="1501"/>
      <c r="C10" s="2071" t="s">
        <v>684</v>
      </c>
      <c r="D10" s="2014"/>
      <c r="E10" s="547" t="s">
        <v>1310</v>
      </c>
      <c r="F10" s="2011"/>
      <c r="G10" s="2015"/>
      <c r="H10" s="2011" t="s">
        <v>301</v>
      </c>
      <c r="K10" s="1965"/>
      <c r="L10" s="1965" t="s">
        <v>1311</v>
      </c>
      <c r="M10" s="1972">
        <v>0</v>
      </c>
    </row>
    <row customHeight="1" ht="14.25" hidden="1">
      <c r="M11" s="424">
        <v>0</v>
      </c>
    </row>
    <row customHeight="1" ht="14.25" hidden="1">
      <c r="M12" s="424">
        <v>0</v>
      </c>
    </row>
    <row customHeight="1" ht="14.699999999999998">
      <c r="C13" s="437"/>
      <c r="D13" s="425"/>
      <c r="E13" s="425"/>
      <c r="F13" s="425"/>
      <c r="G13" s="425"/>
      <c r="H13" s="426"/>
      <c r="I13" s="426"/>
      <c r="M13" s="424">
        <v>14</v>
      </c>
    </row>
    <row customHeight="1" ht="29.25">
      <c r="C14" s="437"/>
      <c r="D14" s="279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96"/>
      <c r="F14" s="2796"/>
      <c r="G14" s="2796"/>
      <c r="H14" s="2797"/>
      <c r="J14" s="1972"/>
      <c r="M14" s="424">
        <v>28</v>
      </c>
    </row>
    <row s="17239" customFormat="1" customHeight="1" ht="14.699999999999998">
      <c r="A15" s="1703"/>
      <c r="B15" s="1501"/>
      <c r="C15" s="717"/>
      <c r="D15" s="2798" t="str">
        <f>IF(org=0,"Не определено",org)</f>
        <v>АО "ДГК"</v>
      </c>
      <c r="E15" s="2799"/>
      <c r="F15" s="2799"/>
      <c r="G15" s="2799"/>
      <c r="H15" s="2800"/>
      <c r="J15" s="1193"/>
      <c r="K15" s="1965"/>
      <c r="L15" s="1965"/>
      <c r="M15" s="1972">
        <v>14</v>
      </c>
    </row>
    <row customHeight="1" ht="14.699999999999998">
      <c r="C16" s="437"/>
      <c r="D16" s="425"/>
      <c r="E16" s="436"/>
      <c r="F16" s="436"/>
      <c r="G16" s="436"/>
      <c r="H16" s="1093"/>
      <c r="I16" s="534"/>
      <c r="M16" s="424">
        <v>14</v>
      </c>
    </row>
    <row s="17239" customFormat="1" customHeight="1" ht="14.25" hidden="1">
      <c r="A17" s="1703"/>
      <c r="B17" s="1501"/>
      <c r="C17" s="717"/>
      <c r="D17" s="704"/>
      <c r="E17" s="730"/>
      <c r="F17" s="730"/>
      <c r="G17" s="730"/>
      <c r="H17" s="1093"/>
      <c r="I17" s="534"/>
      <c r="K17" s="1965"/>
      <c r="L17" s="1965"/>
      <c r="M17" s="1972">
        <v>0</v>
      </c>
    </row>
    <row customHeight="1" ht="22.049999999999997">
      <c r="C18" s="437"/>
      <c r="D18" s="2550" t="s">
        <v>295</v>
      </c>
      <c r="E18" s="2550"/>
      <c r="F18" s="2550"/>
      <c r="G18" s="2550"/>
      <c r="H18" s="2550"/>
      <c r="I18" s="2730" t="s">
        <v>296</v>
      </c>
      <c r="M18" s="424">
        <v>21</v>
      </c>
    </row>
    <row customHeight="1" ht="22.049999999999997">
      <c r="C19" s="437"/>
      <c r="D19" s="446" t="s">
        <v>88</v>
      </c>
      <c r="E19" s="449" t="s">
        <v>297</v>
      </c>
      <c r="F19" s="449"/>
      <c r="G19" s="449" t="s">
        <v>298</v>
      </c>
      <c r="H19" s="449" t="s">
        <v>385</v>
      </c>
      <c r="I19" s="2730"/>
      <c r="M19" s="424">
        <v>21</v>
      </c>
    </row>
    <row customHeight="1" ht="12" hidden="1">
      <c r="C20" s="437"/>
      <c r="D20" s="428"/>
      <c r="E20" s="428"/>
      <c r="F20" s="428"/>
      <c r="G20" s="428"/>
      <c r="H20" s="428"/>
      <c r="I20" s="428"/>
      <c r="M20" s="424">
        <v>0</v>
      </c>
    </row>
    <row customHeight="1" ht="14.699999999999998">
      <c r="A21" s="2024"/>
      <c r="C21" s="437"/>
      <c r="D21" s="488">
        <v>1</v>
      </c>
      <c r="E21" s="2802" t="s">
        <v>1312</v>
      </c>
      <c r="F21" s="2802"/>
      <c r="G21" s="2802"/>
      <c r="H21" s="2802"/>
      <c r="I21" s="549"/>
      <c r="M21" s="424">
        <v>14</v>
      </c>
    </row>
    <row customHeight="1" ht="21">
      <c r="A22" s="2024"/>
      <c r="C22" s="437"/>
      <c r="D22" s="488" t="s">
        <v>1199</v>
      </c>
      <c r="E22" s="535" t="s">
        <v>1313</v>
      </c>
      <c r="F22" s="539"/>
      <c r="G22" s="2078"/>
      <c r="H22" s="539" t="s">
        <v>301</v>
      </c>
      <c r="I22" s="492" t="s">
        <v>1314</v>
      </c>
      <c r="M22" s="424">
        <v>20</v>
      </c>
    </row>
    <row customHeight="1" ht="60">
      <c r="A23" s="2024"/>
      <c r="C23" s="437"/>
      <c r="D23" s="488" t="s">
        <v>1201</v>
      </c>
      <c r="E23" s="535" t="s">
        <v>1315</v>
      </c>
      <c r="F23" s="539"/>
      <c r="G23" s="598"/>
      <c r="H23" s="554"/>
      <c r="I23" s="599" t="s">
        <v>1316</v>
      </c>
      <c r="M23" s="424">
        <v>57</v>
      </c>
    </row>
    <row customHeight="1" ht="14.699999999999998">
      <c r="A24" s="2024"/>
      <c r="B24" s="487">
        <v>3</v>
      </c>
      <c r="C24" s="437"/>
      <c r="D24" s="488">
        <v>2</v>
      </c>
      <c r="E24" s="56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539"/>
      <c r="G24" s="539" t="s">
        <v>301</v>
      </c>
      <c r="H24" s="554"/>
      <c r="I24" s="600" t="s">
        <v>626</v>
      </c>
      <c r="M24" s="424">
        <v>14</v>
      </c>
    </row>
    <row customHeight="1" ht="48.29999999999999">
      <c r="A25" s="2024"/>
      <c r="C25" s="437"/>
      <c r="D25" s="488">
        <v>3</v>
      </c>
      <c r="E25" s="280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01"/>
      <c r="G25" s="2801"/>
      <c r="H25" s="2801"/>
      <c r="I25" s="597"/>
      <c r="M25" s="424">
        <v>46</v>
      </c>
    </row>
    <row customHeight="1" ht="14.699999999999998">
      <c r="A26" s="2024"/>
      <c r="C26" s="437"/>
      <c r="D26" s="488" t="s">
        <v>319</v>
      </c>
      <c r="E26" s="540"/>
      <c r="F26" s="539"/>
      <c r="G26" s="539" t="s">
        <v>301</v>
      </c>
      <c r="H26" s="554"/>
      <c r="I26" s="2510" t="s">
        <v>1317</v>
      </c>
      <c r="M26" s="424">
        <v>14</v>
      </c>
    </row>
    <row customHeight="1" ht="15.75">
      <c r="A27" s="2024" t="s">
        <v>106</v>
      </c>
      <c r="C27" s="437"/>
      <c r="D27" s="450"/>
      <c r="E27" s="544" t="s">
        <v>317</v>
      </c>
      <c r="F27" s="545"/>
      <c r="G27" s="545"/>
      <c r="H27" s="542"/>
      <c r="I27" s="2512"/>
      <c r="M27" s="424">
        <v>15</v>
      </c>
    </row>
    <row customHeight="1" ht="39.75">
      <c r="A28" s="2024"/>
      <c r="B28" s="487">
        <v>3</v>
      </c>
      <c r="C28" s="437"/>
      <c r="D28" s="488">
        <v>4</v>
      </c>
      <c r="E28" s="280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01"/>
      <c r="G28" s="2801"/>
      <c r="H28" s="2801"/>
      <c r="I28" s="597"/>
      <c r="M28" s="424">
        <v>38</v>
      </c>
    </row>
    <row customHeight="1" ht="21">
      <c r="A29" s="2024"/>
      <c r="C29" s="437"/>
      <c r="D29" s="488" t="s">
        <v>749</v>
      </c>
      <c r="E29" s="546" t="s">
        <v>1307</v>
      </c>
      <c r="F29" s="539"/>
      <c r="G29" s="598"/>
      <c r="H29" s="539" t="s">
        <v>301</v>
      </c>
      <c r="I29" s="2510" t="s">
        <v>1318</v>
      </c>
      <c r="M29" s="424">
        <v>20</v>
      </c>
    </row>
    <row customHeight="1" ht="15.75">
      <c r="A30" s="2024" t="s">
        <v>107</v>
      </c>
      <c r="C30" s="437"/>
      <c r="D30" s="450"/>
      <c r="E30" s="544" t="s">
        <v>317</v>
      </c>
      <c r="F30" s="545"/>
      <c r="G30" s="545"/>
      <c r="H30" s="542"/>
      <c r="I30" s="2512"/>
      <c r="M30" s="424">
        <v>15</v>
      </c>
    </row>
    <row customHeight="1" ht="31.5">
      <c r="A31" s="2024"/>
      <c r="B31" s="487">
        <v>3</v>
      </c>
      <c r="C31" s="437"/>
      <c r="D31" s="488">
        <v>5</v>
      </c>
      <c r="E31" s="280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01"/>
      <c r="G31" s="2801"/>
      <c r="H31" s="2801"/>
      <c r="I31" s="597"/>
      <c r="M31" s="424">
        <v>30</v>
      </c>
    </row>
    <row customHeight="1" ht="27.299999999999997">
      <c r="A32" s="2024"/>
      <c r="C32" s="437"/>
      <c r="D32" s="488" t="s">
        <v>308</v>
      </c>
      <c r="E32" s="274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44"/>
      <c r="G32" s="2744"/>
      <c r="H32" s="2744"/>
      <c r="I32" s="597"/>
      <c r="M32" s="424">
        <v>26</v>
      </c>
    </row>
    <row customHeight="1" ht="14.699999999999998">
      <c r="A33" s="2024"/>
      <c r="C33" s="437"/>
      <c r="D33" s="488" t="s">
        <v>1319</v>
      </c>
      <c r="E33" s="547" t="s">
        <v>1308</v>
      </c>
      <c r="F33" s="539"/>
      <c r="G33" s="598"/>
      <c r="H33" s="539" t="s">
        <v>301</v>
      </c>
      <c r="I33" s="2510" t="s">
        <v>1320</v>
      </c>
      <c r="M33" s="424">
        <v>14</v>
      </c>
    </row>
    <row customHeight="1" ht="15.75">
      <c r="A34" s="2024" t="s">
        <v>90</v>
      </c>
      <c r="C34" s="437"/>
      <c r="D34" s="450"/>
      <c r="E34" s="545" t="s">
        <v>317</v>
      </c>
      <c r="F34" s="541"/>
      <c r="G34" s="541"/>
      <c r="H34" s="542"/>
      <c r="I34" s="2512"/>
      <c r="M34" s="424">
        <v>15</v>
      </c>
    </row>
    <row customHeight="1" ht="25.2">
      <c r="A35" s="2024"/>
      <c r="C35" s="437"/>
      <c r="D35" s="488" t="s">
        <v>877</v>
      </c>
      <c r="E35" s="274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44"/>
      <c r="G35" s="2744"/>
      <c r="H35" s="2744"/>
      <c r="I35" s="597"/>
      <c r="M35" s="424">
        <v>24</v>
      </c>
    </row>
    <row customHeight="1" ht="14.699999999999998">
      <c r="A36" s="2024"/>
      <c r="C36" s="437"/>
      <c r="D36" s="488" t="s">
        <v>1321</v>
      </c>
      <c r="E36" s="547" t="s">
        <v>1309</v>
      </c>
      <c r="F36" s="539"/>
      <c r="G36" s="598"/>
      <c r="H36" s="539" t="s">
        <v>301</v>
      </c>
      <c r="I36" s="2484" t="s">
        <v>1322</v>
      </c>
      <c r="M36" s="424">
        <v>14</v>
      </c>
    </row>
    <row customHeight="1" ht="15.75">
      <c r="A37" s="2024" t="s">
        <v>91</v>
      </c>
      <c r="C37" s="437"/>
      <c r="D37" s="450"/>
      <c r="E37" s="545" t="s">
        <v>317</v>
      </c>
      <c r="F37" s="541"/>
      <c r="G37" s="541"/>
      <c r="H37" s="542"/>
      <c r="I37" s="2484"/>
      <c r="M37" s="424">
        <v>15</v>
      </c>
    </row>
    <row customHeight="1" ht="27.299999999999997">
      <c r="A38" s="2024"/>
      <c r="C38" s="437"/>
      <c r="D38" s="488" t="s">
        <v>878</v>
      </c>
      <c r="E38" s="274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44"/>
      <c r="G38" s="2744"/>
      <c r="H38" s="2744"/>
      <c r="I38" s="597"/>
      <c r="M38" s="424">
        <v>26</v>
      </c>
    </row>
    <row customHeight="1" ht="14.699999999999998">
      <c r="A39" s="2024"/>
      <c r="C39" s="437"/>
      <c r="D39" s="488" t="s">
        <v>879</v>
      </c>
      <c r="E39" s="547" t="s">
        <v>1310</v>
      </c>
      <c r="F39" s="539"/>
      <c r="G39" s="548"/>
      <c r="H39" s="539" t="s">
        <v>301</v>
      </c>
      <c r="I39" s="2510" t="s">
        <v>1323</v>
      </c>
      <c r="L39" s="496" t="s">
        <v>1311</v>
      </c>
      <c r="M39" s="424">
        <v>14</v>
      </c>
    </row>
    <row customHeight="1" ht="15.75">
      <c r="A40" s="2024" t="s">
        <v>108</v>
      </c>
      <c r="C40" s="437"/>
      <c r="D40" s="450"/>
      <c r="E40" s="545" t="s">
        <v>317</v>
      </c>
      <c r="F40" s="541"/>
      <c r="G40" s="541"/>
      <c r="H40" s="542"/>
      <c r="I40" s="2512"/>
      <c r="M40" s="424">
        <v>15</v>
      </c>
    </row>
    <row s="19333" customFormat="1" customHeight="1" ht="3">
      <c r="A41" s="2024"/>
      <c r="K41" s="537"/>
      <c r="L41" s="537"/>
      <c r="M41" s="481">
        <v>3</v>
      </c>
    </row>
    <row customHeight="1" ht="26.25">
      <c r="D42" s="2022" t="s">
        <v>799</v>
      </c>
      <c r="E42" s="262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26"/>
      <c r="G42" s="2626"/>
      <c r="H42" s="2626"/>
      <c r="I42" s="2626"/>
      <c r="M42" s="424">
        <v>25</v>
      </c>
    </row>
    <row customHeight="1" ht="22.5" hidden="1">
      <c r="A43" s="1703" t="s">
        <v>82</v>
      </c>
      <c r="B43" s="487">
        <v>0</v>
      </c>
      <c r="C43" s="438">
        <v>3</v>
      </c>
      <c r="D43" s="424">
        <v>6</v>
      </c>
      <c r="E43" s="424">
        <v>63</v>
      </c>
      <c r="F43" s="424">
        <v>0</v>
      </c>
      <c r="G43" s="424">
        <v>35</v>
      </c>
      <c r="H43" s="424">
        <v>35</v>
      </c>
      <c r="I43" s="424">
        <v>91</v>
      </c>
      <c r="J43" s="424">
        <v>68</v>
      </c>
      <c r="K43" s="496">
        <v>10</v>
      </c>
      <c r="L43" s="496">
        <v>10</v>
      </c>
      <c r="M43" s="424">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F5C64A-880A-863C-F015-1421B2449963}"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9372" width="25.140625" hidden="1" customWidth="1"/>
    <col min="3" max="3" style="19373" width="9.140625" hidden="1" customWidth="1"/>
    <col min="4" max="4" style="18079" width="3.00390625" customWidth="1"/>
    <col min="5" max="5" style="17239" width="6.00390625" customWidth="1"/>
    <col min="6" max="6" style="17239" width="46.7109375" customWidth="1"/>
    <col min="7" max="7" style="17239" width="35.00390625" customWidth="1"/>
    <col min="8" max="8" style="17239" width="3.00390625" customWidth="1"/>
    <col min="9" max="10" style="17239" width="11.00390625" customWidth="1"/>
    <col min="11" max="12" style="17239" width="35.00390625" customWidth="1"/>
    <col min="13" max="13" style="17239" width="84.00390625" customWidth="1"/>
    <col min="14" max="14" style="17239" width="10.00390625" customWidth="1"/>
    <col min="15" max="16" style="17405" width="10.00390625" customWidth="1"/>
    <col min="17" max="33" style="17239" width="10.00390625" customWidth="1"/>
    <col min="34" max="34" style="17239" width="10.57421875" hidden="1"/>
  </cols>
  <sheetData>
    <row s="17239" customFormat="1" customHeight="1" ht="22.5" hidden="1">
      <c r="A1" s="2120"/>
      <c r="B1" s="2120"/>
      <c r="C1" s="710"/>
      <c r="D1" s="685"/>
      <c r="N1" s="1977">
        <f>_xlfn.IFERROR(MATCH("метод экономически обоснованных расходов (затрат)",OFFER_METHOD,0),0)</f>
        <v>0</v>
      </c>
      <c r="O1" s="1965"/>
      <c r="P1" s="1965"/>
      <c r="T1" s="1172"/>
      <c r="AG1" s="596"/>
      <c r="AH1" s="1972" t="s">
        <v>14</v>
      </c>
    </row>
    <row s="17239" customFormat="1" customHeight="1" ht="18.75" hidden="1">
      <c r="A2" s="2121" t="s">
        <v>152</v>
      </c>
      <c r="B2" s="2121" t="s">
        <v>153</v>
      </c>
      <c r="C2" s="710"/>
      <c r="D2" s="685"/>
      <c r="E2" s="1372"/>
      <c r="F2" s="1372"/>
      <c r="G2" s="2768" t="str">
        <f>INDEX(PT_DIFFERENTIATION_NTAR,MATCH(B2,PT_DIFFERENTIATION_NTAR_ID,0))</f>
        <v/>
      </c>
      <c r="H2" s="2205"/>
      <c r="I2" s="2080"/>
      <c r="J2" s="2114"/>
      <c r="K2" s="2206"/>
      <c r="L2" s="2205" t="s">
        <v>301</v>
      </c>
      <c r="M2" s="2216"/>
      <c r="N2" s="675"/>
      <c r="O2" s="1965"/>
      <c r="P2" s="1965"/>
      <c r="AH2" s="1972">
        <v>0</v>
      </c>
    </row>
    <row s="17239" customFormat="1" customHeight="1" ht="18.75" hidden="1">
      <c r="A3" s="2121"/>
      <c r="B3" s="2121"/>
      <c r="C3" s="710" t="s">
        <v>1324</v>
      </c>
      <c r="D3" s="685"/>
      <c r="E3" s="1372"/>
      <c r="F3" s="1372"/>
      <c r="G3" s="2768"/>
      <c r="H3" s="1841"/>
      <c r="I3" s="992" t="s">
        <v>1325</v>
      </c>
      <c r="J3" s="912"/>
      <c r="K3" s="1841"/>
      <c r="L3" s="555"/>
      <c r="M3" s="2216"/>
      <c r="N3" s="675"/>
      <c r="O3" s="1965"/>
      <c r="P3" s="1965"/>
      <c r="AH3" s="1972">
        <v>0</v>
      </c>
    </row>
    <row s="17239" customFormat="1" customHeight="1" ht="14.25" hidden="1">
      <c r="A4" s="2120"/>
      <c r="B4" s="2120"/>
      <c r="C4" s="710"/>
      <c r="D4" s="685"/>
      <c r="N4" s="1977">
        <f>_xlfn.IFERROR(MATCH("метод экономически обоснованных расходов (затрат)",OFFER_METHOD,0),0)</f>
        <v>0</v>
      </c>
      <c r="O4" s="1965"/>
      <c r="P4" s="1965"/>
      <c r="T4" s="1172"/>
      <c r="AG4" s="596"/>
      <c r="AH4" s="1972">
        <v>0</v>
      </c>
    </row>
    <row s="17239" customFormat="1" customHeight="1" ht="18.75" hidden="1">
      <c r="A5" s="2121" t="s">
        <v>152</v>
      </c>
      <c r="B5" s="2121" t="s">
        <v>153</v>
      </c>
      <c r="C5" s="710"/>
      <c r="D5" s="685"/>
      <c r="E5" s="1372"/>
      <c r="F5" s="1372"/>
      <c r="G5" s="2768" t="str">
        <f>INDEX(PT_DIFFERENTIATION_NTAR,MATCH(B5,PT_DIFFERENTIATION_NTAR_ID,0))</f>
        <v/>
      </c>
      <c r="H5" s="2205"/>
      <c r="I5" s="2080"/>
      <c r="J5" s="2114"/>
      <c r="K5" s="2119"/>
      <c r="L5" s="2205" t="s">
        <v>301</v>
      </c>
      <c r="M5" s="2216"/>
      <c r="N5" s="675"/>
      <c r="O5" s="1965"/>
      <c r="P5" s="1965"/>
      <c r="AH5" s="1972">
        <v>0</v>
      </c>
    </row>
    <row s="17239" customFormat="1" customHeight="1" ht="18.75" hidden="1">
      <c r="A6" s="2121"/>
      <c r="B6" s="2121"/>
      <c r="C6" s="710" t="s">
        <v>1326</v>
      </c>
      <c r="D6" s="685"/>
      <c r="E6" s="1372"/>
      <c r="F6" s="1372"/>
      <c r="G6" s="2768"/>
      <c r="H6" s="1841"/>
      <c r="I6" s="992" t="s">
        <v>1325</v>
      </c>
      <c r="J6" s="912"/>
      <c r="K6" s="1841"/>
      <c r="L6" s="555"/>
      <c r="M6" s="2216"/>
      <c r="N6" s="675"/>
      <c r="O6" s="1965"/>
      <c r="P6" s="1965"/>
      <c r="AH6" s="1972">
        <v>0</v>
      </c>
    </row>
    <row s="17239" customFormat="1" customHeight="1" ht="14.25" hidden="1">
      <c r="A7" s="2120"/>
      <c r="B7" s="2120"/>
      <c r="C7" s="710"/>
      <c r="D7" s="685"/>
      <c r="N7" s="1977">
        <f>_xlfn.IFERROR(MATCH("метод экономически обоснованных расходов (затрат)",OFFER_METHOD,0),0)</f>
        <v>0</v>
      </c>
      <c r="O7" s="1965"/>
      <c r="P7" s="1965"/>
      <c r="T7" s="1172"/>
      <c r="AG7" s="596"/>
      <c r="AH7" s="1972">
        <v>0</v>
      </c>
    </row>
    <row s="17239" customFormat="1" customHeight="1" ht="56.25" hidden="1">
      <c r="A8" s="2121"/>
      <c r="B8" s="2121"/>
      <c r="C8" s="710"/>
      <c r="D8" s="685"/>
      <c r="E8" s="1372"/>
      <c r="F8" s="1372"/>
      <c r="G8" s="1372"/>
      <c r="H8" s="2112"/>
      <c r="I8" s="2080"/>
      <c r="J8" s="2114"/>
      <c r="K8" s="2206"/>
      <c r="L8" s="2112" t="s">
        <v>301</v>
      </c>
      <c r="M8" s="2216"/>
      <c r="N8" s="675"/>
      <c r="O8" s="1965"/>
      <c r="P8" s="1965"/>
      <c r="AH8" s="1972">
        <v>0</v>
      </c>
    </row>
    <row customHeight="1" ht="14.25" hidden="1">
      <c r="T9" s="738"/>
      <c r="AG9" s="596"/>
      <c r="AH9" s="715">
        <v>0</v>
      </c>
    </row>
    <row s="17239" customFormat="1" customHeight="1" ht="56.25" hidden="1">
      <c r="A10" s="2121"/>
      <c r="B10" s="2121"/>
      <c r="C10" s="710"/>
      <c r="D10" s="685"/>
      <c r="E10" s="1372"/>
      <c r="F10" s="1372"/>
      <c r="G10" s="1372"/>
      <c r="H10" s="2111"/>
      <c r="I10" s="2080"/>
      <c r="J10" s="2114"/>
      <c r="K10" s="2119"/>
      <c r="L10" s="2112" t="s">
        <v>301</v>
      </c>
      <c r="M10" s="2216"/>
      <c r="N10" s="675"/>
      <c r="O10" s="1965"/>
      <c r="P10" s="1965"/>
      <c r="AH10" s="1972">
        <v>0</v>
      </c>
    </row>
    <row customHeight="1" ht="14.25" hidden="1">
      <c r="AH11" s="715">
        <v>0</v>
      </c>
    </row>
    <row customHeight="1" ht="14.25" hidden="1">
      <c r="AH12" s="715">
        <v>0</v>
      </c>
    </row>
    <row customHeight="1" ht="6.3">
      <c r="D13" s="717"/>
      <c r="E13" s="704"/>
      <c r="F13" s="704"/>
      <c r="G13" s="704"/>
      <c r="H13" s="704"/>
      <c r="I13" s="704"/>
      <c r="J13" s="704"/>
      <c r="K13" s="704"/>
      <c r="L13" s="426"/>
      <c r="M13" s="426"/>
      <c r="AH13" s="715">
        <v>6</v>
      </c>
    </row>
    <row customHeight="1" ht="14.699999999999998">
      <c r="D14" s="717"/>
      <c r="E14" s="280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06"/>
      <c r="G14" s="2806"/>
      <c r="H14" s="2806"/>
      <c r="I14" s="2806"/>
      <c r="J14" s="2806"/>
      <c r="K14" s="2806"/>
      <c r="L14" s="2806"/>
      <c r="M14" s="561"/>
      <c r="AH14" s="715">
        <v>14</v>
      </c>
    </row>
    <row customHeight="1" ht="6.3">
      <c r="D15" s="717"/>
      <c r="E15" s="704"/>
      <c r="F15" s="730"/>
      <c r="G15" s="730"/>
      <c r="H15" s="730"/>
      <c r="I15" s="730"/>
      <c r="J15" s="730"/>
      <c r="K15" s="730"/>
      <c r="L15" s="663"/>
      <c r="M15" s="534"/>
      <c r="AH15" s="715">
        <v>6</v>
      </c>
    </row>
    <row customHeight="1" ht="24">
      <c r="D16" s="717"/>
      <c r="E16" s="704"/>
      <c r="F16" s="646" t="str">
        <f>"Дата подачи заявления об "&amp;IF(TITLE_DATE_PR_CHANGE="","утверждении","изменении")&amp;" тарифов"</f>
        <v>Дата подачи заявления об утверждении тарифов</v>
      </c>
      <c r="G16" s="2605" t="str">
        <f>IF(TITLE_DATE_PR_CHANGE="",IF(TITLE_DATE_PR="","",TITLE_DATE_PR),TITLE_DATE_PR_CHANGE)</f>
        <v/>
      </c>
      <c r="H16" s="2605"/>
      <c r="I16" s="2605"/>
      <c r="J16" s="2605"/>
      <c r="K16" s="2605"/>
      <c r="L16" s="2605"/>
      <c r="M16" s="739"/>
      <c r="N16" s="667"/>
      <c r="AH16" s="715">
        <v>23</v>
      </c>
    </row>
    <row customHeight="1" ht="24">
      <c r="D17" s="717"/>
      <c r="E17" s="704"/>
      <c r="F17" s="646" t="str">
        <f>"Номер подачи заявления об "&amp;IF(TITLE_DATE_PR_CHANGE="","утверждении","изменении")&amp;" тарифов"</f>
        <v>Номер подачи заявления об утверждении тарифов</v>
      </c>
      <c r="G17" s="2592" t="str">
        <f>IF(TITLE_NUMBER_PR_CHANGE="",IF(TITLE_NUMBER_PR="","",TITLE_NUMBER_PR),TITLE_NUMBER_PR_CHANGE)</f>
        <v/>
      </c>
      <c r="H17" s="2592"/>
      <c r="I17" s="2592"/>
      <c r="J17" s="2592"/>
      <c r="K17" s="2592"/>
      <c r="L17" s="2592"/>
      <c r="M17" s="739"/>
      <c r="N17" s="667"/>
      <c r="AH17" s="715">
        <v>23</v>
      </c>
    </row>
    <row customHeight="1" ht="14.699999999999998">
      <c r="D18" s="717"/>
      <c r="E18" s="704"/>
      <c r="F18" s="730"/>
      <c r="G18" s="730"/>
      <c r="H18" s="730"/>
      <c r="I18" s="730"/>
      <c r="J18" s="730"/>
      <c r="K18" s="730"/>
      <c r="L18" s="1093"/>
      <c r="M18" s="534"/>
      <c r="AH18" s="715">
        <v>14</v>
      </c>
    </row>
    <row customHeight="1" ht="22.049999999999997">
      <c r="D19" s="717"/>
      <c r="E19" s="2550" t="s">
        <v>295</v>
      </c>
      <c r="F19" s="2550"/>
      <c r="G19" s="2550"/>
      <c r="H19" s="2550"/>
      <c r="I19" s="2550"/>
      <c r="J19" s="2550"/>
      <c r="K19" s="2550"/>
      <c r="L19" s="2550"/>
      <c r="M19" s="2730" t="s">
        <v>296</v>
      </c>
      <c r="AH19" s="715">
        <v>21</v>
      </c>
    </row>
    <row customHeight="1" ht="22.049999999999997">
      <c r="D20" s="717"/>
      <c r="E20" s="2618" t="s">
        <v>88</v>
      </c>
      <c r="F20" s="2565" t="s">
        <v>119</v>
      </c>
      <c r="G20" s="2565" t="s">
        <v>120</v>
      </c>
      <c r="H20" s="2727" t="s">
        <v>1327</v>
      </c>
      <c r="I20" s="2728"/>
      <c r="J20" s="2774"/>
      <c r="K20" s="2565" t="s">
        <v>298</v>
      </c>
      <c r="L20" s="2565" t="s">
        <v>385</v>
      </c>
      <c r="M20" s="2730"/>
      <c r="AH20" s="715">
        <v>21</v>
      </c>
    </row>
    <row customHeight="1" ht="22.049999999999997">
      <c r="D21" s="717"/>
      <c r="E21" s="2620"/>
      <c r="F21" s="2566"/>
      <c r="G21" s="2566"/>
      <c r="H21" s="2559" t="s">
        <v>1328</v>
      </c>
      <c r="I21" s="2561"/>
      <c r="J21" s="449" t="s">
        <v>1329</v>
      </c>
      <c r="K21" s="2566"/>
      <c r="L21" s="2566"/>
      <c r="M21" s="2730"/>
      <c r="AH21" s="715">
        <v>21</v>
      </c>
    </row>
    <row customHeight="1" ht="12.75">
      <c r="D22" s="717"/>
      <c r="E22" s="622"/>
      <c r="F22" s="622"/>
      <c r="G22" s="622"/>
      <c r="H22" s="2808"/>
      <c r="I22" s="2808"/>
      <c r="J22" s="622"/>
      <c r="K22" s="622"/>
      <c r="L22" s="622"/>
      <c r="M22" s="622"/>
      <c r="AH22" s="715">
        <v>12</v>
      </c>
    </row>
    <row customHeight="1" ht="19.95">
      <c r="A23" s="2121"/>
      <c r="B23" s="2121"/>
      <c r="D23" s="717"/>
      <c r="E23" s="2207" t="s">
        <v>106</v>
      </c>
      <c r="F23" s="2809" t="str">
        <f>"Предлагаемый метод регулирования"&amp;IF(TEMPLATE_SPHERE="HEAT"," в сфере "&amp;TEMPLATE_SPHERE_RUS,"")</f>
        <v>Предлагаемый метод регулирования в сфере теплоснабжения</v>
      </c>
      <c r="G23" s="2810"/>
      <c r="H23" s="2802"/>
      <c r="I23" s="2802"/>
      <c r="J23" s="2802"/>
      <c r="K23" s="2810" t="s">
        <v>301</v>
      </c>
      <c r="L23" s="2802"/>
      <c r="M23" s="2110"/>
      <c r="N23" s="675"/>
      <c r="AH23" s="715">
        <v>19</v>
      </c>
    </row>
    <row customHeight="1" ht="60.75" hidden="1">
      <c r="A24" s="2121" t="s">
        <v>152</v>
      </c>
      <c r="B24" s="2121" t="s">
        <v>153</v>
      </c>
      <c r="D24" s="2807"/>
      <c r="E24" s="2545"/>
      <c r="F24" s="281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68" t="str">
        <f>INDEX(PT_DIFFERENTIATION_NTAR,MATCH(B24,PT_DIFFERENTIATION_NTAR_ID,0))</f>
        <v/>
      </c>
      <c r="H24" s="2203"/>
      <c r="I24" s="2080"/>
      <c r="J24" s="2114"/>
      <c r="K24" s="2206"/>
      <c r="L24" s="2109" t="s">
        <v>301</v>
      </c>
      <c r="M24"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675"/>
      <c r="AH24" s="715">
        <v>0</v>
      </c>
    </row>
    <row s="17239" customFormat="1" customHeight="1" ht="18.75" hidden="1">
      <c r="A25" s="2121"/>
      <c r="B25" s="2121"/>
      <c r="C25" s="710" t="s">
        <v>1324</v>
      </c>
      <c r="D25" s="2807"/>
      <c r="E25" s="2545"/>
      <c r="F25" s="2811"/>
      <c r="G25" s="2768"/>
      <c r="H25" s="1841"/>
      <c r="I25" s="992" t="s">
        <v>1325</v>
      </c>
      <c r="J25" s="912"/>
      <c r="K25" s="1841"/>
      <c r="L25" s="555"/>
      <c r="M25" s="2511"/>
      <c r="N25" s="675"/>
      <c r="O25" s="1965"/>
      <c r="P25" s="1965"/>
      <c r="AH25" s="1972">
        <v>0</v>
      </c>
    </row>
    <row customHeight="1" ht="0.75" hidden="1">
      <c r="A26" s="2121"/>
      <c r="B26" s="2121"/>
      <c r="C26" s="710" t="s">
        <v>1330</v>
      </c>
      <c r="D26" s="2807"/>
      <c r="E26" s="2545"/>
      <c r="F26" s="2724"/>
      <c r="G26" s="741"/>
      <c r="H26" s="1841"/>
      <c r="I26" s="736"/>
      <c r="J26" s="690"/>
      <c r="K26" s="1841"/>
      <c r="L26" s="542"/>
      <c r="M26" s="2511"/>
      <c r="N26" s="675"/>
      <c r="AH26" s="715">
        <v>0</v>
      </c>
    </row>
    <row s="17239" customFormat="1" customHeight="1" ht="45" hidden="1">
      <c r="A27" s="2121" t="s">
        <v>157</v>
      </c>
      <c r="B27" s="2121" t="s">
        <v>158</v>
      </c>
      <c r="C27" s="710"/>
      <c r="D27" s="2803"/>
      <c r="E27" s="2804"/>
      <c r="F27" s="2805" t="str">
        <f>INDEX(PT_DIFFERENTIATION_VTAR,MATCH(A27,PT_DIFFERENTIATION_VTAR_ID,0))</f>
        <v/>
      </c>
      <c r="G27" s="2768" t="str">
        <f>INDEX(PT_DIFFERENTIATION_NTAR,MATCH(B27,PT_DIFFERENTIATION_NTAR_ID,0))</f>
        <v/>
      </c>
      <c r="H27" s="2203"/>
      <c r="I27" s="2080"/>
      <c r="J27" s="2114"/>
      <c r="K27" s="2206"/>
      <c r="L27" s="2203" t="s">
        <v>301</v>
      </c>
      <c r="M27" s="2511"/>
      <c r="N27" s="675"/>
      <c r="O27" s="1965"/>
      <c r="P27" s="1965"/>
      <c r="AH27" s="1972">
        <v>0</v>
      </c>
    </row>
    <row s="17239" customFormat="1" customHeight="1" ht="18.75" hidden="1">
      <c r="A28" s="2121"/>
      <c r="B28" s="2121"/>
      <c r="C28" s="710" t="s">
        <v>1324</v>
      </c>
      <c r="D28" s="2803"/>
      <c r="E28" s="2804"/>
      <c r="F28" s="2805"/>
      <c r="G28" s="2768"/>
      <c r="H28" s="1841"/>
      <c r="I28" s="992" t="s">
        <v>1325</v>
      </c>
      <c r="J28" s="912"/>
      <c r="K28" s="1841"/>
      <c r="L28" s="555"/>
      <c r="M28" s="2511"/>
      <c r="N28" s="675"/>
      <c r="O28" s="1965"/>
      <c r="P28" s="1965"/>
      <c r="AH28" s="1972">
        <v>0</v>
      </c>
    </row>
    <row s="17239" customFormat="1" customHeight="1" ht="0.75" hidden="1">
      <c r="A29" s="2121"/>
      <c r="B29" s="2121"/>
      <c r="C29" s="710" t="s">
        <v>1330</v>
      </c>
      <c r="D29" s="2803"/>
      <c r="E29" s="2545"/>
      <c r="F29" s="2724"/>
      <c r="G29" s="741"/>
      <c r="H29" s="1841"/>
      <c r="I29" s="992"/>
      <c r="J29" s="912"/>
      <c r="K29" s="1841"/>
      <c r="L29" s="555"/>
      <c r="M29" s="2511"/>
      <c r="N29" s="675"/>
      <c r="O29" s="1965"/>
      <c r="P29" s="1965"/>
      <c r="AH29" s="1972">
        <v>0</v>
      </c>
    </row>
    <row s="17239" customFormat="1" customHeight="1" ht="45" hidden="1">
      <c r="A30" s="2121" t="s">
        <v>164</v>
      </c>
      <c r="B30" s="2121" t="s">
        <v>165</v>
      </c>
      <c r="C30" s="710"/>
      <c r="D30" s="2803"/>
      <c r="E30" s="2545"/>
      <c r="F30" s="272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68" t="str">
        <f>INDEX(PT_DIFFERENTIATION_NTAR,MATCH(B30,PT_DIFFERENTIATION_NTAR_ID,0))</f>
        <v/>
      </c>
      <c r="H30" s="2203"/>
      <c r="I30" s="2080"/>
      <c r="J30" s="2114"/>
      <c r="K30" s="2206"/>
      <c r="L30" s="2203" t="s">
        <v>301</v>
      </c>
      <c r="M30" s="2511"/>
      <c r="N30" s="675"/>
      <c r="O30" s="1965"/>
      <c r="P30" s="1965"/>
      <c r="AH30" s="1972">
        <v>0</v>
      </c>
    </row>
    <row s="17239" customFormat="1" customHeight="1" ht="18.75" hidden="1">
      <c r="A31" s="2121"/>
      <c r="B31" s="2121"/>
      <c r="C31" s="710" t="s">
        <v>1324</v>
      </c>
      <c r="D31" s="2803"/>
      <c r="E31" s="2545"/>
      <c r="F31" s="2724"/>
      <c r="G31" s="2768"/>
      <c r="H31" s="1841"/>
      <c r="I31" s="992" t="s">
        <v>1325</v>
      </c>
      <c r="J31" s="912"/>
      <c r="K31" s="1841"/>
      <c r="L31" s="555"/>
      <c r="M31" s="2511"/>
      <c r="N31" s="675"/>
      <c r="O31" s="1965"/>
      <c r="P31" s="1965"/>
      <c r="AH31" s="1972">
        <v>0</v>
      </c>
    </row>
    <row s="17239" customFormat="1" customHeight="1" ht="0.75" hidden="1">
      <c r="A32" s="2121"/>
      <c r="B32" s="2121"/>
      <c r="C32" s="710" t="s">
        <v>1330</v>
      </c>
      <c r="D32" s="2803"/>
      <c r="E32" s="2545"/>
      <c r="F32" s="2724"/>
      <c r="G32" s="741"/>
      <c r="H32" s="1841"/>
      <c r="I32" s="992"/>
      <c r="J32" s="912"/>
      <c r="K32" s="1841"/>
      <c r="L32" s="555"/>
      <c r="M32" s="2511"/>
      <c r="N32" s="675"/>
      <c r="O32" s="1965"/>
      <c r="P32" s="1965"/>
      <c r="AH32" s="1972">
        <v>0</v>
      </c>
    </row>
    <row s="17239" customFormat="1" customHeight="1" ht="45" hidden="1">
      <c r="A33" s="2121" t="s">
        <v>170</v>
      </c>
      <c r="B33" s="2121" t="s">
        <v>171</v>
      </c>
      <c r="C33" s="710"/>
      <c r="D33" s="2803"/>
      <c r="E33" s="2545"/>
      <c r="F33" s="272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68" t="str">
        <f>INDEX(PT_DIFFERENTIATION_NTAR,MATCH(B33,PT_DIFFERENTIATION_NTAR_ID,0))</f>
        <v/>
      </c>
      <c r="H33" s="2203"/>
      <c r="I33" s="2080"/>
      <c r="J33" s="2114"/>
      <c r="K33" s="2206"/>
      <c r="L33" s="2203" t="s">
        <v>301</v>
      </c>
      <c r="M33" s="2511"/>
      <c r="N33" s="675"/>
      <c r="O33" s="1965"/>
      <c r="P33" s="1965"/>
      <c r="AH33" s="1972">
        <v>0</v>
      </c>
    </row>
    <row s="17239" customFormat="1" customHeight="1" ht="18.75" hidden="1">
      <c r="A34" s="2121"/>
      <c r="B34" s="2121"/>
      <c r="C34" s="710" t="s">
        <v>1324</v>
      </c>
      <c r="D34" s="2803"/>
      <c r="E34" s="2545"/>
      <c r="F34" s="2724"/>
      <c r="G34" s="2768"/>
      <c r="H34" s="1841"/>
      <c r="I34" s="992" t="s">
        <v>1325</v>
      </c>
      <c r="J34" s="912"/>
      <c r="K34" s="1841"/>
      <c r="L34" s="555"/>
      <c r="M34" s="2511"/>
      <c r="N34" s="675"/>
      <c r="O34" s="1965"/>
      <c r="P34" s="1965"/>
      <c r="AH34" s="1972">
        <v>0</v>
      </c>
    </row>
    <row s="17239" customFormat="1" customHeight="1" ht="0.75" hidden="1">
      <c r="A35" s="2121"/>
      <c r="B35" s="2121"/>
      <c r="C35" s="710" t="s">
        <v>1330</v>
      </c>
      <c r="D35" s="2803"/>
      <c r="E35" s="2545"/>
      <c r="F35" s="2724"/>
      <c r="G35" s="741"/>
      <c r="H35" s="1841"/>
      <c r="I35" s="992"/>
      <c r="J35" s="912"/>
      <c r="K35" s="1841"/>
      <c r="L35" s="555"/>
      <c r="M35" s="2511"/>
      <c r="N35" s="675"/>
      <c r="O35" s="1965"/>
      <c r="P35" s="1965"/>
      <c r="AH35" s="1972">
        <v>0</v>
      </c>
    </row>
    <row s="17239" customFormat="1" customHeight="1" ht="18.75" hidden="1">
      <c r="A36" s="2121" t="s">
        <v>176</v>
      </c>
      <c r="B36" s="2121" t="s">
        <v>177</v>
      </c>
      <c r="C36" s="710"/>
      <c r="D36" s="2803"/>
      <c r="E36" s="2545"/>
      <c r="F36" s="2724" t="str">
        <f>INDEX(PT_DIFFERENTIATION_VTAR,MATCH(A36,PT_DIFFERENTIATION_VTAR_ID,0))</f>
        <v>Тарифы на услуги по передаче тепловой энергии</v>
      </c>
      <c r="G36" s="2768" t="str">
        <f>INDEX(PT_DIFFERENTIATION_NTAR,MATCH(B36,PT_DIFFERENTIATION_NTAR_ID,0))</f>
        <v/>
      </c>
      <c r="H36" s="2203"/>
      <c r="I36" s="2080"/>
      <c r="J36" s="2114"/>
      <c r="K36" s="2206"/>
      <c r="L36" s="2203" t="s">
        <v>301</v>
      </c>
      <c r="M36" s="2511"/>
      <c r="N36" s="675"/>
      <c r="O36" s="1965"/>
      <c r="P36" s="1965"/>
      <c r="AH36" s="1972">
        <v>0</v>
      </c>
    </row>
    <row s="17239" customFormat="1" customHeight="1" ht="18.75" hidden="1">
      <c r="A37" s="2121"/>
      <c r="B37" s="2121"/>
      <c r="C37" s="710" t="s">
        <v>1324</v>
      </c>
      <c r="D37" s="2803"/>
      <c r="E37" s="2545"/>
      <c r="F37" s="2724"/>
      <c r="G37" s="2768"/>
      <c r="H37" s="1841"/>
      <c r="I37" s="992" t="s">
        <v>1325</v>
      </c>
      <c r="J37" s="912"/>
      <c r="K37" s="1841"/>
      <c r="L37" s="555"/>
      <c r="M37" s="2511"/>
      <c r="N37" s="675"/>
      <c r="O37" s="1965"/>
      <c r="P37" s="1965"/>
      <c r="AH37" s="1972">
        <v>0</v>
      </c>
    </row>
    <row s="17239" customFormat="1" customHeight="1" ht="0.75" hidden="1">
      <c r="A38" s="2121"/>
      <c r="B38" s="2121"/>
      <c r="C38" s="710" t="s">
        <v>1330</v>
      </c>
      <c r="D38" s="2803"/>
      <c r="E38" s="2545"/>
      <c r="F38" s="2724"/>
      <c r="G38" s="741"/>
      <c r="H38" s="1841"/>
      <c r="I38" s="992"/>
      <c r="J38" s="912"/>
      <c r="K38" s="1841"/>
      <c r="L38" s="555"/>
      <c r="M38" s="2511"/>
      <c r="N38" s="675"/>
      <c r="O38" s="1965"/>
      <c r="P38" s="1965"/>
      <c r="AH38" s="1972">
        <v>0</v>
      </c>
    </row>
    <row s="17239" customFormat="1" customHeight="1" ht="18.75" hidden="1">
      <c r="A39" s="2121" t="s">
        <v>182</v>
      </c>
      <c r="B39" s="2121" t="s">
        <v>183</v>
      </c>
      <c r="C39" s="710"/>
      <c r="D39" s="2803"/>
      <c r="E39" s="2545"/>
      <c r="F39" s="2724" t="str">
        <f>INDEX(PT_DIFFERENTIATION_VTAR,MATCH(A39,PT_DIFFERENTIATION_VTAR_ID,0))</f>
        <v>Тарифы на услуги по передаче теплоносителя</v>
      </c>
      <c r="G39" s="2768" t="str">
        <f>INDEX(PT_DIFFERENTIATION_NTAR,MATCH(B39,PT_DIFFERENTIATION_NTAR_ID,0))</f>
        <v/>
      </c>
      <c r="H39" s="2203"/>
      <c r="I39" s="2080"/>
      <c r="J39" s="2114"/>
      <c r="K39" s="2206"/>
      <c r="L39" s="2203" t="s">
        <v>301</v>
      </c>
      <c r="M39" s="2511"/>
      <c r="N39" s="675"/>
      <c r="O39" s="1965"/>
      <c r="P39" s="1965"/>
      <c r="AH39" s="1972">
        <v>0</v>
      </c>
    </row>
    <row s="17239" customFormat="1" customHeight="1" ht="18.75" hidden="1">
      <c r="A40" s="2121"/>
      <c r="B40" s="2121"/>
      <c r="C40" s="710" t="s">
        <v>1324</v>
      </c>
      <c r="D40" s="2803"/>
      <c r="E40" s="2545"/>
      <c r="F40" s="2724"/>
      <c r="G40" s="2768"/>
      <c r="H40" s="1841"/>
      <c r="I40" s="992" t="s">
        <v>1325</v>
      </c>
      <c r="J40" s="912"/>
      <c r="K40" s="1841"/>
      <c r="L40" s="555"/>
      <c r="M40" s="2511"/>
      <c r="N40" s="675"/>
      <c r="O40" s="1965"/>
      <c r="P40" s="1965"/>
      <c r="AH40" s="1972">
        <v>0</v>
      </c>
    </row>
    <row s="17239" customFormat="1" customHeight="1" ht="0.75" hidden="1">
      <c r="A41" s="2121"/>
      <c r="B41" s="2121"/>
      <c r="C41" s="710" t="s">
        <v>1330</v>
      </c>
      <c r="D41" s="2803"/>
      <c r="E41" s="2545"/>
      <c r="F41" s="2724"/>
      <c r="G41" s="741"/>
      <c r="H41" s="1841"/>
      <c r="I41" s="992"/>
      <c r="J41" s="912"/>
      <c r="K41" s="1841"/>
      <c r="L41" s="555"/>
      <c r="M41" s="2511"/>
      <c r="N41" s="675"/>
      <c r="O41" s="1965"/>
      <c r="P41" s="1965"/>
      <c r="AH41" s="1972">
        <v>0</v>
      </c>
    </row>
    <row s="17239" customFormat="1" customHeight="1" ht="18.75" hidden="1">
      <c r="A42" s="2121" t="s">
        <v>188</v>
      </c>
      <c r="B42" s="2121" t="s">
        <v>189</v>
      </c>
      <c r="C42" s="710"/>
      <c r="D42" s="2803"/>
      <c r="E42" s="2545"/>
      <c r="F42" s="2724" t="str">
        <f>INDEX(PT_DIFFERENTIATION_VTAR,MATCH(A42,PT_DIFFERENTIATION_VTAR_ID,0))</f>
        <v>Плата за услуги по поддержанию резервной тепловой мощности при отсутствии потребления тепловой энергии</v>
      </c>
      <c r="G42" s="2768" t="str">
        <f>INDEX(PT_DIFFERENTIATION_NTAR,MATCH(B42,PT_DIFFERENTIATION_NTAR_ID,0))</f>
        <v/>
      </c>
      <c r="H42" s="2203"/>
      <c r="I42" s="2080"/>
      <c r="J42" s="2114"/>
      <c r="K42" s="2206"/>
      <c r="L42" s="2203" t="s">
        <v>301</v>
      </c>
      <c r="M42" s="2511"/>
      <c r="N42" s="675"/>
      <c r="O42" s="1965"/>
      <c r="P42" s="1965"/>
      <c r="AH42" s="1972">
        <v>0</v>
      </c>
    </row>
    <row s="17239" customFormat="1" customHeight="1" ht="18.75" hidden="1">
      <c r="A43" s="2121"/>
      <c r="B43" s="2121"/>
      <c r="C43" s="710" t="s">
        <v>1324</v>
      </c>
      <c r="D43" s="2803"/>
      <c r="E43" s="2545"/>
      <c r="F43" s="2724"/>
      <c r="G43" s="2768"/>
      <c r="H43" s="1841"/>
      <c r="I43" s="992" t="s">
        <v>1325</v>
      </c>
      <c r="J43" s="912"/>
      <c r="K43" s="1841"/>
      <c r="L43" s="555"/>
      <c r="M43" s="2511"/>
      <c r="N43" s="675"/>
      <c r="O43" s="1965"/>
      <c r="P43" s="1965"/>
      <c r="AH43" s="1972">
        <v>0</v>
      </c>
    </row>
    <row s="17239" customFormat="1" customHeight="1" ht="0.75" hidden="1">
      <c r="A44" s="2121"/>
      <c r="B44" s="2121"/>
      <c r="C44" s="710" t="s">
        <v>1330</v>
      </c>
      <c r="D44" s="2803"/>
      <c r="E44" s="2545"/>
      <c r="F44" s="2724"/>
      <c r="G44" s="741"/>
      <c r="H44" s="1841"/>
      <c r="I44" s="992"/>
      <c r="J44" s="912"/>
      <c r="K44" s="1841"/>
      <c r="L44" s="555"/>
      <c r="M44" s="2511"/>
      <c r="N44" s="675"/>
      <c r="O44" s="1965"/>
      <c r="P44" s="1965"/>
      <c r="AH44" s="1972">
        <v>0</v>
      </c>
    </row>
    <row s="17239" customFormat="1" customHeight="1" ht="18.75" hidden="1">
      <c r="A45" s="2121" t="s">
        <v>194</v>
      </c>
      <c r="B45" s="2121" t="s">
        <v>195</v>
      </c>
      <c r="C45" s="710"/>
      <c r="D45" s="2803"/>
      <c r="E45" s="2545"/>
      <c r="F45" s="2724" t="str">
        <f>INDEX(PT_DIFFERENTIATION_VTAR,MATCH(A45,PT_DIFFERENTIATION_VTAR_ID,0))</f>
        <v>Плата за подключение (технологическое присоединение) к системе теплоснабжения</v>
      </c>
      <c r="G45" s="2768" t="str">
        <f>INDEX(PT_DIFFERENTIATION_NTAR,MATCH(B45,PT_DIFFERENTIATION_NTAR_ID,0))</f>
        <v/>
      </c>
      <c r="H45" s="2203"/>
      <c r="I45" s="2080"/>
      <c r="J45" s="2114"/>
      <c r="K45" s="2206"/>
      <c r="L45" s="2203" t="s">
        <v>301</v>
      </c>
      <c r="M45" s="2511"/>
      <c r="N45" s="675"/>
      <c r="O45" s="1965"/>
      <c r="P45" s="1965"/>
      <c r="AH45" s="1972">
        <v>0</v>
      </c>
    </row>
    <row s="17239" customFormat="1" customHeight="1" ht="18.75" hidden="1">
      <c r="A46" s="2121"/>
      <c r="B46" s="2121"/>
      <c r="C46" s="710" t="s">
        <v>1324</v>
      </c>
      <c r="D46" s="2803"/>
      <c r="E46" s="2545"/>
      <c r="F46" s="2724"/>
      <c r="G46" s="2768"/>
      <c r="H46" s="1841"/>
      <c r="I46" s="992" t="s">
        <v>1325</v>
      </c>
      <c r="J46" s="912"/>
      <c r="K46" s="1841"/>
      <c r="L46" s="555"/>
      <c r="M46" s="2511"/>
      <c r="N46" s="675"/>
      <c r="O46" s="1965"/>
      <c r="P46" s="1965"/>
      <c r="AH46" s="1972">
        <v>0</v>
      </c>
    </row>
    <row s="17239" customFormat="1" customHeight="1" ht="0.75" hidden="1">
      <c r="A47" s="2121"/>
      <c r="B47" s="2121"/>
      <c r="C47" s="710" t="s">
        <v>1330</v>
      </c>
      <c r="D47" s="2803"/>
      <c r="E47" s="2545"/>
      <c r="F47" s="2724"/>
      <c r="G47" s="741"/>
      <c r="H47" s="1841"/>
      <c r="I47" s="992"/>
      <c r="J47" s="912"/>
      <c r="K47" s="1841"/>
      <c r="L47" s="555"/>
      <c r="M47" s="2511"/>
      <c r="N47" s="675"/>
      <c r="O47" s="1965"/>
      <c r="P47" s="1965"/>
      <c r="AH47" s="1972">
        <v>0</v>
      </c>
    </row>
    <row s="17239" customFormat="1" customHeight="1" ht="18.75" hidden="1">
      <c r="A48" s="2121" t="s">
        <v>200</v>
      </c>
      <c r="B48" s="2121" t="s">
        <v>201</v>
      </c>
      <c r="C48" s="710"/>
      <c r="D48" s="2803"/>
      <c r="E48" s="2545"/>
      <c r="F48" s="2724" t="str">
        <f>INDEX(PT_DIFFERENTIATION_VTAR,MATCH(A48,PT_DIFFERENTIATION_VTAR_ID,0))</f>
        <v>Плата за подключение (технологическое присоединение) к системе теплоснабжения (индивидуальная)</v>
      </c>
      <c r="G48" s="2768" t="str">
        <f>INDEX(PT_DIFFERENTIATION_NTAR,MATCH(B48,PT_DIFFERENTIATION_NTAR_ID,0))</f>
        <v/>
      </c>
      <c r="H48" s="2330"/>
      <c r="I48" s="2080"/>
      <c r="J48" s="2114"/>
      <c r="K48" s="2206"/>
      <c r="L48" s="2330" t="s">
        <v>301</v>
      </c>
      <c r="M48" s="2511"/>
      <c r="N48" s="675"/>
      <c r="O48" s="1965"/>
      <c r="P48" s="1965"/>
      <c r="AH48" s="1972">
        <v>0</v>
      </c>
    </row>
    <row s="17239" customFormat="1" customHeight="1" ht="18.75" hidden="1">
      <c r="A49" s="2121"/>
      <c r="B49" s="2121"/>
      <c r="C49" s="710" t="s">
        <v>1324</v>
      </c>
      <c r="D49" s="2803"/>
      <c r="E49" s="2545"/>
      <c r="F49" s="2724"/>
      <c r="G49" s="2768"/>
      <c r="H49" s="1841"/>
      <c r="I49" s="992" t="s">
        <v>1325</v>
      </c>
      <c r="J49" s="912"/>
      <c r="K49" s="1841"/>
      <c r="L49" s="555"/>
      <c r="M49" s="2511"/>
      <c r="N49" s="675"/>
      <c r="O49" s="1965"/>
      <c r="P49" s="1965"/>
      <c r="AH49" s="1972">
        <v>0</v>
      </c>
    </row>
    <row s="17239" customFormat="1" customHeight="1" ht="0.75" hidden="1">
      <c r="A50" s="2121"/>
      <c r="B50" s="2121"/>
      <c r="C50" s="710" t="s">
        <v>1330</v>
      </c>
      <c r="D50" s="2803"/>
      <c r="E50" s="2545"/>
      <c r="F50" s="2724"/>
      <c r="G50" s="741"/>
      <c r="H50" s="1841"/>
      <c r="I50" s="992"/>
      <c r="J50" s="912"/>
      <c r="K50" s="1841"/>
      <c r="L50" s="555"/>
      <c r="M50" s="2511"/>
      <c r="N50" s="675"/>
      <c r="O50" s="1965"/>
      <c r="P50" s="1965"/>
      <c r="AH50" s="1972">
        <v>0</v>
      </c>
    </row>
    <row s="17239" customFormat="1" customHeight="1" ht="18.75" hidden="1">
      <c r="A51" s="2121" t="s">
        <v>220</v>
      </c>
      <c r="B51" s="2121" t="s">
        <v>221</v>
      </c>
      <c r="C51" s="710"/>
      <c r="D51" s="2803"/>
      <c r="E51" s="2545"/>
      <c r="F51" s="2724" t="str">
        <f>INDEX(PT_DIFFERENTIATION_VTAR,MATCH(A51,PT_DIFFERENTIATION_VTAR_ID,0))</f>
        <v>Тариф на питьевую воду (питьевое водоснабжение)</v>
      </c>
      <c r="G51" s="2768" t="str">
        <f>INDEX(PT_DIFFERENTIATION_NTAR,MATCH(B51,PT_DIFFERENTIATION_NTAR_ID,0))</f>
        <v/>
      </c>
      <c r="H51" s="2203"/>
      <c r="I51" s="2080"/>
      <c r="J51" s="2114"/>
      <c r="K51" s="2206"/>
      <c r="L51" s="2203" t="s">
        <v>301</v>
      </c>
      <c r="M51" s="2511"/>
      <c r="N51" s="675"/>
      <c r="O51" s="1965"/>
      <c r="P51" s="1965"/>
      <c r="AH51" s="1972">
        <v>0</v>
      </c>
    </row>
    <row s="17239" customFormat="1" customHeight="1" ht="18.75" hidden="1">
      <c r="A52" s="2121"/>
      <c r="B52" s="2121"/>
      <c r="C52" s="710" t="s">
        <v>1324</v>
      </c>
      <c r="D52" s="2803"/>
      <c r="E52" s="2545"/>
      <c r="F52" s="2724"/>
      <c r="G52" s="2768"/>
      <c r="H52" s="1841"/>
      <c r="I52" s="992" t="s">
        <v>1325</v>
      </c>
      <c r="J52" s="912"/>
      <c r="K52" s="1841"/>
      <c r="L52" s="555"/>
      <c r="M52" s="2511"/>
      <c r="N52" s="675"/>
      <c r="O52" s="1965"/>
      <c r="P52" s="1965"/>
      <c r="AH52" s="1972">
        <v>0</v>
      </c>
    </row>
    <row s="17239" customFormat="1" customHeight="1" ht="0.75" hidden="1">
      <c r="A53" s="2121"/>
      <c r="B53" s="2121"/>
      <c r="C53" s="710" t="s">
        <v>1330</v>
      </c>
      <c r="D53" s="2803"/>
      <c r="E53" s="2545"/>
      <c r="F53" s="2724"/>
      <c r="G53" s="741"/>
      <c r="H53" s="1841"/>
      <c r="I53" s="992"/>
      <c r="J53" s="912"/>
      <c r="K53" s="1841"/>
      <c r="L53" s="555"/>
      <c r="M53" s="2511"/>
      <c r="N53" s="675"/>
      <c r="O53" s="1965"/>
      <c r="P53" s="1965"/>
      <c r="AH53" s="1972">
        <v>0</v>
      </c>
    </row>
    <row s="17239" customFormat="1" customHeight="1" ht="18.75" hidden="1">
      <c r="A54" s="2121" t="s">
        <v>225</v>
      </c>
      <c r="B54" s="2121" t="s">
        <v>226</v>
      </c>
      <c r="C54" s="710"/>
      <c r="D54" s="2803"/>
      <c r="E54" s="2545"/>
      <c r="F54" s="2724" t="str">
        <f>INDEX(PT_DIFFERENTIATION_VTAR,MATCH(A54,PT_DIFFERENTIATION_VTAR_ID,0))</f>
        <v>Тариф на техническую воду</v>
      </c>
      <c r="G54" s="2768" t="str">
        <f>INDEX(PT_DIFFERENTIATION_NTAR,MATCH(B54,PT_DIFFERENTIATION_NTAR_ID,0))</f>
        <v/>
      </c>
      <c r="H54" s="2203"/>
      <c r="I54" s="2080"/>
      <c r="J54" s="2114"/>
      <c r="K54" s="2206"/>
      <c r="L54" s="2203" t="s">
        <v>301</v>
      </c>
      <c r="M54" s="2511"/>
      <c r="N54" s="675"/>
      <c r="O54" s="1965"/>
      <c r="P54" s="1965"/>
      <c r="AH54" s="1972">
        <v>0</v>
      </c>
    </row>
    <row s="17239" customFormat="1" customHeight="1" ht="18.75" hidden="1">
      <c r="A55" s="2121"/>
      <c r="B55" s="2121"/>
      <c r="C55" s="710" t="s">
        <v>1324</v>
      </c>
      <c r="D55" s="2803"/>
      <c r="E55" s="2545"/>
      <c r="F55" s="2724"/>
      <c r="G55" s="2768"/>
      <c r="H55" s="1841"/>
      <c r="I55" s="992" t="s">
        <v>1325</v>
      </c>
      <c r="J55" s="912"/>
      <c r="K55" s="1841"/>
      <c r="L55" s="555"/>
      <c r="M55" s="2511"/>
      <c r="N55" s="675"/>
      <c r="O55" s="1965"/>
      <c r="P55" s="1965"/>
      <c r="AH55" s="1972">
        <v>0</v>
      </c>
    </row>
    <row s="17239" customFormat="1" customHeight="1" ht="0.75" hidden="1">
      <c r="A56" s="2121"/>
      <c r="B56" s="2121"/>
      <c r="C56" s="710" t="s">
        <v>1330</v>
      </c>
      <c r="D56" s="2803"/>
      <c r="E56" s="2545"/>
      <c r="F56" s="2724"/>
      <c r="G56" s="741"/>
      <c r="H56" s="1841"/>
      <c r="I56" s="992"/>
      <c r="J56" s="912"/>
      <c r="K56" s="1841"/>
      <c r="L56" s="555"/>
      <c r="M56" s="2511"/>
      <c r="N56" s="675"/>
      <c r="O56" s="1965"/>
      <c r="P56" s="1965"/>
      <c r="AH56" s="1972">
        <v>0</v>
      </c>
    </row>
    <row s="17239" customFormat="1" customHeight="1" ht="18.75" hidden="1">
      <c r="A57" s="2121" t="s">
        <v>230</v>
      </c>
      <c r="B57" s="2121" t="s">
        <v>231</v>
      </c>
      <c r="C57" s="710"/>
      <c r="D57" s="2803"/>
      <c r="E57" s="2545"/>
      <c r="F57" s="2724" t="str">
        <f>INDEX(PT_DIFFERENTIATION_VTAR,MATCH(A57,PT_DIFFERENTIATION_VTAR_ID,0))</f>
        <v>Тариф на транспортировку воды</v>
      </c>
      <c r="G57" s="2768" t="str">
        <f>INDEX(PT_DIFFERENTIATION_NTAR,MATCH(B57,PT_DIFFERENTIATION_NTAR_ID,0))</f>
        <v/>
      </c>
      <c r="H57" s="2203"/>
      <c r="I57" s="2080"/>
      <c r="J57" s="2114"/>
      <c r="K57" s="2206"/>
      <c r="L57" s="2203" t="s">
        <v>301</v>
      </c>
      <c r="M57" s="2511"/>
      <c r="N57" s="675"/>
      <c r="O57" s="1965"/>
      <c r="P57" s="1965"/>
      <c r="AH57" s="1972">
        <v>0</v>
      </c>
    </row>
    <row s="17239" customFormat="1" customHeight="1" ht="18.75" hidden="1">
      <c r="A58" s="2121"/>
      <c r="B58" s="2121"/>
      <c r="C58" s="710" t="s">
        <v>1324</v>
      </c>
      <c r="D58" s="2803"/>
      <c r="E58" s="2545"/>
      <c r="F58" s="2724"/>
      <c r="G58" s="2768"/>
      <c r="H58" s="1841"/>
      <c r="I58" s="992" t="s">
        <v>1325</v>
      </c>
      <c r="J58" s="912"/>
      <c r="K58" s="1841"/>
      <c r="L58" s="555"/>
      <c r="M58" s="2511"/>
      <c r="N58" s="675"/>
      <c r="O58" s="1965"/>
      <c r="P58" s="1965"/>
      <c r="AH58" s="1972">
        <v>0</v>
      </c>
    </row>
    <row s="17239" customFormat="1" customHeight="1" ht="0.75" hidden="1">
      <c r="A59" s="2121"/>
      <c r="B59" s="2121"/>
      <c r="C59" s="710" t="s">
        <v>1330</v>
      </c>
      <c r="D59" s="2803"/>
      <c r="E59" s="2545"/>
      <c r="F59" s="2724"/>
      <c r="G59" s="741"/>
      <c r="H59" s="1841"/>
      <c r="I59" s="992"/>
      <c r="J59" s="912"/>
      <c r="K59" s="1841"/>
      <c r="L59" s="555"/>
      <c r="M59" s="2511"/>
      <c r="N59" s="675"/>
      <c r="O59" s="1965"/>
      <c r="P59" s="1965"/>
      <c r="AH59" s="1972">
        <v>0</v>
      </c>
    </row>
    <row s="17239" customFormat="1" customHeight="1" ht="18.75" hidden="1">
      <c r="A60" s="2121" t="s">
        <v>235</v>
      </c>
      <c r="B60" s="2121" t="s">
        <v>236</v>
      </c>
      <c r="C60" s="710"/>
      <c r="D60" s="2803"/>
      <c r="E60" s="2545"/>
      <c r="F60" s="2724" t="str">
        <f>INDEX(PT_DIFFERENTIATION_VTAR,MATCH(A60,PT_DIFFERENTIATION_VTAR_ID,0))</f>
        <v>Тариф на подвоз воды</v>
      </c>
      <c r="G60" s="2768" t="str">
        <f>INDEX(PT_DIFFERENTIATION_NTAR,MATCH(B60,PT_DIFFERENTIATION_NTAR_ID,0))</f>
        <v/>
      </c>
      <c r="H60" s="2203"/>
      <c r="I60" s="2080"/>
      <c r="J60" s="2114"/>
      <c r="K60" s="2206"/>
      <c r="L60" s="2203" t="s">
        <v>301</v>
      </c>
      <c r="M60" s="2511"/>
      <c r="N60" s="675"/>
      <c r="O60" s="1965"/>
      <c r="P60" s="1965"/>
      <c r="AH60" s="1972">
        <v>0</v>
      </c>
    </row>
    <row s="17239" customFormat="1" customHeight="1" ht="18.75" hidden="1">
      <c r="A61" s="2121"/>
      <c r="B61" s="2121"/>
      <c r="C61" s="710" t="s">
        <v>1324</v>
      </c>
      <c r="D61" s="2803"/>
      <c r="E61" s="2545"/>
      <c r="F61" s="2724"/>
      <c r="G61" s="2768"/>
      <c r="H61" s="1841"/>
      <c r="I61" s="992" t="s">
        <v>1325</v>
      </c>
      <c r="J61" s="912"/>
      <c r="K61" s="1841"/>
      <c r="L61" s="555"/>
      <c r="M61" s="2511"/>
      <c r="N61" s="675"/>
      <c r="O61" s="1965"/>
      <c r="P61" s="1965"/>
      <c r="AH61" s="1972">
        <v>0</v>
      </c>
    </row>
    <row s="17239" customFormat="1" customHeight="1" ht="0.75" hidden="1">
      <c r="A62" s="2121"/>
      <c r="B62" s="2121"/>
      <c r="C62" s="710" t="s">
        <v>1330</v>
      </c>
      <c r="D62" s="2803"/>
      <c r="E62" s="2545"/>
      <c r="F62" s="2724"/>
      <c r="G62" s="741"/>
      <c r="H62" s="1841"/>
      <c r="I62" s="992"/>
      <c r="J62" s="912"/>
      <c r="K62" s="1841"/>
      <c r="L62" s="555"/>
      <c r="M62" s="2511"/>
      <c r="N62" s="675"/>
      <c r="O62" s="1965"/>
      <c r="P62" s="1965"/>
      <c r="AH62" s="1972">
        <v>0</v>
      </c>
    </row>
    <row s="17239" customFormat="1" customHeight="1" ht="18.75" hidden="1">
      <c r="A63" s="2121" t="s">
        <v>240</v>
      </c>
      <c r="B63" s="2121" t="s">
        <v>241</v>
      </c>
      <c r="C63" s="710"/>
      <c r="D63" s="2803"/>
      <c r="E63" s="2545"/>
      <c r="F63" s="272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68" t="str">
        <f>INDEX(PT_DIFFERENTIATION_NTAR,MATCH(B63,PT_DIFFERENTIATION_NTAR_ID,0))</f>
        <v/>
      </c>
      <c r="H63" s="2203"/>
      <c r="I63" s="2080"/>
      <c r="J63" s="2114"/>
      <c r="K63" s="2206"/>
      <c r="L63" s="2203" t="s">
        <v>301</v>
      </c>
      <c r="M63" s="2511"/>
      <c r="N63" s="675"/>
      <c r="O63" s="1965"/>
      <c r="P63" s="1965"/>
      <c r="AH63" s="1972">
        <v>0</v>
      </c>
    </row>
    <row s="17239" customFormat="1" customHeight="1" ht="18.75" hidden="1">
      <c r="A64" s="2121"/>
      <c r="B64" s="2121"/>
      <c r="C64" s="710" t="s">
        <v>1324</v>
      </c>
      <c r="D64" s="2803"/>
      <c r="E64" s="2545"/>
      <c r="F64" s="2724"/>
      <c r="G64" s="2768"/>
      <c r="H64" s="1841"/>
      <c r="I64" s="992" t="s">
        <v>1325</v>
      </c>
      <c r="J64" s="912"/>
      <c r="K64" s="1841"/>
      <c r="L64" s="555"/>
      <c r="M64" s="2511"/>
      <c r="N64" s="675"/>
      <c r="O64" s="1965"/>
      <c r="P64" s="1965"/>
      <c r="AH64" s="1972">
        <v>0</v>
      </c>
    </row>
    <row s="17239" customFormat="1" customHeight="1" ht="0.75" hidden="1">
      <c r="A65" s="2121"/>
      <c r="B65" s="2121"/>
      <c r="C65" s="710" t="s">
        <v>1330</v>
      </c>
      <c r="D65" s="2803"/>
      <c r="E65" s="2545"/>
      <c r="F65" s="2724"/>
      <c r="G65" s="741"/>
      <c r="H65" s="1841"/>
      <c r="I65" s="992"/>
      <c r="J65" s="912"/>
      <c r="K65" s="1841"/>
      <c r="L65" s="555"/>
      <c r="M65" s="2511"/>
      <c r="N65" s="675"/>
      <c r="O65" s="1965"/>
      <c r="P65" s="1965"/>
      <c r="AH65" s="1972">
        <v>0</v>
      </c>
    </row>
    <row s="17239" customFormat="1" customHeight="1" ht="18.75" hidden="1">
      <c r="A66" s="2121" t="s">
        <v>245</v>
      </c>
      <c r="B66" s="2121" t="s">
        <v>246</v>
      </c>
      <c r="C66" s="710"/>
      <c r="D66" s="2803"/>
      <c r="E66" s="2545"/>
      <c r="F66" s="2724" t="str">
        <f>INDEX(PT_DIFFERENTIATION_VTAR,MATCH(A66,PT_DIFFERENTIATION_VTAR_ID,0))</f>
        <v>Тариф на горячую воду (горячее водоснабжение)</v>
      </c>
      <c r="G66" s="2768" t="str">
        <f>INDEX(PT_DIFFERENTIATION_NTAR,MATCH(B66,PT_DIFFERENTIATION_NTAR_ID,0))</f>
        <v/>
      </c>
      <c r="H66" s="2203"/>
      <c r="I66" s="2080"/>
      <c r="J66" s="2114"/>
      <c r="K66" s="2206"/>
      <c r="L66" s="2203" t="s">
        <v>301</v>
      </c>
      <c r="M66" s="2511"/>
      <c r="N66" s="675"/>
      <c r="O66" s="1965"/>
      <c r="P66" s="1965"/>
      <c r="AH66" s="1972">
        <v>0</v>
      </c>
    </row>
    <row s="17239" customFormat="1" customHeight="1" ht="18.75" hidden="1">
      <c r="A67" s="2121"/>
      <c r="B67" s="2121"/>
      <c r="C67" s="710" t="s">
        <v>1324</v>
      </c>
      <c r="D67" s="2803"/>
      <c r="E67" s="2545"/>
      <c r="F67" s="2724"/>
      <c r="G67" s="2768"/>
      <c r="H67" s="1841"/>
      <c r="I67" s="992" t="s">
        <v>1325</v>
      </c>
      <c r="J67" s="912"/>
      <c r="K67" s="1841"/>
      <c r="L67" s="555"/>
      <c r="M67" s="2511"/>
      <c r="N67" s="675"/>
      <c r="O67" s="1965"/>
      <c r="P67" s="1965"/>
      <c r="AH67" s="1972">
        <v>0</v>
      </c>
    </row>
    <row s="17239" customFormat="1" customHeight="1" ht="0.75" hidden="1">
      <c r="A68" s="2121"/>
      <c r="B68" s="2121"/>
      <c r="C68" s="710" t="s">
        <v>1330</v>
      </c>
      <c r="D68" s="2803"/>
      <c r="E68" s="2545"/>
      <c r="F68" s="2724"/>
      <c r="G68" s="741"/>
      <c r="H68" s="1841"/>
      <c r="I68" s="992"/>
      <c r="J68" s="912"/>
      <c r="K68" s="1841"/>
      <c r="L68" s="555"/>
      <c r="M68" s="2511"/>
      <c r="N68" s="675"/>
      <c r="O68" s="1965"/>
      <c r="P68" s="1965"/>
      <c r="AH68" s="1972">
        <v>0</v>
      </c>
    </row>
    <row s="17239" customFormat="1" customHeight="1" ht="18.75" hidden="1">
      <c r="A69" s="2121" t="s">
        <v>250</v>
      </c>
      <c r="B69" s="2121" t="s">
        <v>251</v>
      </c>
      <c r="C69" s="710"/>
      <c r="D69" s="2803"/>
      <c r="E69" s="2545"/>
      <c r="F69" s="2724" t="str">
        <f>INDEX(PT_DIFFERENTIATION_VTAR,MATCH(A69,PT_DIFFERENTIATION_VTAR_ID,0))</f>
        <v>Тариф на транспортировку горячей воды</v>
      </c>
      <c r="G69" s="2768" t="str">
        <f>INDEX(PT_DIFFERENTIATION_NTAR,MATCH(B69,PT_DIFFERENTIATION_NTAR_ID,0))</f>
        <v/>
      </c>
      <c r="H69" s="2203"/>
      <c r="I69" s="2080"/>
      <c r="J69" s="2114"/>
      <c r="K69" s="2206"/>
      <c r="L69" s="2203" t="s">
        <v>301</v>
      </c>
      <c r="M69" s="2511"/>
      <c r="N69" s="675"/>
      <c r="O69" s="1965"/>
      <c r="P69" s="1965"/>
      <c r="AH69" s="1972">
        <v>0</v>
      </c>
    </row>
    <row s="17239" customFormat="1" customHeight="1" ht="18.75" hidden="1">
      <c r="A70" s="2121"/>
      <c r="B70" s="2121"/>
      <c r="C70" s="710" t="s">
        <v>1324</v>
      </c>
      <c r="D70" s="2803"/>
      <c r="E70" s="2545"/>
      <c r="F70" s="2724"/>
      <c r="G70" s="2768"/>
      <c r="H70" s="1841"/>
      <c r="I70" s="992" t="s">
        <v>1325</v>
      </c>
      <c r="J70" s="912"/>
      <c r="K70" s="1841"/>
      <c r="L70" s="555"/>
      <c r="M70" s="2511"/>
      <c r="N70" s="675"/>
      <c r="O70" s="1965"/>
      <c r="P70" s="1965"/>
      <c r="AH70" s="1972">
        <v>0</v>
      </c>
    </row>
    <row s="17239" customFormat="1" customHeight="1" ht="0.75" hidden="1">
      <c r="A71" s="2121"/>
      <c r="B71" s="2121"/>
      <c r="C71" s="710" t="s">
        <v>1330</v>
      </c>
      <c r="D71" s="2803"/>
      <c r="E71" s="2545"/>
      <c r="F71" s="2724"/>
      <c r="G71" s="741"/>
      <c r="H71" s="1841"/>
      <c r="I71" s="992"/>
      <c r="J71" s="912"/>
      <c r="K71" s="1841"/>
      <c r="L71" s="555"/>
      <c r="M71" s="2511"/>
      <c r="N71" s="675"/>
      <c r="O71" s="1965"/>
      <c r="P71" s="1965"/>
      <c r="AH71" s="1972">
        <v>0</v>
      </c>
    </row>
    <row s="17239" customFormat="1" customHeight="1" ht="18.75" hidden="1">
      <c r="A72" s="2121" t="s">
        <v>255</v>
      </c>
      <c r="B72" s="2121" t="s">
        <v>256</v>
      </c>
      <c r="C72" s="710"/>
      <c r="D72" s="2803"/>
      <c r="E72" s="2545"/>
      <c r="F72" s="2724" t="str">
        <f>INDEX(PT_DIFFERENTIATION_VTAR,MATCH(A72,PT_DIFFERENTIATION_VTAR_ID,0))</f>
        <v>Тариф на подключение (технологическое присоединение) к централизованной системе горячего водоснабжения</v>
      </c>
      <c r="G72" s="2768" t="str">
        <f>INDEX(PT_DIFFERENTIATION_NTAR,MATCH(B72,PT_DIFFERENTIATION_NTAR_ID,0))</f>
        <v/>
      </c>
      <c r="H72" s="2203"/>
      <c r="I72" s="2080"/>
      <c r="J72" s="2114"/>
      <c r="K72" s="2206"/>
      <c r="L72" s="2203" t="s">
        <v>301</v>
      </c>
      <c r="M72" s="2511"/>
      <c r="N72" s="675"/>
      <c r="O72" s="1965"/>
      <c r="P72" s="1965"/>
      <c r="AH72" s="1972">
        <v>0</v>
      </c>
    </row>
    <row s="17239" customFormat="1" customHeight="1" ht="18.75" hidden="1">
      <c r="A73" s="2121"/>
      <c r="B73" s="2121"/>
      <c r="C73" s="710" t="s">
        <v>1324</v>
      </c>
      <c r="D73" s="2803"/>
      <c r="E73" s="2545"/>
      <c r="F73" s="2724"/>
      <c r="G73" s="2768"/>
      <c r="H73" s="1841"/>
      <c r="I73" s="992" t="s">
        <v>1325</v>
      </c>
      <c r="J73" s="912"/>
      <c r="K73" s="1841"/>
      <c r="L73" s="555"/>
      <c r="M73" s="2511"/>
      <c r="N73" s="675"/>
      <c r="O73" s="1965"/>
      <c r="P73" s="1965"/>
      <c r="AH73" s="1972">
        <v>0</v>
      </c>
    </row>
    <row s="17239" customFormat="1" customHeight="1" ht="0.75" hidden="1">
      <c r="A74" s="2121"/>
      <c r="B74" s="2121"/>
      <c r="C74" s="710" t="s">
        <v>1330</v>
      </c>
      <c r="D74" s="2803"/>
      <c r="E74" s="2545"/>
      <c r="F74" s="2724"/>
      <c r="G74" s="741"/>
      <c r="H74" s="1841"/>
      <c r="I74" s="992"/>
      <c r="J74" s="912"/>
      <c r="K74" s="1841"/>
      <c r="L74" s="555"/>
      <c r="M74" s="2511"/>
      <c r="N74" s="675"/>
      <c r="O74" s="1965"/>
      <c r="P74" s="1965"/>
      <c r="AH74" s="1972">
        <v>0</v>
      </c>
    </row>
    <row s="17239" customFormat="1" customHeight="1" ht="18.75" hidden="1">
      <c r="A75" s="2121" t="s">
        <v>260</v>
      </c>
      <c r="B75" s="2121" t="s">
        <v>261</v>
      </c>
      <c r="C75" s="710"/>
      <c r="D75" s="2803"/>
      <c r="E75" s="2545"/>
      <c r="F75" s="2724" t="str">
        <f>INDEX(PT_DIFFERENTIATION_VTAR,MATCH(A75,PT_DIFFERENTIATION_VTAR_ID,0))</f>
        <v>Тариф на водоотведение</v>
      </c>
      <c r="G75" s="2768" t="str">
        <f>INDEX(PT_DIFFERENTIATION_NTAR,MATCH(B75,PT_DIFFERENTIATION_NTAR_ID,0))</f>
        <v/>
      </c>
      <c r="H75" s="2203"/>
      <c r="I75" s="2080"/>
      <c r="J75" s="2114"/>
      <c r="K75" s="2206"/>
      <c r="L75" s="2203" t="s">
        <v>301</v>
      </c>
      <c r="M75" s="2511"/>
      <c r="N75" s="675"/>
      <c r="O75" s="1965"/>
      <c r="P75" s="1965"/>
      <c r="AH75" s="1972">
        <v>0</v>
      </c>
    </row>
    <row s="17239" customFormat="1" customHeight="1" ht="18.75" hidden="1">
      <c r="A76" s="2121"/>
      <c r="B76" s="2121"/>
      <c r="C76" s="710" t="s">
        <v>1324</v>
      </c>
      <c r="D76" s="2803"/>
      <c r="E76" s="2545"/>
      <c r="F76" s="2724"/>
      <c r="G76" s="2768"/>
      <c r="H76" s="1841"/>
      <c r="I76" s="992" t="s">
        <v>1325</v>
      </c>
      <c r="J76" s="912"/>
      <c r="K76" s="1841"/>
      <c r="L76" s="555"/>
      <c r="M76" s="2511"/>
      <c r="N76" s="675"/>
      <c r="O76" s="1965"/>
      <c r="P76" s="1965"/>
      <c r="AH76" s="1972">
        <v>0</v>
      </c>
    </row>
    <row s="17239" customFormat="1" customHeight="1" ht="0.75" hidden="1">
      <c r="A77" s="2121"/>
      <c r="B77" s="2121"/>
      <c r="C77" s="710" t="s">
        <v>1330</v>
      </c>
      <c r="D77" s="2803"/>
      <c r="E77" s="2545"/>
      <c r="F77" s="2724"/>
      <c r="G77" s="741"/>
      <c r="H77" s="1841"/>
      <c r="I77" s="992"/>
      <c r="J77" s="912"/>
      <c r="K77" s="1841"/>
      <c r="L77" s="555"/>
      <c r="M77" s="2511"/>
      <c r="N77" s="675"/>
      <c r="O77" s="1965"/>
      <c r="P77" s="1965"/>
      <c r="AH77" s="1972">
        <v>0</v>
      </c>
    </row>
    <row s="17239" customFormat="1" customHeight="1" ht="18.75" hidden="1">
      <c r="A78" s="2121" t="s">
        <v>265</v>
      </c>
      <c r="B78" s="2121" t="s">
        <v>266</v>
      </c>
      <c r="C78" s="710"/>
      <c r="D78" s="2803"/>
      <c r="E78" s="2545"/>
      <c r="F78" s="2724" t="str">
        <f>INDEX(PT_DIFFERENTIATION_VTAR,MATCH(A78,PT_DIFFERENTIATION_VTAR_ID,0))</f>
        <v>Тариф на транспортировку сточных вод</v>
      </c>
      <c r="G78" s="2768" t="str">
        <f>INDEX(PT_DIFFERENTIATION_NTAR,MATCH(B78,PT_DIFFERENTIATION_NTAR_ID,0))</f>
        <v/>
      </c>
      <c r="H78" s="2203"/>
      <c r="I78" s="2080"/>
      <c r="J78" s="2114"/>
      <c r="K78" s="2206"/>
      <c r="L78" s="2203" t="s">
        <v>301</v>
      </c>
      <c r="M78" s="2511"/>
      <c r="N78" s="675"/>
      <c r="O78" s="1965"/>
      <c r="P78" s="1965"/>
      <c r="AH78" s="1972">
        <v>0</v>
      </c>
    </row>
    <row s="17239" customFormat="1" customHeight="1" ht="18.75" hidden="1">
      <c r="A79" s="2121"/>
      <c r="B79" s="2121"/>
      <c r="C79" s="710" t="s">
        <v>1324</v>
      </c>
      <c r="D79" s="2803"/>
      <c r="E79" s="2545"/>
      <c r="F79" s="2724"/>
      <c r="G79" s="2768"/>
      <c r="H79" s="1841"/>
      <c r="I79" s="992" t="s">
        <v>1325</v>
      </c>
      <c r="J79" s="912"/>
      <c r="K79" s="1841"/>
      <c r="L79" s="555"/>
      <c r="M79" s="2511"/>
      <c r="N79" s="675"/>
      <c r="O79" s="1965"/>
      <c r="P79" s="1965"/>
      <c r="AH79" s="1972">
        <v>0</v>
      </c>
    </row>
    <row s="17239" customFormat="1" customHeight="1" ht="0.75" hidden="1">
      <c r="A80" s="2121"/>
      <c r="B80" s="2121"/>
      <c r="C80" s="710" t="s">
        <v>1330</v>
      </c>
      <c r="D80" s="2803"/>
      <c r="E80" s="2545"/>
      <c r="F80" s="2724"/>
      <c r="G80" s="741"/>
      <c r="H80" s="1841"/>
      <c r="I80" s="992"/>
      <c r="J80" s="912"/>
      <c r="K80" s="1841"/>
      <c r="L80" s="555"/>
      <c r="M80" s="2511"/>
      <c r="N80" s="675"/>
      <c r="O80" s="1965"/>
      <c r="P80" s="1965"/>
      <c r="AH80" s="1972">
        <v>0</v>
      </c>
    </row>
    <row s="17239" customFormat="1" customHeight="1" ht="18.75" hidden="1">
      <c r="A81" s="2121" t="s">
        <v>270</v>
      </c>
      <c r="B81" s="2121" t="s">
        <v>271</v>
      </c>
      <c r="C81" s="710"/>
      <c r="D81" s="2803"/>
      <c r="E81" s="2545"/>
      <c r="F81" s="2724" t="str">
        <f>INDEX(PT_DIFFERENTIATION_VTAR,MATCH(A81,PT_DIFFERENTIATION_VTAR_ID,0))</f>
        <v>Тариф на подключение (технологическое присоединение) к централизованной системе водоотведения</v>
      </c>
      <c r="G81" s="2768" t="str">
        <f>INDEX(PT_DIFFERENTIATION_NTAR,MATCH(B81,PT_DIFFERENTIATION_NTAR_ID,0))</f>
        <v/>
      </c>
      <c r="H81" s="2203"/>
      <c r="I81" s="2080"/>
      <c r="J81" s="2114"/>
      <c r="K81" s="2206"/>
      <c r="L81" s="2203" t="s">
        <v>301</v>
      </c>
      <c r="M81" s="2511"/>
      <c r="N81" s="675"/>
      <c r="O81" s="1965"/>
      <c r="P81" s="1965"/>
      <c r="AH81" s="1972">
        <v>0</v>
      </c>
    </row>
    <row s="17239" customFormat="1" customHeight="1" ht="18.75" hidden="1">
      <c r="A82" s="2121"/>
      <c r="B82" s="2121"/>
      <c r="C82" s="710" t="s">
        <v>1324</v>
      </c>
      <c r="D82" s="2803"/>
      <c r="E82" s="2545"/>
      <c r="F82" s="2724"/>
      <c r="G82" s="2768"/>
      <c r="H82" s="1841"/>
      <c r="I82" s="992" t="s">
        <v>1325</v>
      </c>
      <c r="J82" s="912"/>
      <c r="K82" s="1841"/>
      <c r="L82" s="555"/>
      <c r="M82" s="2511"/>
      <c r="N82" s="675"/>
      <c r="O82" s="1965"/>
      <c r="P82" s="1965"/>
      <c r="AH82" s="1972">
        <v>0</v>
      </c>
    </row>
    <row s="17239" customFormat="1" customHeight="1" ht="1.05">
      <c r="A83" s="2121"/>
      <c r="B83" s="2121"/>
      <c r="C83" s="710" t="s">
        <v>1330</v>
      </c>
      <c r="D83" s="2803"/>
      <c r="E83" s="2545"/>
      <c r="F83" s="2724"/>
      <c r="G83" s="741"/>
      <c r="H83" s="1841"/>
      <c r="I83" s="992"/>
      <c r="J83" s="912"/>
      <c r="K83" s="1841"/>
      <c r="L83" s="555"/>
      <c r="M83" s="2511"/>
      <c r="N83" s="675"/>
      <c r="O83" s="1965"/>
      <c r="P83" s="1965"/>
      <c r="AH83" s="1972">
        <v>1</v>
      </c>
    </row>
    <row customHeight="1" ht="19.95">
      <c r="A84" s="2121"/>
      <c r="B84" s="2121"/>
      <c r="D84" s="717"/>
      <c r="E84" s="488" t="s">
        <v>107</v>
      </c>
      <c r="F84" s="280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01"/>
      <c r="H84" s="2801"/>
      <c r="I84" s="2801"/>
      <c r="J84" s="2801"/>
      <c r="K84" s="2801"/>
      <c r="L84" s="2801"/>
      <c r="M84" s="638"/>
      <c r="N84" s="675"/>
      <c r="AH84" s="715">
        <v>19</v>
      </c>
    </row>
    <row customHeight="1" ht="35.699999999999996">
      <c r="A85" s="2121"/>
      <c r="B85" s="2121"/>
      <c r="D85" s="717"/>
      <c r="E85" s="740"/>
      <c r="F85" s="539" t="s">
        <v>301</v>
      </c>
      <c r="G85" s="539" t="s">
        <v>301</v>
      </c>
      <c r="H85" s="2559" t="s">
        <v>301</v>
      </c>
      <c r="I85" s="2561"/>
      <c r="J85" s="539" t="s">
        <v>301</v>
      </c>
      <c r="K85" s="539" t="s">
        <v>301</v>
      </c>
      <c r="L85" s="742"/>
      <c r="M85" s="686" t="s">
        <v>1331</v>
      </c>
      <c r="N85" s="675"/>
      <c r="AH85" s="715">
        <v>34</v>
      </c>
    </row>
    <row customHeight="1" ht="19.95">
      <c r="A86" s="2121"/>
      <c r="B86" s="2121"/>
      <c r="D86" s="717"/>
      <c r="E86" s="488" t="s">
        <v>90</v>
      </c>
      <c r="F86" s="2801" t="s">
        <v>1332</v>
      </c>
      <c r="G86" s="2801"/>
      <c r="H86" s="2801"/>
      <c r="I86" s="2801"/>
      <c r="J86" s="2801"/>
      <c r="K86" s="2801"/>
      <c r="L86" s="2801"/>
      <c r="M86" s="638"/>
      <c r="N86" s="675"/>
      <c r="AH86" s="715">
        <v>19</v>
      </c>
    </row>
    <row s="17239" customFormat="1" customHeight="1" ht="60.75" hidden="1">
      <c r="A87" s="2121" t="s">
        <v>152</v>
      </c>
      <c r="B87" s="2121" t="s">
        <v>153</v>
      </c>
      <c r="C87" s="710"/>
      <c r="D87" s="2803"/>
      <c r="E87" s="2545"/>
      <c r="F87" s="272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68" t="str">
        <f>INDEX(PT_DIFFERENTIATION_NTAR,MATCH(B87,PT_DIFFERENTIATION_NTAR_ID,0))</f>
        <v/>
      </c>
      <c r="H87" s="2203"/>
      <c r="I87" s="2080"/>
      <c r="J87" s="2114"/>
      <c r="K87" s="2119"/>
      <c r="L87" s="2203" t="s">
        <v>301</v>
      </c>
      <c r="M87"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675"/>
      <c r="O87" s="1965"/>
      <c r="P87" s="1965"/>
      <c r="AH87" s="1972">
        <v>0</v>
      </c>
    </row>
    <row s="17239" customFormat="1" customHeight="1" ht="18.75" hidden="1">
      <c r="A88" s="2121"/>
      <c r="B88" s="2121"/>
      <c r="C88" s="710" t="s">
        <v>1326</v>
      </c>
      <c r="D88" s="2803"/>
      <c r="E88" s="2545"/>
      <c r="F88" s="2724"/>
      <c r="G88" s="2768"/>
      <c r="H88" s="1841"/>
      <c r="I88" s="992" t="s">
        <v>1325</v>
      </c>
      <c r="J88" s="912"/>
      <c r="K88" s="1841"/>
      <c r="L88" s="555"/>
      <c r="M88" s="2511"/>
      <c r="N88" s="675"/>
      <c r="O88" s="1965"/>
      <c r="P88" s="1965"/>
      <c r="AH88" s="1972">
        <v>0</v>
      </c>
    </row>
    <row s="17239" customFormat="1" customHeight="1" ht="0.75" hidden="1">
      <c r="A89" s="2121"/>
      <c r="B89" s="2121"/>
      <c r="C89" s="710" t="s">
        <v>1333</v>
      </c>
      <c r="D89" s="2803"/>
      <c r="E89" s="2545"/>
      <c r="F89" s="2724"/>
      <c r="G89" s="741"/>
      <c r="H89" s="1841"/>
      <c r="I89" s="992"/>
      <c r="J89" s="912"/>
      <c r="K89" s="1841"/>
      <c r="L89" s="555"/>
      <c r="M89" s="2511"/>
      <c r="N89" s="675"/>
      <c r="O89" s="1965"/>
      <c r="P89" s="1965"/>
      <c r="AH89" s="1972">
        <v>0</v>
      </c>
    </row>
    <row s="17239" customFormat="1" customHeight="1" ht="45" hidden="1">
      <c r="A90" s="2121" t="s">
        <v>157</v>
      </c>
      <c r="B90" s="2121" t="s">
        <v>158</v>
      </c>
      <c r="C90" s="710"/>
      <c r="D90" s="2803"/>
      <c r="E90" s="2545"/>
      <c r="F90" s="2724" t="str">
        <f>INDEX(PT_DIFFERENTIATION_VTAR,MATCH(A90,PT_DIFFERENTIATION_VTAR_ID,0))</f>
        <v/>
      </c>
      <c r="G90" s="2768" t="str">
        <f>INDEX(PT_DIFFERENTIATION_NTAR,MATCH(B90,PT_DIFFERENTIATION_NTAR_ID,0))</f>
        <v/>
      </c>
      <c r="H90" s="2203"/>
      <c r="I90" s="2080"/>
      <c r="J90" s="2114"/>
      <c r="K90" s="2119"/>
      <c r="L90" s="2203" t="s">
        <v>301</v>
      </c>
      <c r="M90" s="2512"/>
      <c r="N90" s="675"/>
      <c r="O90" s="1965"/>
      <c r="P90" s="1965"/>
      <c r="AH90" s="1972">
        <v>0</v>
      </c>
    </row>
    <row s="17239" customFormat="1" customHeight="1" ht="18.75" hidden="1">
      <c r="A91" s="2121"/>
      <c r="B91" s="2121"/>
      <c r="C91" s="710" t="s">
        <v>1326</v>
      </c>
      <c r="D91" s="2803"/>
      <c r="E91" s="2545"/>
      <c r="F91" s="2724"/>
      <c r="G91" s="2768"/>
      <c r="H91" s="1841"/>
      <c r="I91" s="992" t="s">
        <v>1325</v>
      </c>
      <c r="J91" s="912"/>
      <c r="K91" s="1841"/>
      <c r="L91" s="555"/>
      <c r="M91" s="2202"/>
      <c r="N91" s="675"/>
      <c r="O91" s="1965"/>
      <c r="P91" s="1965"/>
      <c r="AH91" s="1972">
        <v>0</v>
      </c>
    </row>
    <row s="17239" customFormat="1" customHeight="1" ht="0.75" hidden="1">
      <c r="A92" s="2121"/>
      <c r="B92" s="2121"/>
      <c r="C92" s="710" t="s">
        <v>1333</v>
      </c>
      <c r="D92" s="2803"/>
      <c r="E92" s="2545"/>
      <c r="F92" s="2724"/>
      <c r="G92" s="741"/>
      <c r="H92" s="1841"/>
      <c r="I92" s="992"/>
      <c r="J92" s="912"/>
      <c r="K92" s="1841"/>
      <c r="L92" s="555"/>
      <c r="M92" s="682"/>
      <c r="N92" s="675"/>
      <c r="O92" s="1965"/>
      <c r="P92" s="1965"/>
      <c r="AH92" s="1972">
        <v>0</v>
      </c>
    </row>
    <row s="17239" customFormat="1" customHeight="1" ht="45" hidden="1">
      <c r="A93" s="2121" t="s">
        <v>164</v>
      </c>
      <c r="B93" s="2121" t="s">
        <v>165</v>
      </c>
      <c r="C93" s="710"/>
      <c r="D93" s="2803"/>
      <c r="E93" s="2545"/>
      <c r="F93" s="272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68" t="str">
        <f>INDEX(PT_DIFFERENTIATION_NTAR,MATCH(B93,PT_DIFFERENTIATION_NTAR_ID,0))</f>
        <v/>
      </c>
      <c r="H93" s="2203"/>
      <c r="I93" s="2080"/>
      <c r="J93" s="2114"/>
      <c r="K93" s="2119"/>
      <c r="L93" s="2203" t="s">
        <v>301</v>
      </c>
      <c r="M93" s="682"/>
      <c r="N93" s="675"/>
      <c r="O93" s="1965"/>
      <c r="P93" s="1965"/>
      <c r="AH93" s="1972">
        <v>0</v>
      </c>
    </row>
    <row s="17239" customFormat="1" customHeight="1" ht="18.75" hidden="1">
      <c r="A94" s="2121"/>
      <c r="B94" s="2121"/>
      <c r="C94" s="710" t="s">
        <v>1326</v>
      </c>
      <c r="D94" s="2803"/>
      <c r="E94" s="2545"/>
      <c r="F94" s="2724"/>
      <c r="G94" s="2768"/>
      <c r="H94" s="1841"/>
      <c r="I94" s="992" t="s">
        <v>1325</v>
      </c>
      <c r="J94" s="912"/>
      <c r="K94" s="1841"/>
      <c r="L94" s="555"/>
      <c r="M94" s="682"/>
      <c r="N94" s="675"/>
      <c r="O94" s="1965"/>
      <c r="P94" s="1965"/>
      <c r="AH94" s="1972">
        <v>0</v>
      </c>
    </row>
    <row s="17239" customFormat="1" customHeight="1" ht="0.75" hidden="1">
      <c r="A95" s="2121"/>
      <c r="B95" s="2121"/>
      <c r="C95" s="710" t="s">
        <v>1333</v>
      </c>
      <c r="D95" s="2803"/>
      <c r="E95" s="2545"/>
      <c r="F95" s="2724"/>
      <c r="G95" s="741"/>
      <c r="H95" s="1841"/>
      <c r="I95" s="992"/>
      <c r="J95" s="912"/>
      <c r="K95" s="1841"/>
      <c r="L95" s="555"/>
      <c r="M95" s="682"/>
      <c r="N95" s="675"/>
      <c r="O95" s="1965"/>
      <c r="P95" s="1965"/>
      <c r="AH95" s="1972">
        <v>0</v>
      </c>
    </row>
    <row s="17239" customFormat="1" customHeight="1" ht="45" hidden="1">
      <c r="A96" s="2121" t="s">
        <v>170</v>
      </c>
      <c r="B96" s="2121" t="s">
        <v>171</v>
      </c>
      <c r="C96" s="710"/>
      <c r="D96" s="2803"/>
      <c r="E96" s="2545"/>
      <c r="F96" s="272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68" t="str">
        <f>INDEX(PT_DIFFERENTIATION_NTAR,MATCH(B96,PT_DIFFERENTIATION_NTAR_ID,0))</f>
        <v/>
      </c>
      <c r="H96" s="2203"/>
      <c r="I96" s="2080"/>
      <c r="J96" s="2114"/>
      <c r="K96" s="2119"/>
      <c r="L96" s="2203" t="s">
        <v>301</v>
      </c>
      <c r="M96" s="682"/>
      <c r="N96" s="675"/>
      <c r="O96" s="1965"/>
      <c r="P96" s="1965"/>
      <c r="AH96" s="1972">
        <v>0</v>
      </c>
    </row>
    <row s="17239" customFormat="1" customHeight="1" ht="18.75" hidden="1">
      <c r="A97" s="2121"/>
      <c r="B97" s="2121"/>
      <c r="C97" s="710" t="s">
        <v>1326</v>
      </c>
      <c r="D97" s="2803"/>
      <c r="E97" s="2545"/>
      <c r="F97" s="2724"/>
      <c r="G97" s="2768"/>
      <c r="H97" s="1841"/>
      <c r="I97" s="992" t="s">
        <v>1325</v>
      </c>
      <c r="J97" s="912"/>
      <c r="K97" s="1841"/>
      <c r="L97" s="555"/>
      <c r="M97" s="682"/>
      <c r="N97" s="675"/>
      <c r="O97" s="1965"/>
      <c r="P97" s="1965"/>
      <c r="AH97" s="1972">
        <v>0</v>
      </c>
    </row>
    <row s="17239" customFormat="1" customHeight="1" ht="0.75" hidden="1">
      <c r="A98" s="2121"/>
      <c r="B98" s="2121"/>
      <c r="C98" s="710" t="s">
        <v>1333</v>
      </c>
      <c r="D98" s="2803"/>
      <c r="E98" s="2545"/>
      <c r="F98" s="2724"/>
      <c r="G98" s="741"/>
      <c r="H98" s="1841"/>
      <c r="I98" s="992"/>
      <c r="J98" s="912"/>
      <c r="K98" s="1841"/>
      <c r="L98" s="555"/>
      <c r="M98" s="682"/>
      <c r="N98" s="675"/>
      <c r="O98" s="1965"/>
      <c r="P98" s="1965"/>
      <c r="AH98" s="1972">
        <v>0</v>
      </c>
    </row>
    <row s="17239" customFormat="1" customHeight="1" ht="18.75" hidden="1">
      <c r="A99" s="2121" t="s">
        <v>176</v>
      </c>
      <c r="B99" s="2121" t="s">
        <v>177</v>
      </c>
      <c r="C99" s="710"/>
      <c r="D99" s="2803"/>
      <c r="E99" s="2545"/>
      <c r="F99" s="2724" t="str">
        <f>INDEX(PT_DIFFERENTIATION_VTAR,MATCH(A99,PT_DIFFERENTIATION_VTAR_ID,0))</f>
        <v>Тарифы на услуги по передаче тепловой энергии</v>
      </c>
      <c r="G99" s="2768" t="str">
        <f>INDEX(PT_DIFFERENTIATION_NTAR,MATCH(B99,PT_DIFFERENTIATION_NTAR_ID,0))</f>
        <v/>
      </c>
      <c r="H99" s="2203"/>
      <c r="I99" s="2080"/>
      <c r="J99" s="2114"/>
      <c r="K99" s="2119"/>
      <c r="L99" s="2203" t="s">
        <v>301</v>
      </c>
      <c r="M99" s="682"/>
      <c r="N99" s="675"/>
      <c r="O99" s="1965"/>
      <c r="P99" s="1965"/>
      <c r="AH99" s="1972">
        <v>0</v>
      </c>
    </row>
    <row s="17239" customFormat="1" customHeight="1" ht="18.75" hidden="1">
      <c r="A100" s="2121"/>
      <c r="B100" s="2121"/>
      <c r="C100" s="710" t="s">
        <v>1326</v>
      </c>
      <c r="D100" s="2803"/>
      <c r="E100" s="2545"/>
      <c r="F100" s="2724"/>
      <c r="G100" s="2768"/>
      <c r="H100" s="1841"/>
      <c r="I100" s="992" t="s">
        <v>1325</v>
      </c>
      <c r="J100" s="912"/>
      <c r="K100" s="1841"/>
      <c r="L100" s="555"/>
      <c r="M100" s="682"/>
      <c r="N100" s="675"/>
      <c r="O100" s="1965"/>
      <c r="P100" s="1965"/>
      <c r="AH100" s="1972">
        <v>0</v>
      </c>
    </row>
    <row s="17239" customFormat="1" customHeight="1" ht="0.75" hidden="1">
      <c r="A101" s="2121"/>
      <c r="B101" s="2121"/>
      <c r="C101" s="710" t="s">
        <v>1333</v>
      </c>
      <c r="D101" s="2803"/>
      <c r="E101" s="2545"/>
      <c r="F101" s="2724"/>
      <c r="G101" s="741"/>
      <c r="H101" s="1841"/>
      <c r="I101" s="992"/>
      <c r="J101" s="912"/>
      <c r="K101" s="1841"/>
      <c r="L101" s="555"/>
      <c r="M101" s="682"/>
      <c r="N101" s="675"/>
      <c r="O101" s="1965"/>
      <c r="P101" s="1965"/>
      <c r="AH101" s="1972">
        <v>0</v>
      </c>
    </row>
    <row s="17239" customFormat="1" customHeight="1" ht="18.75" hidden="1">
      <c r="A102" s="2121" t="s">
        <v>182</v>
      </c>
      <c r="B102" s="2121" t="s">
        <v>183</v>
      </c>
      <c r="C102" s="710"/>
      <c r="D102" s="2803"/>
      <c r="E102" s="2545"/>
      <c r="F102" s="2724" t="str">
        <f>INDEX(PT_DIFFERENTIATION_VTAR,MATCH(A102,PT_DIFFERENTIATION_VTAR_ID,0))</f>
        <v>Тарифы на услуги по передаче теплоносителя</v>
      </c>
      <c r="G102" s="2768" t="str">
        <f>INDEX(PT_DIFFERENTIATION_NTAR,MATCH(B102,PT_DIFFERENTIATION_NTAR_ID,0))</f>
        <v/>
      </c>
      <c r="H102" s="2203"/>
      <c r="I102" s="2080"/>
      <c r="J102" s="2114"/>
      <c r="K102" s="2119"/>
      <c r="L102" s="2203" t="s">
        <v>301</v>
      </c>
      <c r="M102" s="682"/>
      <c r="N102" s="675"/>
      <c r="O102" s="1965"/>
      <c r="P102" s="1965"/>
      <c r="AH102" s="1972">
        <v>0</v>
      </c>
    </row>
    <row s="17239" customFormat="1" customHeight="1" ht="18.75" hidden="1">
      <c r="A103" s="2121"/>
      <c r="B103" s="2121"/>
      <c r="C103" s="710" t="s">
        <v>1326</v>
      </c>
      <c r="D103" s="2803"/>
      <c r="E103" s="2545"/>
      <c r="F103" s="2724"/>
      <c r="G103" s="2768"/>
      <c r="H103" s="1841"/>
      <c r="I103" s="992" t="s">
        <v>1325</v>
      </c>
      <c r="J103" s="912"/>
      <c r="K103" s="1841"/>
      <c r="L103" s="555"/>
      <c r="M103" s="682"/>
      <c r="N103" s="675"/>
      <c r="O103" s="1965"/>
      <c r="P103" s="1965"/>
      <c r="AH103" s="1972">
        <v>0</v>
      </c>
    </row>
    <row s="17239" customFormat="1" customHeight="1" ht="0.75" hidden="1">
      <c r="A104" s="2121"/>
      <c r="B104" s="2121"/>
      <c r="C104" s="710" t="s">
        <v>1333</v>
      </c>
      <c r="D104" s="2803"/>
      <c r="E104" s="2545"/>
      <c r="F104" s="2724"/>
      <c r="G104" s="741"/>
      <c r="H104" s="1841"/>
      <c r="I104" s="992"/>
      <c r="J104" s="912"/>
      <c r="K104" s="1841"/>
      <c r="L104" s="555"/>
      <c r="M104" s="682"/>
      <c r="N104" s="675"/>
      <c r="O104" s="1965"/>
      <c r="P104" s="1965"/>
      <c r="AH104" s="1972">
        <v>0</v>
      </c>
    </row>
    <row s="17239" customFormat="1" customHeight="1" ht="18.75" hidden="1">
      <c r="A105" s="2121" t="s">
        <v>188</v>
      </c>
      <c r="B105" s="2121" t="s">
        <v>189</v>
      </c>
      <c r="C105" s="710"/>
      <c r="D105" s="2803"/>
      <c r="E105" s="2545"/>
      <c r="F105" s="272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68" t="str">
        <f>INDEX(PT_DIFFERENTIATION_NTAR,MATCH(B105,PT_DIFFERENTIATION_NTAR_ID,0))</f>
        <v/>
      </c>
      <c r="H105" s="2203"/>
      <c r="I105" s="2080"/>
      <c r="J105" s="2114"/>
      <c r="K105" s="2119"/>
      <c r="L105" s="2203" t="s">
        <v>301</v>
      </c>
      <c r="M105" s="682"/>
      <c r="N105" s="675"/>
      <c r="O105" s="1965"/>
      <c r="P105" s="1965"/>
      <c r="AH105" s="1972">
        <v>0</v>
      </c>
    </row>
    <row s="17239" customFormat="1" customHeight="1" ht="18.75" hidden="1">
      <c r="A106" s="2121"/>
      <c r="B106" s="2121"/>
      <c r="C106" s="710" t="s">
        <v>1326</v>
      </c>
      <c r="D106" s="2803"/>
      <c r="E106" s="2545"/>
      <c r="F106" s="2724"/>
      <c r="G106" s="2768"/>
      <c r="H106" s="1841"/>
      <c r="I106" s="992" t="s">
        <v>1325</v>
      </c>
      <c r="J106" s="912"/>
      <c r="K106" s="1841"/>
      <c r="L106" s="555"/>
      <c r="M106" s="682"/>
      <c r="N106" s="675"/>
      <c r="O106" s="1965"/>
      <c r="P106" s="1965"/>
      <c r="AH106" s="1972">
        <v>0</v>
      </c>
    </row>
    <row s="17239" customFormat="1" customHeight="1" ht="0.75" hidden="1">
      <c r="A107" s="2121"/>
      <c r="B107" s="2121"/>
      <c r="C107" s="710" t="s">
        <v>1333</v>
      </c>
      <c r="D107" s="2803"/>
      <c r="E107" s="2545"/>
      <c r="F107" s="2724"/>
      <c r="G107" s="741"/>
      <c r="H107" s="1841"/>
      <c r="I107" s="992"/>
      <c r="J107" s="912"/>
      <c r="K107" s="1841"/>
      <c r="L107" s="555"/>
      <c r="M107" s="682"/>
      <c r="N107" s="675"/>
      <c r="O107" s="1965"/>
      <c r="P107" s="1965"/>
      <c r="AH107" s="1972">
        <v>0</v>
      </c>
    </row>
    <row s="17239" customFormat="1" customHeight="1" ht="18.75" hidden="1">
      <c r="A108" s="2121" t="s">
        <v>194</v>
      </c>
      <c r="B108" s="2121" t="s">
        <v>195</v>
      </c>
      <c r="C108" s="710"/>
      <c r="D108" s="2803"/>
      <c r="E108" s="2545"/>
      <c r="F108" s="2724" t="str">
        <f>INDEX(PT_DIFFERENTIATION_VTAR,MATCH(A108,PT_DIFFERENTIATION_VTAR_ID,0))</f>
        <v>Плата за подключение (технологическое присоединение) к системе теплоснабжения</v>
      </c>
      <c r="G108" s="2768" t="str">
        <f>INDEX(PT_DIFFERENTIATION_NTAR,MATCH(B108,PT_DIFFERENTIATION_NTAR_ID,0))</f>
        <v/>
      </c>
      <c r="H108" s="2203"/>
      <c r="I108" s="2080"/>
      <c r="J108" s="2114"/>
      <c r="K108" s="2119"/>
      <c r="L108" s="2203" t="s">
        <v>301</v>
      </c>
      <c r="M108" s="682"/>
      <c r="N108" s="675"/>
      <c r="O108" s="1965"/>
      <c r="P108" s="1965"/>
      <c r="AH108" s="1972">
        <v>0</v>
      </c>
    </row>
    <row s="17239" customFormat="1" customHeight="1" ht="18.75" hidden="1">
      <c r="A109" s="2121"/>
      <c r="B109" s="2121"/>
      <c r="C109" s="710" t="s">
        <v>1326</v>
      </c>
      <c r="D109" s="2803"/>
      <c r="E109" s="2545"/>
      <c r="F109" s="2724"/>
      <c r="G109" s="2768"/>
      <c r="H109" s="1841"/>
      <c r="I109" s="992" t="s">
        <v>1325</v>
      </c>
      <c r="J109" s="912"/>
      <c r="K109" s="1841"/>
      <c r="L109" s="555"/>
      <c r="M109" s="682"/>
      <c r="N109" s="675"/>
      <c r="O109" s="1965"/>
      <c r="P109" s="1965"/>
      <c r="AH109" s="1972">
        <v>0</v>
      </c>
    </row>
    <row s="17239" customFormat="1" customHeight="1" ht="0.75" hidden="1">
      <c r="A110" s="2121"/>
      <c r="B110" s="2121"/>
      <c r="C110" s="710" t="s">
        <v>1333</v>
      </c>
      <c r="D110" s="2803"/>
      <c r="E110" s="2545"/>
      <c r="F110" s="2724"/>
      <c r="G110" s="741"/>
      <c r="H110" s="1841"/>
      <c r="I110" s="992"/>
      <c r="J110" s="912"/>
      <c r="K110" s="1841"/>
      <c r="L110" s="555"/>
      <c r="M110" s="682"/>
      <c r="N110" s="675"/>
      <c r="O110" s="1965"/>
      <c r="P110" s="1965"/>
      <c r="AH110" s="1972">
        <v>0</v>
      </c>
    </row>
    <row s="17239" customFormat="1" customHeight="1" ht="18.75" hidden="1">
      <c r="A111" s="2121" t="s">
        <v>200</v>
      </c>
      <c r="B111" s="2121" t="s">
        <v>201</v>
      </c>
      <c r="C111" s="710"/>
      <c r="D111" s="2803"/>
      <c r="E111" s="2545"/>
      <c r="F111" s="2724" t="str">
        <f>INDEX(PT_DIFFERENTIATION_VTAR,MATCH(A111,PT_DIFFERENTIATION_VTAR_ID,0))</f>
        <v>Плата за подключение (технологическое присоединение) к системе теплоснабжения (индивидуальная)</v>
      </c>
      <c r="G111" s="2768" t="str">
        <f>INDEX(PT_DIFFERENTIATION_NTAR,MATCH(B111,PT_DIFFERENTIATION_NTAR_ID,0))</f>
        <v/>
      </c>
      <c r="H111" s="2330"/>
      <c r="I111" s="2080"/>
      <c r="J111" s="2114"/>
      <c r="K111" s="2119"/>
      <c r="L111" s="2330" t="s">
        <v>301</v>
      </c>
      <c r="M111" s="682"/>
      <c r="N111" s="675"/>
      <c r="O111" s="1965"/>
      <c r="P111" s="1965"/>
      <c r="AH111" s="1972">
        <v>0</v>
      </c>
    </row>
    <row s="17239" customFormat="1" customHeight="1" ht="18.75" hidden="1">
      <c r="A112" s="2121"/>
      <c r="B112" s="2121"/>
      <c r="C112" s="710" t="s">
        <v>1326</v>
      </c>
      <c r="D112" s="2803"/>
      <c r="E112" s="2545"/>
      <c r="F112" s="2724"/>
      <c r="G112" s="2768"/>
      <c r="H112" s="1841"/>
      <c r="I112" s="992" t="s">
        <v>1325</v>
      </c>
      <c r="J112" s="912"/>
      <c r="K112" s="1841"/>
      <c r="L112" s="555"/>
      <c r="M112" s="682"/>
      <c r="N112" s="675"/>
      <c r="O112" s="1965"/>
      <c r="P112" s="1965"/>
      <c r="AH112" s="1972">
        <v>0</v>
      </c>
    </row>
    <row s="17239" customFormat="1" customHeight="1" ht="0.75" hidden="1">
      <c r="A113" s="2121"/>
      <c r="B113" s="2121"/>
      <c r="C113" s="710" t="s">
        <v>1333</v>
      </c>
      <c r="D113" s="2803"/>
      <c r="E113" s="2545"/>
      <c r="F113" s="2724"/>
      <c r="G113" s="741"/>
      <c r="H113" s="1841"/>
      <c r="I113" s="992"/>
      <c r="J113" s="912"/>
      <c r="K113" s="1841"/>
      <c r="L113" s="555"/>
      <c r="M113" s="682"/>
      <c r="N113" s="675"/>
      <c r="O113" s="1965"/>
      <c r="P113" s="1965"/>
      <c r="AH113" s="1972">
        <v>0</v>
      </c>
    </row>
    <row s="17239" customFormat="1" customHeight="1" ht="18.75" hidden="1">
      <c r="A114" s="2121" t="s">
        <v>220</v>
      </c>
      <c r="B114" s="2121" t="s">
        <v>221</v>
      </c>
      <c r="C114" s="710"/>
      <c r="D114" s="2803"/>
      <c r="E114" s="2545"/>
      <c r="F114" s="2724" t="str">
        <f>INDEX(PT_DIFFERENTIATION_VTAR,MATCH(A114,PT_DIFFERENTIATION_VTAR_ID,0))</f>
        <v>Тариф на питьевую воду (питьевое водоснабжение)</v>
      </c>
      <c r="G114" s="2768" t="str">
        <f>INDEX(PT_DIFFERENTIATION_NTAR,MATCH(B114,PT_DIFFERENTIATION_NTAR_ID,0))</f>
        <v/>
      </c>
      <c r="H114" s="2203"/>
      <c r="I114" s="2080"/>
      <c r="J114" s="2114"/>
      <c r="K114" s="2119"/>
      <c r="L114" s="2203" t="s">
        <v>301</v>
      </c>
      <c r="M114" s="682"/>
      <c r="N114" s="675"/>
      <c r="O114" s="1965"/>
      <c r="P114" s="1965"/>
      <c r="AH114" s="1972">
        <v>0</v>
      </c>
    </row>
    <row s="17239" customFormat="1" customHeight="1" ht="18.75" hidden="1">
      <c r="A115" s="2121"/>
      <c r="B115" s="2121"/>
      <c r="C115" s="710" t="s">
        <v>1326</v>
      </c>
      <c r="D115" s="2803"/>
      <c r="E115" s="2545"/>
      <c r="F115" s="2724"/>
      <c r="G115" s="2768"/>
      <c r="H115" s="1841"/>
      <c r="I115" s="992" t="s">
        <v>1325</v>
      </c>
      <c r="J115" s="912"/>
      <c r="K115" s="1841"/>
      <c r="L115" s="555"/>
      <c r="M115" s="682"/>
      <c r="N115" s="675"/>
      <c r="O115" s="1965"/>
      <c r="P115" s="1965"/>
      <c r="AH115" s="1972">
        <v>0</v>
      </c>
    </row>
    <row s="17239" customFormat="1" customHeight="1" ht="0.75" hidden="1">
      <c r="A116" s="2121"/>
      <c r="B116" s="2121"/>
      <c r="C116" s="710" t="s">
        <v>1333</v>
      </c>
      <c r="D116" s="2803"/>
      <c r="E116" s="2545"/>
      <c r="F116" s="2724"/>
      <c r="G116" s="741"/>
      <c r="H116" s="1841"/>
      <c r="I116" s="992"/>
      <c r="J116" s="912"/>
      <c r="K116" s="1841"/>
      <c r="L116" s="555"/>
      <c r="M116" s="682"/>
      <c r="N116" s="675"/>
      <c r="O116" s="1965"/>
      <c r="P116" s="1965"/>
      <c r="AH116" s="1972">
        <v>0</v>
      </c>
    </row>
    <row s="17239" customFormat="1" customHeight="1" ht="18.75" hidden="1">
      <c r="A117" s="2121" t="s">
        <v>225</v>
      </c>
      <c r="B117" s="2121" t="s">
        <v>226</v>
      </c>
      <c r="C117" s="710"/>
      <c r="D117" s="2803"/>
      <c r="E117" s="2545"/>
      <c r="F117" s="2724" t="str">
        <f>INDEX(PT_DIFFERENTIATION_VTAR,MATCH(A117,PT_DIFFERENTIATION_VTAR_ID,0))</f>
        <v>Тариф на техническую воду</v>
      </c>
      <c r="G117" s="2768" t="str">
        <f>INDEX(PT_DIFFERENTIATION_NTAR,MATCH(B117,PT_DIFFERENTIATION_NTAR_ID,0))</f>
        <v/>
      </c>
      <c r="H117" s="2203"/>
      <c r="I117" s="2080"/>
      <c r="J117" s="2114"/>
      <c r="K117" s="2119"/>
      <c r="L117" s="2203" t="s">
        <v>301</v>
      </c>
      <c r="M117" s="682"/>
      <c r="N117" s="675"/>
      <c r="O117" s="1965"/>
      <c r="P117" s="1965"/>
      <c r="AH117" s="1972">
        <v>0</v>
      </c>
    </row>
    <row s="17239" customFormat="1" customHeight="1" ht="18.75" hidden="1">
      <c r="A118" s="2121"/>
      <c r="B118" s="2121"/>
      <c r="C118" s="710" t="s">
        <v>1326</v>
      </c>
      <c r="D118" s="2803"/>
      <c r="E118" s="2545"/>
      <c r="F118" s="2724"/>
      <c r="G118" s="2768"/>
      <c r="H118" s="1841"/>
      <c r="I118" s="992" t="s">
        <v>1325</v>
      </c>
      <c r="J118" s="912"/>
      <c r="K118" s="1841"/>
      <c r="L118" s="555"/>
      <c r="M118" s="682"/>
      <c r="N118" s="675"/>
      <c r="O118" s="1965"/>
      <c r="P118" s="1965"/>
      <c r="AH118" s="1972">
        <v>0</v>
      </c>
    </row>
    <row s="17239" customFormat="1" customHeight="1" ht="0.75" hidden="1">
      <c r="A119" s="2121"/>
      <c r="B119" s="2121"/>
      <c r="C119" s="710" t="s">
        <v>1333</v>
      </c>
      <c r="D119" s="2803"/>
      <c r="E119" s="2545"/>
      <c r="F119" s="2724"/>
      <c r="G119" s="741"/>
      <c r="H119" s="1841"/>
      <c r="I119" s="992"/>
      <c r="J119" s="912"/>
      <c r="K119" s="1841"/>
      <c r="L119" s="555"/>
      <c r="M119" s="682"/>
      <c r="N119" s="675"/>
      <c r="O119" s="1965"/>
      <c r="P119" s="1965"/>
      <c r="AH119" s="1972">
        <v>0</v>
      </c>
    </row>
    <row s="17239" customFormat="1" customHeight="1" ht="18.75" hidden="1">
      <c r="A120" s="2121" t="s">
        <v>230</v>
      </c>
      <c r="B120" s="2121" t="s">
        <v>231</v>
      </c>
      <c r="C120" s="710"/>
      <c r="D120" s="2803"/>
      <c r="E120" s="2545"/>
      <c r="F120" s="2724" t="str">
        <f>INDEX(PT_DIFFERENTIATION_VTAR,MATCH(A120,PT_DIFFERENTIATION_VTAR_ID,0))</f>
        <v>Тариф на транспортировку воды</v>
      </c>
      <c r="G120" s="2768" t="str">
        <f>INDEX(PT_DIFFERENTIATION_NTAR,MATCH(B120,PT_DIFFERENTIATION_NTAR_ID,0))</f>
        <v/>
      </c>
      <c r="H120" s="2203"/>
      <c r="I120" s="2080"/>
      <c r="J120" s="2114"/>
      <c r="K120" s="2119"/>
      <c r="L120" s="2203" t="s">
        <v>301</v>
      </c>
      <c r="M120" s="682"/>
      <c r="N120" s="675"/>
      <c r="O120" s="1965"/>
      <c r="P120" s="1965"/>
      <c r="AH120" s="1972">
        <v>0</v>
      </c>
    </row>
    <row s="17239" customFormat="1" customHeight="1" ht="18.75" hidden="1">
      <c r="A121" s="2121"/>
      <c r="B121" s="2121"/>
      <c r="C121" s="710" t="s">
        <v>1326</v>
      </c>
      <c r="D121" s="2803"/>
      <c r="E121" s="2545"/>
      <c r="F121" s="2724"/>
      <c r="G121" s="2768"/>
      <c r="H121" s="1841"/>
      <c r="I121" s="992" t="s">
        <v>1325</v>
      </c>
      <c r="J121" s="912"/>
      <c r="K121" s="1841"/>
      <c r="L121" s="555"/>
      <c r="M121" s="682"/>
      <c r="N121" s="675"/>
      <c r="O121" s="1965"/>
      <c r="P121" s="1965"/>
      <c r="AH121" s="1972">
        <v>0</v>
      </c>
    </row>
    <row s="17239" customFormat="1" customHeight="1" ht="0.75" hidden="1">
      <c r="A122" s="2121"/>
      <c r="B122" s="2121"/>
      <c r="C122" s="710" t="s">
        <v>1333</v>
      </c>
      <c r="D122" s="2803"/>
      <c r="E122" s="2545"/>
      <c r="F122" s="2724"/>
      <c r="G122" s="741"/>
      <c r="H122" s="1841"/>
      <c r="I122" s="992"/>
      <c r="J122" s="912"/>
      <c r="K122" s="1841"/>
      <c r="L122" s="555"/>
      <c r="M122" s="682"/>
      <c r="N122" s="675"/>
      <c r="O122" s="1965"/>
      <c r="P122" s="1965"/>
      <c r="AH122" s="1972">
        <v>0</v>
      </c>
    </row>
    <row s="17239" customFormat="1" customHeight="1" ht="18.75" hidden="1">
      <c r="A123" s="2121" t="s">
        <v>235</v>
      </c>
      <c r="B123" s="2121" t="s">
        <v>236</v>
      </c>
      <c r="C123" s="710"/>
      <c r="D123" s="2803"/>
      <c r="E123" s="2545"/>
      <c r="F123" s="2724" t="str">
        <f>INDEX(PT_DIFFERENTIATION_VTAR,MATCH(A123,PT_DIFFERENTIATION_VTAR_ID,0))</f>
        <v>Тариф на подвоз воды</v>
      </c>
      <c r="G123" s="2768" t="str">
        <f>INDEX(PT_DIFFERENTIATION_NTAR,MATCH(B123,PT_DIFFERENTIATION_NTAR_ID,0))</f>
        <v/>
      </c>
      <c r="H123" s="2203"/>
      <c r="I123" s="2080"/>
      <c r="J123" s="2114"/>
      <c r="K123" s="2119"/>
      <c r="L123" s="2203" t="s">
        <v>301</v>
      </c>
      <c r="M123" s="682"/>
      <c r="N123" s="675"/>
      <c r="O123" s="1965"/>
      <c r="P123" s="1965"/>
      <c r="AH123" s="1972">
        <v>0</v>
      </c>
    </row>
    <row s="17239" customFormat="1" customHeight="1" ht="18.75" hidden="1">
      <c r="A124" s="2121"/>
      <c r="B124" s="2121"/>
      <c r="C124" s="710" t="s">
        <v>1326</v>
      </c>
      <c r="D124" s="2803"/>
      <c r="E124" s="2545"/>
      <c r="F124" s="2724"/>
      <c r="G124" s="2768"/>
      <c r="H124" s="1841"/>
      <c r="I124" s="992" t="s">
        <v>1325</v>
      </c>
      <c r="J124" s="912"/>
      <c r="K124" s="1841"/>
      <c r="L124" s="555"/>
      <c r="M124" s="682"/>
      <c r="N124" s="675"/>
      <c r="O124" s="1965"/>
      <c r="P124" s="1965"/>
      <c r="AH124" s="1972">
        <v>0</v>
      </c>
    </row>
    <row s="17239" customFormat="1" customHeight="1" ht="0.75" hidden="1">
      <c r="A125" s="2121"/>
      <c r="B125" s="2121"/>
      <c r="C125" s="710" t="s">
        <v>1333</v>
      </c>
      <c r="D125" s="2803"/>
      <c r="E125" s="2545"/>
      <c r="F125" s="2724"/>
      <c r="G125" s="741"/>
      <c r="H125" s="1841"/>
      <c r="I125" s="992"/>
      <c r="J125" s="912"/>
      <c r="K125" s="1841"/>
      <c r="L125" s="555"/>
      <c r="M125" s="682"/>
      <c r="N125" s="675"/>
      <c r="O125" s="1965"/>
      <c r="P125" s="1965"/>
      <c r="AH125" s="1972">
        <v>0</v>
      </c>
    </row>
    <row s="17239" customFormat="1" customHeight="1" ht="18.75" hidden="1">
      <c r="A126" s="2121" t="s">
        <v>240</v>
      </c>
      <c r="B126" s="2121" t="s">
        <v>241</v>
      </c>
      <c r="C126" s="710"/>
      <c r="D126" s="2803"/>
      <c r="E126" s="2545"/>
      <c r="F126" s="272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68" t="str">
        <f>INDEX(PT_DIFFERENTIATION_NTAR,MATCH(B126,PT_DIFFERENTIATION_NTAR_ID,0))</f>
        <v/>
      </c>
      <c r="H126" s="2203"/>
      <c r="I126" s="2080"/>
      <c r="J126" s="2114"/>
      <c r="K126" s="2119"/>
      <c r="L126" s="2203" t="s">
        <v>301</v>
      </c>
      <c r="M126" s="682"/>
      <c r="N126" s="675"/>
      <c r="O126" s="1965"/>
      <c r="P126" s="1965"/>
      <c r="AH126" s="1972">
        <v>0</v>
      </c>
    </row>
    <row s="17239" customFormat="1" customHeight="1" ht="18.75" hidden="1">
      <c r="A127" s="2121"/>
      <c r="B127" s="2121"/>
      <c r="C127" s="710" t="s">
        <v>1326</v>
      </c>
      <c r="D127" s="2803"/>
      <c r="E127" s="2545"/>
      <c r="F127" s="2724"/>
      <c r="G127" s="2768"/>
      <c r="H127" s="1841"/>
      <c r="I127" s="992" t="s">
        <v>1325</v>
      </c>
      <c r="J127" s="912"/>
      <c r="K127" s="1841"/>
      <c r="L127" s="555"/>
      <c r="M127" s="682"/>
      <c r="N127" s="675"/>
      <c r="O127" s="1965"/>
      <c r="P127" s="1965"/>
      <c r="AH127" s="1972">
        <v>0</v>
      </c>
    </row>
    <row s="17239" customFormat="1" customHeight="1" ht="0.75" hidden="1">
      <c r="A128" s="2121"/>
      <c r="B128" s="2121"/>
      <c r="C128" s="710" t="s">
        <v>1333</v>
      </c>
      <c r="D128" s="2803"/>
      <c r="E128" s="2545"/>
      <c r="F128" s="2724"/>
      <c r="G128" s="741"/>
      <c r="H128" s="1841"/>
      <c r="I128" s="992"/>
      <c r="J128" s="912"/>
      <c r="K128" s="1841"/>
      <c r="L128" s="555"/>
      <c r="M128" s="682"/>
      <c r="N128" s="675"/>
      <c r="O128" s="1965"/>
      <c r="P128" s="1965"/>
      <c r="AH128" s="1972">
        <v>0</v>
      </c>
    </row>
    <row s="17239" customFormat="1" customHeight="1" ht="18.75" hidden="1">
      <c r="A129" s="2121" t="s">
        <v>245</v>
      </c>
      <c r="B129" s="2121" t="s">
        <v>246</v>
      </c>
      <c r="C129" s="710"/>
      <c r="D129" s="2803"/>
      <c r="E129" s="2545"/>
      <c r="F129" s="2724" t="str">
        <f>INDEX(PT_DIFFERENTIATION_VTAR,MATCH(A129,PT_DIFFERENTIATION_VTAR_ID,0))</f>
        <v>Тариф на горячую воду (горячее водоснабжение)</v>
      </c>
      <c r="G129" s="2768" t="str">
        <f>INDEX(PT_DIFFERENTIATION_NTAR,MATCH(B129,PT_DIFFERENTIATION_NTAR_ID,0))</f>
        <v/>
      </c>
      <c r="H129" s="2203"/>
      <c r="I129" s="2080"/>
      <c r="J129" s="2114"/>
      <c r="K129" s="2119"/>
      <c r="L129" s="2203" t="s">
        <v>301</v>
      </c>
      <c r="M129" s="682"/>
      <c r="N129" s="675"/>
      <c r="O129" s="1965"/>
      <c r="P129" s="1965"/>
      <c r="AH129" s="1972">
        <v>0</v>
      </c>
    </row>
    <row s="17239" customFormat="1" customHeight="1" ht="18.75" hidden="1">
      <c r="A130" s="2121"/>
      <c r="B130" s="2121"/>
      <c r="C130" s="710" t="s">
        <v>1326</v>
      </c>
      <c r="D130" s="2803"/>
      <c r="E130" s="2545"/>
      <c r="F130" s="2724"/>
      <c r="G130" s="2768"/>
      <c r="H130" s="1841"/>
      <c r="I130" s="992" t="s">
        <v>1325</v>
      </c>
      <c r="J130" s="912"/>
      <c r="K130" s="1841"/>
      <c r="L130" s="555"/>
      <c r="M130" s="682"/>
      <c r="N130" s="675"/>
      <c r="O130" s="1965"/>
      <c r="P130" s="1965"/>
      <c r="AH130" s="1972">
        <v>0</v>
      </c>
    </row>
    <row s="17239" customFormat="1" customHeight="1" ht="0.75" hidden="1">
      <c r="A131" s="2121"/>
      <c r="B131" s="2121"/>
      <c r="C131" s="710" t="s">
        <v>1333</v>
      </c>
      <c r="D131" s="2803"/>
      <c r="E131" s="2545"/>
      <c r="F131" s="2724"/>
      <c r="G131" s="741"/>
      <c r="H131" s="1841"/>
      <c r="I131" s="992"/>
      <c r="J131" s="912"/>
      <c r="K131" s="1841"/>
      <c r="L131" s="555"/>
      <c r="M131" s="682"/>
      <c r="N131" s="675"/>
      <c r="O131" s="1965"/>
      <c r="P131" s="1965"/>
      <c r="AH131" s="1972">
        <v>0</v>
      </c>
    </row>
    <row s="17239" customFormat="1" customHeight="1" ht="18.75" hidden="1">
      <c r="A132" s="2121" t="s">
        <v>250</v>
      </c>
      <c r="B132" s="2121" t="s">
        <v>251</v>
      </c>
      <c r="C132" s="710"/>
      <c r="D132" s="2803"/>
      <c r="E132" s="2545"/>
      <c r="F132" s="2724" t="str">
        <f>INDEX(PT_DIFFERENTIATION_VTAR,MATCH(A132,PT_DIFFERENTIATION_VTAR_ID,0))</f>
        <v>Тариф на транспортировку горячей воды</v>
      </c>
      <c r="G132" s="2768" t="str">
        <f>INDEX(PT_DIFFERENTIATION_NTAR,MATCH(B132,PT_DIFFERENTIATION_NTAR_ID,0))</f>
        <v/>
      </c>
      <c r="H132" s="2203"/>
      <c r="I132" s="2080"/>
      <c r="J132" s="2114"/>
      <c r="K132" s="2119"/>
      <c r="L132" s="2203" t="s">
        <v>301</v>
      </c>
      <c r="M132" s="682"/>
      <c r="N132" s="675"/>
      <c r="O132" s="1965"/>
      <c r="P132" s="1965"/>
      <c r="AH132" s="1972">
        <v>0</v>
      </c>
    </row>
    <row s="17239" customFormat="1" customHeight="1" ht="18.75" hidden="1">
      <c r="A133" s="2121"/>
      <c r="B133" s="2121"/>
      <c r="C133" s="710" t="s">
        <v>1326</v>
      </c>
      <c r="D133" s="2803"/>
      <c r="E133" s="2545"/>
      <c r="F133" s="2724"/>
      <c r="G133" s="2768"/>
      <c r="H133" s="1841"/>
      <c r="I133" s="992" t="s">
        <v>1325</v>
      </c>
      <c r="J133" s="912"/>
      <c r="K133" s="1841"/>
      <c r="L133" s="555"/>
      <c r="M133" s="682"/>
      <c r="N133" s="675"/>
      <c r="O133" s="1965"/>
      <c r="P133" s="1965"/>
      <c r="AH133" s="1972">
        <v>0</v>
      </c>
    </row>
    <row s="17239" customFormat="1" customHeight="1" ht="0.75" hidden="1">
      <c r="A134" s="2121"/>
      <c r="B134" s="2121"/>
      <c r="C134" s="710" t="s">
        <v>1333</v>
      </c>
      <c r="D134" s="2803"/>
      <c r="E134" s="2545"/>
      <c r="F134" s="2724"/>
      <c r="G134" s="741"/>
      <c r="H134" s="1841"/>
      <c r="I134" s="992"/>
      <c r="J134" s="912"/>
      <c r="K134" s="1841"/>
      <c r="L134" s="555"/>
      <c r="M134" s="682"/>
      <c r="N134" s="675"/>
      <c r="O134" s="1965"/>
      <c r="P134" s="1965"/>
      <c r="AH134" s="1972">
        <v>0</v>
      </c>
    </row>
    <row s="17239" customFormat="1" customHeight="1" ht="18.75" hidden="1">
      <c r="A135" s="2121" t="s">
        <v>255</v>
      </c>
      <c r="B135" s="2121" t="s">
        <v>256</v>
      </c>
      <c r="C135" s="710"/>
      <c r="D135" s="2803"/>
      <c r="E135" s="2545"/>
      <c r="F135" s="272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68" t="str">
        <f>INDEX(PT_DIFFERENTIATION_NTAR,MATCH(B135,PT_DIFFERENTIATION_NTAR_ID,0))</f>
        <v/>
      </c>
      <c r="H135" s="2203"/>
      <c r="I135" s="2080"/>
      <c r="J135" s="2114"/>
      <c r="K135" s="2119"/>
      <c r="L135" s="2203" t="s">
        <v>301</v>
      </c>
      <c r="M135" s="682"/>
      <c r="N135" s="675"/>
      <c r="O135" s="1965"/>
      <c r="P135" s="1965"/>
      <c r="AH135" s="1972">
        <v>0</v>
      </c>
    </row>
    <row s="17239" customFormat="1" customHeight="1" ht="18.75" hidden="1">
      <c r="A136" s="2121"/>
      <c r="B136" s="2121"/>
      <c r="C136" s="710" t="s">
        <v>1326</v>
      </c>
      <c r="D136" s="2803"/>
      <c r="E136" s="2545"/>
      <c r="F136" s="2724"/>
      <c r="G136" s="2768"/>
      <c r="H136" s="1841"/>
      <c r="I136" s="992" t="s">
        <v>1325</v>
      </c>
      <c r="J136" s="912"/>
      <c r="K136" s="1841"/>
      <c r="L136" s="555"/>
      <c r="M136" s="682"/>
      <c r="N136" s="675"/>
      <c r="O136" s="1965"/>
      <c r="P136" s="1965"/>
      <c r="AH136" s="1972">
        <v>0</v>
      </c>
    </row>
    <row s="17239" customFormat="1" customHeight="1" ht="0.75" hidden="1">
      <c r="A137" s="2121"/>
      <c r="B137" s="2121"/>
      <c r="C137" s="710" t="s">
        <v>1333</v>
      </c>
      <c r="D137" s="2803"/>
      <c r="E137" s="2545"/>
      <c r="F137" s="2724"/>
      <c r="G137" s="741"/>
      <c r="H137" s="1841"/>
      <c r="I137" s="992"/>
      <c r="J137" s="912"/>
      <c r="K137" s="1841"/>
      <c r="L137" s="555"/>
      <c r="M137" s="682"/>
      <c r="N137" s="675"/>
      <c r="O137" s="1965"/>
      <c r="P137" s="1965"/>
      <c r="AH137" s="1972">
        <v>0</v>
      </c>
    </row>
    <row s="17239" customFormat="1" customHeight="1" ht="18.75" hidden="1">
      <c r="A138" s="2121" t="s">
        <v>260</v>
      </c>
      <c r="B138" s="2121" t="s">
        <v>261</v>
      </c>
      <c r="C138" s="710"/>
      <c r="D138" s="2803"/>
      <c r="E138" s="2545"/>
      <c r="F138" s="2724" t="str">
        <f>INDEX(PT_DIFFERENTIATION_VTAR,MATCH(A138,PT_DIFFERENTIATION_VTAR_ID,0))</f>
        <v>Тариф на водоотведение</v>
      </c>
      <c r="G138" s="2768" t="str">
        <f>INDEX(PT_DIFFERENTIATION_NTAR,MATCH(B138,PT_DIFFERENTIATION_NTAR_ID,0))</f>
        <v/>
      </c>
      <c r="H138" s="2203"/>
      <c r="I138" s="2080"/>
      <c r="J138" s="2114"/>
      <c r="K138" s="2119"/>
      <c r="L138" s="2203" t="s">
        <v>301</v>
      </c>
      <c r="M138" s="682"/>
      <c r="N138" s="675"/>
      <c r="O138" s="1965"/>
      <c r="P138" s="1965"/>
      <c r="AH138" s="1972">
        <v>0</v>
      </c>
    </row>
    <row s="17239" customFormat="1" customHeight="1" ht="18.75" hidden="1">
      <c r="A139" s="2121"/>
      <c r="B139" s="2121"/>
      <c r="C139" s="710" t="s">
        <v>1326</v>
      </c>
      <c r="D139" s="2803"/>
      <c r="E139" s="2545"/>
      <c r="F139" s="2724"/>
      <c r="G139" s="2768"/>
      <c r="H139" s="1841"/>
      <c r="I139" s="992" t="s">
        <v>1325</v>
      </c>
      <c r="J139" s="912"/>
      <c r="K139" s="1841"/>
      <c r="L139" s="555"/>
      <c r="M139" s="682"/>
      <c r="N139" s="675"/>
      <c r="O139" s="1965"/>
      <c r="P139" s="1965"/>
      <c r="AH139" s="1972">
        <v>0</v>
      </c>
    </row>
    <row s="17239" customFormat="1" customHeight="1" ht="0.75" hidden="1">
      <c r="A140" s="2121"/>
      <c r="B140" s="2121"/>
      <c r="C140" s="710" t="s">
        <v>1333</v>
      </c>
      <c r="D140" s="2803"/>
      <c r="E140" s="2545"/>
      <c r="F140" s="2724"/>
      <c r="G140" s="741"/>
      <c r="H140" s="1841"/>
      <c r="I140" s="992"/>
      <c r="J140" s="912"/>
      <c r="K140" s="1841"/>
      <c r="L140" s="555"/>
      <c r="M140" s="682"/>
      <c r="N140" s="675"/>
      <c r="O140" s="1965"/>
      <c r="P140" s="1965"/>
      <c r="AH140" s="1972">
        <v>0</v>
      </c>
    </row>
    <row s="17239" customFormat="1" customHeight="1" ht="18.75" hidden="1">
      <c r="A141" s="2121" t="s">
        <v>265</v>
      </c>
      <c r="B141" s="2121" t="s">
        <v>266</v>
      </c>
      <c r="C141" s="710"/>
      <c r="D141" s="2803"/>
      <c r="E141" s="2545"/>
      <c r="F141" s="2724" t="str">
        <f>INDEX(PT_DIFFERENTIATION_VTAR,MATCH(A141,PT_DIFFERENTIATION_VTAR_ID,0))</f>
        <v>Тариф на транспортировку сточных вод</v>
      </c>
      <c r="G141" s="2768" t="str">
        <f>INDEX(PT_DIFFERENTIATION_NTAR,MATCH(B141,PT_DIFFERENTIATION_NTAR_ID,0))</f>
        <v/>
      </c>
      <c r="H141" s="2203"/>
      <c r="I141" s="2080"/>
      <c r="J141" s="2114"/>
      <c r="K141" s="2119"/>
      <c r="L141" s="2203" t="s">
        <v>301</v>
      </c>
      <c r="M141" s="682"/>
      <c r="N141" s="675"/>
      <c r="O141" s="1965"/>
      <c r="P141" s="1965"/>
      <c r="AH141" s="1972">
        <v>0</v>
      </c>
    </row>
    <row s="17239" customFormat="1" customHeight="1" ht="18.75" hidden="1">
      <c r="A142" s="2121"/>
      <c r="B142" s="2121"/>
      <c r="C142" s="710" t="s">
        <v>1326</v>
      </c>
      <c r="D142" s="2803"/>
      <c r="E142" s="2545"/>
      <c r="F142" s="2724"/>
      <c r="G142" s="2768"/>
      <c r="H142" s="1841"/>
      <c r="I142" s="992" t="s">
        <v>1325</v>
      </c>
      <c r="J142" s="912"/>
      <c r="K142" s="1841"/>
      <c r="L142" s="555"/>
      <c r="M142" s="682"/>
      <c r="N142" s="675"/>
      <c r="O142" s="1965"/>
      <c r="P142" s="1965"/>
      <c r="AH142" s="1972">
        <v>0</v>
      </c>
    </row>
    <row s="17239" customFormat="1" customHeight="1" ht="0.75" hidden="1">
      <c r="A143" s="2121"/>
      <c r="B143" s="2121"/>
      <c r="C143" s="710" t="s">
        <v>1333</v>
      </c>
      <c r="D143" s="2803"/>
      <c r="E143" s="2545"/>
      <c r="F143" s="2724"/>
      <c r="G143" s="741"/>
      <c r="H143" s="1841"/>
      <c r="I143" s="992"/>
      <c r="J143" s="912"/>
      <c r="K143" s="1841"/>
      <c r="L143" s="555"/>
      <c r="M143" s="682"/>
      <c r="N143" s="675"/>
      <c r="O143" s="1965"/>
      <c r="P143" s="1965"/>
      <c r="AH143" s="1972">
        <v>0</v>
      </c>
    </row>
    <row s="17239" customFormat="1" customHeight="1" ht="18.75" hidden="1">
      <c r="A144" s="2121" t="s">
        <v>270</v>
      </c>
      <c r="B144" s="2121" t="s">
        <v>271</v>
      </c>
      <c r="C144" s="710"/>
      <c r="D144" s="2803"/>
      <c r="E144" s="2545"/>
      <c r="F144" s="2724" t="str">
        <f>INDEX(PT_DIFFERENTIATION_VTAR,MATCH(A144,PT_DIFFERENTIATION_VTAR_ID,0))</f>
        <v>Тариф на подключение (технологическое присоединение) к централизованной системе водоотведения</v>
      </c>
      <c r="G144" s="2768" t="str">
        <f>INDEX(PT_DIFFERENTIATION_NTAR,MATCH(B144,PT_DIFFERENTIATION_NTAR_ID,0))</f>
        <v/>
      </c>
      <c r="H144" s="2203"/>
      <c r="I144" s="2080"/>
      <c r="J144" s="2114"/>
      <c r="K144" s="2119"/>
      <c r="L144" s="2203" t="s">
        <v>301</v>
      </c>
      <c r="M144" s="682"/>
      <c r="N144" s="675"/>
      <c r="O144" s="1965"/>
      <c r="P144" s="1965"/>
      <c r="AH144" s="1972">
        <v>0</v>
      </c>
    </row>
    <row s="17239" customFormat="1" customHeight="1" ht="18.75" hidden="1">
      <c r="A145" s="2121"/>
      <c r="B145" s="2121"/>
      <c r="C145" s="710" t="s">
        <v>1326</v>
      </c>
      <c r="D145" s="2803"/>
      <c r="E145" s="2545"/>
      <c r="F145" s="2724"/>
      <c r="G145" s="2768"/>
      <c r="H145" s="1841"/>
      <c r="I145" s="992" t="s">
        <v>1325</v>
      </c>
      <c r="J145" s="912"/>
      <c r="K145" s="1841"/>
      <c r="L145" s="555"/>
      <c r="M145" s="682"/>
      <c r="N145" s="675"/>
      <c r="O145" s="1965"/>
      <c r="P145" s="1965"/>
      <c r="AH145" s="1972">
        <v>0</v>
      </c>
    </row>
    <row s="17239" customFormat="1" customHeight="1" ht="1.05">
      <c r="A146" s="2121"/>
      <c r="B146" s="2121"/>
      <c r="C146" s="710" t="s">
        <v>1333</v>
      </c>
      <c r="D146" s="2803"/>
      <c r="E146" s="2545"/>
      <c r="F146" s="2724"/>
      <c r="G146" s="741"/>
      <c r="H146" s="1841"/>
      <c r="I146" s="992"/>
      <c r="J146" s="912"/>
      <c r="K146" s="1841"/>
      <c r="L146" s="555"/>
      <c r="M146" s="682"/>
      <c r="N146" s="675"/>
      <c r="O146" s="1965"/>
      <c r="P146" s="1965"/>
      <c r="AH146" s="1972">
        <v>1</v>
      </c>
    </row>
    <row customHeight="1" ht="19.95">
      <c r="A147" s="2121"/>
      <c r="B147" s="2121"/>
      <c r="D147" s="717"/>
      <c r="E147" s="488" t="s">
        <v>91</v>
      </c>
      <c r="F147" s="280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01"/>
      <c r="H147" s="2801"/>
      <c r="I147" s="2801"/>
      <c r="J147" s="2801"/>
      <c r="K147" s="2801"/>
      <c r="L147" s="2801"/>
      <c r="M147" s="638"/>
      <c r="N147" s="675"/>
      <c r="AH147" s="715">
        <v>19</v>
      </c>
    </row>
    <row s="17239" customFormat="1" customHeight="1" ht="60.75" hidden="1">
      <c r="A148" s="2121" t="s">
        <v>152</v>
      </c>
      <c r="B148" s="2121" t="s">
        <v>153</v>
      </c>
      <c r="C148" s="710"/>
      <c r="D148" s="2803"/>
      <c r="E148" s="2545"/>
      <c r="F148" s="272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68" t="str">
        <f>INDEX(PT_DIFFERENTIATION_NTAR,MATCH(B148,PT_DIFFERENTIATION_NTAR_ID,0))</f>
        <v/>
      </c>
      <c r="H148" s="2203"/>
      <c r="I148" s="2080"/>
      <c r="J148" s="2114"/>
      <c r="K148" s="2119"/>
      <c r="L148" s="2203" t="s">
        <v>301</v>
      </c>
      <c r="M148"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675"/>
      <c r="O148" s="1965"/>
      <c r="P148" s="1965"/>
      <c r="AH148" s="1972">
        <v>0</v>
      </c>
    </row>
    <row s="17239" customFormat="1" customHeight="1" ht="18.75" hidden="1">
      <c r="A149" s="2121"/>
      <c r="B149" s="2121"/>
      <c r="C149" s="710" t="s">
        <v>1326</v>
      </c>
      <c r="D149" s="2803"/>
      <c r="E149" s="2545"/>
      <c r="F149" s="2724"/>
      <c r="G149" s="2768"/>
      <c r="H149" s="1841"/>
      <c r="I149" s="992" t="s">
        <v>1325</v>
      </c>
      <c r="J149" s="912"/>
      <c r="K149" s="1841"/>
      <c r="L149" s="555"/>
      <c r="M149" s="2511"/>
      <c r="N149" s="675"/>
      <c r="O149" s="1965"/>
      <c r="P149" s="1965"/>
      <c r="AH149" s="1972">
        <v>0</v>
      </c>
    </row>
    <row s="17239" customFormat="1" customHeight="1" ht="0.75" hidden="1">
      <c r="A150" s="2121"/>
      <c r="B150" s="2121"/>
      <c r="C150" s="710" t="s">
        <v>1333</v>
      </c>
      <c r="D150" s="2803"/>
      <c r="E150" s="2545"/>
      <c r="F150" s="2724"/>
      <c r="G150" s="741"/>
      <c r="H150" s="1841"/>
      <c r="I150" s="992"/>
      <c r="J150" s="912"/>
      <c r="K150" s="1841"/>
      <c r="L150" s="555"/>
      <c r="M150" s="2511"/>
      <c r="N150" s="675"/>
      <c r="O150" s="1965"/>
      <c r="P150" s="1965"/>
      <c r="AH150" s="1972">
        <v>0</v>
      </c>
    </row>
    <row s="17239" customFormat="1" customHeight="1" ht="45" hidden="1">
      <c r="A151" s="2121" t="s">
        <v>157</v>
      </c>
      <c r="B151" s="2121" t="s">
        <v>158</v>
      </c>
      <c r="C151" s="710"/>
      <c r="D151" s="2803"/>
      <c r="E151" s="2545"/>
      <c r="F151" s="2724" t="str">
        <f>INDEX(PT_DIFFERENTIATION_VTAR,MATCH(A151,PT_DIFFERENTIATION_VTAR_ID,0))</f>
        <v/>
      </c>
      <c r="G151" s="2768" t="str">
        <f>INDEX(PT_DIFFERENTIATION_NTAR,MATCH(B151,PT_DIFFERENTIATION_NTAR_ID,0))</f>
        <v/>
      </c>
      <c r="H151" s="2203"/>
      <c r="I151" s="2080"/>
      <c r="J151" s="2114"/>
      <c r="K151" s="2119"/>
      <c r="L151" s="2203" t="s">
        <v>301</v>
      </c>
      <c r="M151" s="2512"/>
      <c r="N151" s="675"/>
      <c r="O151" s="1965"/>
      <c r="P151" s="1965"/>
      <c r="AH151" s="1972">
        <v>0</v>
      </c>
    </row>
    <row s="17239" customFormat="1" customHeight="1" ht="18.75" hidden="1">
      <c r="A152" s="2121"/>
      <c r="B152" s="2121"/>
      <c r="C152" s="710" t="s">
        <v>1326</v>
      </c>
      <c r="D152" s="2803"/>
      <c r="E152" s="2545"/>
      <c r="F152" s="2724"/>
      <c r="G152" s="2768"/>
      <c r="H152" s="1841"/>
      <c r="I152" s="992" t="s">
        <v>1325</v>
      </c>
      <c r="J152" s="912"/>
      <c r="K152" s="1841"/>
      <c r="L152" s="555"/>
      <c r="M152" s="2202"/>
      <c r="N152" s="675"/>
      <c r="O152" s="1965"/>
      <c r="P152" s="1965"/>
      <c r="AH152" s="1972">
        <v>0</v>
      </c>
    </row>
    <row s="17239" customFormat="1" customHeight="1" ht="0.75" hidden="1">
      <c r="A153" s="2121"/>
      <c r="B153" s="2121"/>
      <c r="C153" s="710" t="s">
        <v>1333</v>
      </c>
      <c r="D153" s="2803"/>
      <c r="E153" s="2545"/>
      <c r="F153" s="2724"/>
      <c r="G153" s="741"/>
      <c r="H153" s="1841"/>
      <c r="I153" s="992"/>
      <c r="J153" s="912"/>
      <c r="K153" s="1841"/>
      <c r="L153" s="555"/>
      <c r="M153" s="682"/>
      <c r="N153" s="675"/>
      <c r="O153" s="1965"/>
      <c r="P153" s="1965"/>
      <c r="AH153" s="1972">
        <v>0</v>
      </c>
    </row>
    <row s="17239" customFormat="1" customHeight="1" ht="45" hidden="1">
      <c r="A154" s="2121" t="s">
        <v>164</v>
      </c>
      <c r="B154" s="2121" t="s">
        <v>165</v>
      </c>
      <c r="C154" s="710"/>
      <c r="D154" s="2803"/>
      <c r="E154" s="2545"/>
      <c r="F154" s="272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68" t="str">
        <f>INDEX(PT_DIFFERENTIATION_NTAR,MATCH(B154,PT_DIFFERENTIATION_NTAR_ID,0))</f>
        <v/>
      </c>
      <c r="H154" s="2203"/>
      <c r="I154" s="2080"/>
      <c r="J154" s="2114"/>
      <c r="K154" s="2119"/>
      <c r="L154" s="2203" t="s">
        <v>301</v>
      </c>
      <c r="M154" s="682"/>
      <c r="N154" s="675"/>
      <c r="O154" s="1965"/>
      <c r="P154" s="1965"/>
      <c r="AH154" s="1972">
        <v>0</v>
      </c>
    </row>
    <row s="17239" customFormat="1" customHeight="1" ht="18.75" hidden="1">
      <c r="A155" s="2121"/>
      <c r="B155" s="2121"/>
      <c r="C155" s="710" t="s">
        <v>1326</v>
      </c>
      <c r="D155" s="2803"/>
      <c r="E155" s="2545"/>
      <c r="F155" s="2724"/>
      <c r="G155" s="2768"/>
      <c r="H155" s="1841"/>
      <c r="I155" s="992" t="s">
        <v>1325</v>
      </c>
      <c r="J155" s="912"/>
      <c r="K155" s="1841"/>
      <c r="L155" s="555"/>
      <c r="M155" s="682"/>
      <c r="N155" s="675"/>
      <c r="O155" s="1965"/>
      <c r="P155" s="1965"/>
      <c r="AH155" s="1972">
        <v>0</v>
      </c>
    </row>
    <row s="17239" customFormat="1" customHeight="1" ht="0.75" hidden="1">
      <c r="A156" s="2121"/>
      <c r="B156" s="2121"/>
      <c r="C156" s="710" t="s">
        <v>1333</v>
      </c>
      <c r="D156" s="2803"/>
      <c r="E156" s="2545"/>
      <c r="F156" s="2724"/>
      <c r="G156" s="741"/>
      <c r="H156" s="1841"/>
      <c r="I156" s="992"/>
      <c r="J156" s="912"/>
      <c r="K156" s="1841"/>
      <c r="L156" s="555"/>
      <c r="M156" s="682"/>
      <c r="N156" s="675"/>
      <c r="O156" s="1965"/>
      <c r="P156" s="1965"/>
      <c r="AH156" s="1972">
        <v>0</v>
      </c>
    </row>
    <row s="17239" customFormat="1" customHeight="1" ht="45" hidden="1">
      <c r="A157" s="2121" t="s">
        <v>170</v>
      </c>
      <c r="B157" s="2121" t="s">
        <v>171</v>
      </c>
      <c r="C157" s="710"/>
      <c r="D157" s="2803"/>
      <c r="E157" s="2545"/>
      <c r="F157" s="272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68" t="str">
        <f>INDEX(PT_DIFFERENTIATION_NTAR,MATCH(B157,PT_DIFFERENTIATION_NTAR_ID,0))</f>
        <v/>
      </c>
      <c r="H157" s="2203"/>
      <c r="I157" s="2080"/>
      <c r="J157" s="2114"/>
      <c r="K157" s="2119"/>
      <c r="L157" s="2203" t="s">
        <v>301</v>
      </c>
      <c r="M157" s="682"/>
      <c r="N157" s="675"/>
      <c r="O157" s="1965"/>
      <c r="P157" s="1965"/>
      <c r="AH157" s="1972">
        <v>0</v>
      </c>
    </row>
    <row s="17239" customFormat="1" customHeight="1" ht="18.75" hidden="1">
      <c r="A158" s="2121"/>
      <c r="B158" s="2121"/>
      <c r="C158" s="710" t="s">
        <v>1326</v>
      </c>
      <c r="D158" s="2803"/>
      <c r="E158" s="2545"/>
      <c r="F158" s="2724"/>
      <c r="G158" s="2768"/>
      <c r="H158" s="1841"/>
      <c r="I158" s="992" t="s">
        <v>1325</v>
      </c>
      <c r="J158" s="912"/>
      <c r="K158" s="1841"/>
      <c r="L158" s="555"/>
      <c r="M158" s="682"/>
      <c r="N158" s="675"/>
      <c r="O158" s="1965"/>
      <c r="P158" s="1965"/>
      <c r="AH158" s="1972">
        <v>0</v>
      </c>
    </row>
    <row s="17239" customFormat="1" customHeight="1" ht="0.75" hidden="1">
      <c r="A159" s="2121"/>
      <c r="B159" s="2121"/>
      <c r="C159" s="710" t="s">
        <v>1333</v>
      </c>
      <c r="D159" s="2803"/>
      <c r="E159" s="2545"/>
      <c r="F159" s="2724"/>
      <c r="G159" s="741"/>
      <c r="H159" s="1841"/>
      <c r="I159" s="992"/>
      <c r="J159" s="912"/>
      <c r="K159" s="1841"/>
      <c r="L159" s="555"/>
      <c r="M159" s="682"/>
      <c r="N159" s="675"/>
      <c r="O159" s="1965"/>
      <c r="P159" s="1965"/>
      <c r="AH159" s="1972">
        <v>0</v>
      </c>
    </row>
    <row s="17239" customFormat="1" customHeight="1" ht="18.75" hidden="1">
      <c r="A160" s="2121" t="s">
        <v>176</v>
      </c>
      <c r="B160" s="2121" t="s">
        <v>177</v>
      </c>
      <c r="C160" s="710"/>
      <c r="D160" s="2803"/>
      <c r="E160" s="2545"/>
      <c r="F160" s="2724" t="str">
        <f>INDEX(PT_DIFFERENTIATION_VTAR,MATCH(A160,PT_DIFFERENTIATION_VTAR_ID,0))</f>
        <v>Тарифы на услуги по передаче тепловой энергии</v>
      </c>
      <c r="G160" s="2768" t="str">
        <f>INDEX(PT_DIFFERENTIATION_NTAR,MATCH(B160,PT_DIFFERENTIATION_NTAR_ID,0))</f>
        <v/>
      </c>
      <c r="H160" s="2203"/>
      <c r="I160" s="2080"/>
      <c r="J160" s="2114"/>
      <c r="K160" s="2119"/>
      <c r="L160" s="2203" t="s">
        <v>301</v>
      </c>
      <c r="M160" s="682"/>
      <c r="N160" s="675"/>
      <c r="O160" s="1965"/>
      <c r="P160" s="1965"/>
      <c r="AH160" s="1972">
        <v>0</v>
      </c>
    </row>
    <row s="17239" customFormat="1" customHeight="1" ht="18.75" hidden="1">
      <c r="A161" s="2121"/>
      <c r="B161" s="2121"/>
      <c r="C161" s="710" t="s">
        <v>1326</v>
      </c>
      <c r="D161" s="2803"/>
      <c r="E161" s="2545"/>
      <c r="F161" s="2724"/>
      <c r="G161" s="2768"/>
      <c r="H161" s="1841"/>
      <c r="I161" s="992" t="s">
        <v>1325</v>
      </c>
      <c r="J161" s="912"/>
      <c r="K161" s="1841"/>
      <c r="L161" s="555"/>
      <c r="M161" s="682"/>
      <c r="N161" s="675"/>
      <c r="O161" s="1965"/>
      <c r="P161" s="1965"/>
      <c r="AH161" s="1972">
        <v>0</v>
      </c>
    </row>
    <row s="17239" customFormat="1" customHeight="1" ht="0.75" hidden="1">
      <c r="A162" s="2121"/>
      <c r="B162" s="2121"/>
      <c r="C162" s="710" t="s">
        <v>1333</v>
      </c>
      <c r="D162" s="2803"/>
      <c r="E162" s="2545"/>
      <c r="F162" s="2724"/>
      <c r="G162" s="741"/>
      <c r="H162" s="1841"/>
      <c r="I162" s="992"/>
      <c r="J162" s="912"/>
      <c r="K162" s="1841"/>
      <c r="L162" s="555"/>
      <c r="M162" s="682"/>
      <c r="N162" s="675"/>
      <c r="O162" s="1965"/>
      <c r="P162" s="1965"/>
      <c r="AH162" s="1972">
        <v>0</v>
      </c>
    </row>
    <row s="17239" customFormat="1" customHeight="1" ht="18.75" hidden="1">
      <c r="A163" s="2121" t="s">
        <v>182</v>
      </c>
      <c r="B163" s="2121" t="s">
        <v>183</v>
      </c>
      <c r="C163" s="710"/>
      <c r="D163" s="2803"/>
      <c r="E163" s="2545"/>
      <c r="F163" s="2724" t="str">
        <f>INDEX(PT_DIFFERENTIATION_VTAR,MATCH(A163,PT_DIFFERENTIATION_VTAR_ID,0))</f>
        <v>Тарифы на услуги по передаче теплоносителя</v>
      </c>
      <c r="G163" s="2768" t="str">
        <f>INDEX(PT_DIFFERENTIATION_NTAR,MATCH(B163,PT_DIFFERENTIATION_NTAR_ID,0))</f>
        <v/>
      </c>
      <c r="H163" s="2203"/>
      <c r="I163" s="2080"/>
      <c r="J163" s="2114"/>
      <c r="K163" s="2119"/>
      <c r="L163" s="2203" t="s">
        <v>301</v>
      </c>
      <c r="M163" s="682"/>
      <c r="N163" s="675"/>
      <c r="O163" s="1965"/>
      <c r="P163" s="1965"/>
      <c r="AH163" s="1972">
        <v>0</v>
      </c>
    </row>
    <row s="17239" customFormat="1" customHeight="1" ht="18.75" hidden="1">
      <c r="A164" s="2121"/>
      <c r="B164" s="2121"/>
      <c r="C164" s="710" t="s">
        <v>1326</v>
      </c>
      <c r="D164" s="2803"/>
      <c r="E164" s="2545"/>
      <c r="F164" s="2724"/>
      <c r="G164" s="2768"/>
      <c r="H164" s="1841"/>
      <c r="I164" s="992" t="s">
        <v>1325</v>
      </c>
      <c r="J164" s="912"/>
      <c r="K164" s="1841"/>
      <c r="L164" s="555"/>
      <c r="M164" s="682"/>
      <c r="N164" s="675"/>
      <c r="O164" s="1965"/>
      <c r="P164" s="1965"/>
      <c r="AH164" s="1972">
        <v>0</v>
      </c>
    </row>
    <row s="17239" customFormat="1" customHeight="1" ht="0.75" hidden="1">
      <c r="A165" s="2121"/>
      <c r="B165" s="2121"/>
      <c r="C165" s="710" t="s">
        <v>1333</v>
      </c>
      <c r="D165" s="2803"/>
      <c r="E165" s="2545"/>
      <c r="F165" s="2724"/>
      <c r="G165" s="741"/>
      <c r="H165" s="1841"/>
      <c r="I165" s="992"/>
      <c r="J165" s="912"/>
      <c r="K165" s="1841"/>
      <c r="L165" s="555"/>
      <c r="M165" s="682"/>
      <c r="N165" s="675"/>
      <c r="O165" s="1965"/>
      <c r="P165" s="1965"/>
      <c r="AH165" s="1972">
        <v>0</v>
      </c>
    </row>
    <row s="17239" customFormat="1" customHeight="1" ht="18.75" hidden="1">
      <c r="A166" s="2121" t="s">
        <v>188</v>
      </c>
      <c r="B166" s="2121" t="s">
        <v>189</v>
      </c>
      <c r="C166" s="710"/>
      <c r="D166" s="2803"/>
      <c r="E166" s="2545"/>
      <c r="F166" s="272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68" t="str">
        <f>INDEX(PT_DIFFERENTIATION_NTAR,MATCH(B166,PT_DIFFERENTIATION_NTAR_ID,0))</f>
        <v/>
      </c>
      <c r="H166" s="2203"/>
      <c r="I166" s="2080"/>
      <c r="J166" s="2114"/>
      <c r="K166" s="2119"/>
      <c r="L166" s="2203" t="s">
        <v>301</v>
      </c>
      <c r="M166" s="682"/>
      <c r="N166" s="675"/>
      <c r="O166" s="1965"/>
      <c r="P166" s="1965"/>
      <c r="AH166" s="1972">
        <v>0</v>
      </c>
    </row>
    <row s="17239" customFormat="1" customHeight="1" ht="18.75" hidden="1">
      <c r="A167" s="2121"/>
      <c r="B167" s="2121"/>
      <c r="C167" s="710" t="s">
        <v>1326</v>
      </c>
      <c r="D167" s="2803"/>
      <c r="E167" s="2545"/>
      <c r="F167" s="2724"/>
      <c r="G167" s="2768"/>
      <c r="H167" s="1841"/>
      <c r="I167" s="992" t="s">
        <v>1325</v>
      </c>
      <c r="J167" s="912"/>
      <c r="K167" s="1841"/>
      <c r="L167" s="555"/>
      <c r="M167" s="682"/>
      <c r="N167" s="675"/>
      <c r="O167" s="1965"/>
      <c r="P167" s="1965"/>
      <c r="AH167" s="1972">
        <v>0</v>
      </c>
    </row>
    <row s="17239" customFormat="1" customHeight="1" ht="0.75" hidden="1">
      <c r="A168" s="2121"/>
      <c r="B168" s="2121"/>
      <c r="C168" s="710" t="s">
        <v>1333</v>
      </c>
      <c r="D168" s="2803"/>
      <c r="E168" s="2545"/>
      <c r="F168" s="2724"/>
      <c r="G168" s="741"/>
      <c r="H168" s="1841"/>
      <c r="I168" s="992"/>
      <c r="J168" s="912"/>
      <c r="K168" s="1841"/>
      <c r="L168" s="555"/>
      <c r="M168" s="682"/>
      <c r="N168" s="675"/>
      <c r="O168" s="1965"/>
      <c r="P168" s="1965"/>
      <c r="AH168" s="1972">
        <v>0</v>
      </c>
    </row>
    <row s="17239" customFormat="1" customHeight="1" ht="18.75" hidden="1">
      <c r="A169" s="2121" t="s">
        <v>194</v>
      </c>
      <c r="B169" s="2121" t="s">
        <v>195</v>
      </c>
      <c r="C169" s="710"/>
      <c r="D169" s="2803"/>
      <c r="E169" s="2545"/>
      <c r="F169" s="2724" t="str">
        <f>INDEX(PT_DIFFERENTIATION_VTAR,MATCH(A169,PT_DIFFERENTIATION_VTAR_ID,0))</f>
        <v>Плата за подключение (технологическое присоединение) к системе теплоснабжения</v>
      </c>
      <c r="G169" s="2768" t="str">
        <f>INDEX(PT_DIFFERENTIATION_NTAR,MATCH(B169,PT_DIFFERENTIATION_NTAR_ID,0))</f>
        <v/>
      </c>
      <c r="H169" s="2203"/>
      <c r="I169" s="2080"/>
      <c r="J169" s="2114"/>
      <c r="K169" s="2119"/>
      <c r="L169" s="2203" t="s">
        <v>301</v>
      </c>
      <c r="M169" s="682"/>
      <c r="N169" s="675"/>
      <c r="O169" s="1965"/>
      <c r="P169" s="1965"/>
      <c r="AH169" s="1972">
        <v>0</v>
      </c>
    </row>
    <row s="17239" customFormat="1" customHeight="1" ht="18.75" hidden="1">
      <c r="A170" s="2121"/>
      <c r="B170" s="2121"/>
      <c r="C170" s="710" t="s">
        <v>1326</v>
      </c>
      <c r="D170" s="2803"/>
      <c r="E170" s="2545"/>
      <c r="F170" s="2724"/>
      <c r="G170" s="2768"/>
      <c r="H170" s="1841"/>
      <c r="I170" s="992" t="s">
        <v>1325</v>
      </c>
      <c r="J170" s="912"/>
      <c r="K170" s="1841"/>
      <c r="L170" s="555"/>
      <c r="M170" s="682"/>
      <c r="N170" s="675"/>
      <c r="O170" s="1965"/>
      <c r="P170" s="1965"/>
      <c r="AH170" s="1972">
        <v>0</v>
      </c>
    </row>
    <row s="17239" customFormat="1" customHeight="1" ht="0.75" hidden="1">
      <c r="A171" s="2121"/>
      <c r="B171" s="2121"/>
      <c r="C171" s="710" t="s">
        <v>1333</v>
      </c>
      <c r="D171" s="2803"/>
      <c r="E171" s="2545"/>
      <c r="F171" s="2724"/>
      <c r="G171" s="741"/>
      <c r="H171" s="1841"/>
      <c r="I171" s="992"/>
      <c r="J171" s="912"/>
      <c r="K171" s="1841"/>
      <c r="L171" s="555"/>
      <c r="M171" s="682"/>
      <c r="N171" s="675"/>
      <c r="O171" s="1965"/>
      <c r="P171" s="1965"/>
      <c r="AH171" s="1972">
        <v>0</v>
      </c>
    </row>
    <row s="17239" customFormat="1" customHeight="1" ht="18.75" hidden="1">
      <c r="A172" s="2121" t="s">
        <v>200</v>
      </c>
      <c r="B172" s="2121" t="s">
        <v>201</v>
      </c>
      <c r="C172" s="710"/>
      <c r="D172" s="2803"/>
      <c r="E172" s="2545"/>
      <c r="F172" s="2724" t="str">
        <f>INDEX(PT_DIFFERENTIATION_VTAR,MATCH(A172,PT_DIFFERENTIATION_VTAR_ID,0))</f>
        <v>Плата за подключение (технологическое присоединение) к системе теплоснабжения (индивидуальная)</v>
      </c>
      <c r="G172" s="2768" t="str">
        <f>INDEX(PT_DIFFERENTIATION_NTAR,MATCH(B172,PT_DIFFERENTIATION_NTAR_ID,0))</f>
        <v/>
      </c>
      <c r="H172" s="2330"/>
      <c r="I172" s="2080"/>
      <c r="J172" s="2114"/>
      <c r="K172" s="2119"/>
      <c r="L172" s="2330" t="s">
        <v>301</v>
      </c>
      <c r="M172" s="682"/>
      <c r="N172" s="675"/>
      <c r="O172" s="1965"/>
      <c r="P172" s="1965"/>
      <c r="AH172" s="1972">
        <v>0</v>
      </c>
    </row>
    <row s="17239" customFormat="1" customHeight="1" ht="18.75" hidden="1">
      <c r="A173" s="2121"/>
      <c r="B173" s="2121"/>
      <c r="C173" s="710" t="s">
        <v>1326</v>
      </c>
      <c r="D173" s="2803"/>
      <c r="E173" s="2545"/>
      <c r="F173" s="2724"/>
      <c r="G173" s="2768"/>
      <c r="H173" s="1841"/>
      <c r="I173" s="992" t="s">
        <v>1325</v>
      </c>
      <c r="J173" s="912"/>
      <c r="K173" s="1841"/>
      <c r="L173" s="555"/>
      <c r="M173" s="682"/>
      <c r="N173" s="675"/>
      <c r="O173" s="1965"/>
      <c r="P173" s="1965"/>
      <c r="AH173" s="1972">
        <v>0</v>
      </c>
    </row>
    <row s="17239" customFormat="1" customHeight="1" ht="0.75" hidden="1">
      <c r="A174" s="2121"/>
      <c r="B174" s="2121"/>
      <c r="C174" s="710" t="s">
        <v>1333</v>
      </c>
      <c r="D174" s="2803"/>
      <c r="E174" s="2545"/>
      <c r="F174" s="2724"/>
      <c r="G174" s="741"/>
      <c r="H174" s="1841"/>
      <c r="I174" s="992"/>
      <c r="J174" s="912"/>
      <c r="K174" s="1841"/>
      <c r="L174" s="555"/>
      <c r="M174" s="682"/>
      <c r="N174" s="675"/>
      <c r="O174" s="1965"/>
      <c r="P174" s="1965"/>
      <c r="AH174" s="1972">
        <v>0</v>
      </c>
    </row>
    <row s="17239" customFormat="1" customHeight="1" ht="18.75" hidden="1">
      <c r="A175" s="2121" t="s">
        <v>220</v>
      </c>
      <c r="B175" s="2121" t="s">
        <v>221</v>
      </c>
      <c r="C175" s="710"/>
      <c r="D175" s="2803"/>
      <c r="E175" s="2545"/>
      <c r="F175" s="2724" t="str">
        <f>INDEX(PT_DIFFERENTIATION_VTAR,MATCH(A175,PT_DIFFERENTIATION_VTAR_ID,0))</f>
        <v>Тариф на питьевую воду (питьевое водоснабжение)</v>
      </c>
      <c r="G175" s="2768" t="str">
        <f>INDEX(PT_DIFFERENTIATION_NTAR,MATCH(B175,PT_DIFFERENTIATION_NTAR_ID,0))</f>
        <v/>
      </c>
      <c r="H175" s="2203"/>
      <c r="I175" s="2080"/>
      <c r="J175" s="2114"/>
      <c r="K175" s="2119"/>
      <c r="L175" s="2203" t="s">
        <v>301</v>
      </c>
      <c r="M175" s="682"/>
      <c r="N175" s="675"/>
      <c r="O175" s="1965"/>
      <c r="P175" s="1965"/>
      <c r="AH175" s="1972">
        <v>0</v>
      </c>
    </row>
    <row s="17239" customFormat="1" customHeight="1" ht="18.75" hidden="1">
      <c r="A176" s="2121"/>
      <c r="B176" s="2121"/>
      <c r="C176" s="710" t="s">
        <v>1326</v>
      </c>
      <c r="D176" s="2803"/>
      <c r="E176" s="2545"/>
      <c r="F176" s="2724"/>
      <c r="G176" s="2768"/>
      <c r="H176" s="1841"/>
      <c r="I176" s="992" t="s">
        <v>1325</v>
      </c>
      <c r="J176" s="912"/>
      <c r="K176" s="1841"/>
      <c r="L176" s="555"/>
      <c r="M176" s="682"/>
      <c r="N176" s="675"/>
      <c r="O176" s="1965"/>
      <c r="P176" s="1965"/>
      <c r="AH176" s="1972">
        <v>0</v>
      </c>
    </row>
    <row s="17239" customFormat="1" customHeight="1" ht="0.75" hidden="1">
      <c r="A177" s="2121"/>
      <c r="B177" s="2121"/>
      <c r="C177" s="710" t="s">
        <v>1333</v>
      </c>
      <c r="D177" s="2803"/>
      <c r="E177" s="2545"/>
      <c r="F177" s="2724"/>
      <c r="G177" s="741"/>
      <c r="H177" s="1841"/>
      <c r="I177" s="992"/>
      <c r="J177" s="912"/>
      <c r="K177" s="1841"/>
      <c r="L177" s="555"/>
      <c r="M177" s="682"/>
      <c r="N177" s="675"/>
      <c r="O177" s="1965"/>
      <c r="P177" s="1965"/>
      <c r="AH177" s="1972">
        <v>0</v>
      </c>
    </row>
    <row s="17239" customFormat="1" customHeight="1" ht="18.75" hidden="1">
      <c r="A178" s="2121" t="s">
        <v>225</v>
      </c>
      <c r="B178" s="2121" t="s">
        <v>226</v>
      </c>
      <c r="C178" s="710"/>
      <c r="D178" s="2803"/>
      <c r="E178" s="2545"/>
      <c r="F178" s="2724" t="str">
        <f>INDEX(PT_DIFFERENTIATION_VTAR,MATCH(A178,PT_DIFFERENTIATION_VTAR_ID,0))</f>
        <v>Тариф на техническую воду</v>
      </c>
      <c r="G178" s="2768" t="str">
        <f>INDEX(PT_DIFFERENTIATION_NTAR,MATCH(B178,PT_DIFFERENTIATION_NTAR_ID,0))</f>
        <v/>
      </c>
      <c r="H178" s="2203"/>
      <c r="I178" s="2080"/>
      <c r="J178" s="2114"/>
      <c r="K178" s="2119"/>
      <c r="L178" s="2203" t="s">
        <v>301</v>
      </c>
      <c r="M178" s="682"/>
      <c r="N178" s="675"/>
      <c r="O178" s="1965"/>
      <c r="P178" s="1965"/>
      <c r="AH178" s="1972">
        <v>0</v>
      </c>
    </row>
    <row s="17239" customFormat="1" customHeight="1" ht="18.75" hidden="1">
      <c r="A179" s="2121"/>
      <c r="B179" s="2121"/>
      <c r="C179" s="710" t="s">
        <v>1326</v>
      </c>
      <c r="D179" s="2803"/>
      <c r="E179" s="2545"/>
      <c r="F179" s="2724"/>
      <c r="G179" s="2768"/>
      <c r="H179" s="1841"/>
      <c r="I179" s="992" t="s">
        <v>1325</v>
      </c>
      <c r="J179" s="912"/>
      <c r="K179" s="1841"/>
      <c r="L179" s="555"/>
      <c r="M179" s="682"/>
      <c r="N179" s="675"/>
      <c r="O179" s="1965"/>
      <c r="P179" s="1965"/>
      <c r="AH179" s="1972">
        <v>0</v>
      </c>
    </row>
    <row s="17239" customFormat="1" customHeight="1" ht="0.75" hidden="1">
      <c r="A180" s="2121"/>
      <c r="B180" s="2121"/>
      <c r="C180" s="710" t="s">
        <v>1333</v>
      </c>
      <c r="D180" s="2803"/>
      <c r="E180" s="2545"/>
      <c r="F180" s="2724"/>
      <c r="G180" s="741"/>
      <c r="H180" s="1841"/>
      <c r="I180" s="992"/>
      <c r="J180" s="912"/>
      <c r="K180" s="1841"/>
      <c r="L180" s="555"/>
      <c r="M180" s="682"/>
      <c r="N180" s="675"/>
      <c r="O180" s="1965"/>
      <c r="P180" s="1965"/>
      <c r="AH180" s="1972">
        <v>0</v>
      </c>
    </row>
    <row s="17239" customFormat="1" customHeight="1" ht="18.75" hidden="1">
      <c r="A181" s="2121" t="s">
        <v>230</v>
      </c>
      <c r="B181" s="2121" t="s">
        <v>231</v>
      </c>
      <c r="C181" s="710"/>
      <c r="D181" s="2803"/>
      <c r="E181" s="2545"/>
      <c r="F181" s="2724" t="str">
        <f>INDEX(PT_DIFFERENTIATION_VTAR,MATCH(A181,PT_DIFFERENTIATION_VTAR_ID,0))</f>
        <v>Тариф на транспортировку воды</v>
      </c>
      <c r="G181" s="2768" t="str">
        <f>INDEX(PT_DIFFERENTIATION_NTAR,MATCH(B181,PT_DIFFERENTIATION_NTAR_ID,0))</f>
        <v/>
      </c>
      <c r="H181" s="2203"/>
      <c r="I181" s="2080"/>
      <c r="J181" s="2114"/>
      <c r="K181" s="2119"/>
      <c r="L181" s="2203" t="s">
        <v>301</v>
      </c>
      <c r="M181" s="682"/>
      <c r="N181" s="675"/>
      <c r="O181" s="1965"/>
      <c r="P181" s="1965"/>
      <c r="AH181" s="1972">
        <v>0</v>
      </c>
    </row>
    <row s="17239" customFormat="1" customHeight="1" ht="18.75" hidden="1">
      <c r="A182" s="2121"/>
      <c r="B182" s="2121"/>
      <c r="C182" s="710" t="s">
        <v>1326</v>
      </c>
      <c r="D182" s="2803"/>
      <c r="E182" s="2545"/>
      <c r="F182" s="2724"/>
      <c r="G182" s="2768"/>
      <c r="H182" s="1841"/>
      <c r="I182" s="992" t="s">
        <v>1325</v>
      </c>
      <c r="J182" s="912"/>
      <c r="K182" s="1841"/>
      <c r="L182" s="555"/>
      <c r="M182" s="682"/>
      <c r="N182" s="675"/>
      <c r="O182" s="1965"/>
      <c r="P182" s="1965"/>
      <c r="AH182" s="1972">
        <v>0</v>
      </c>
    </row>
    <row s="17239" customFormat="1" customHeight="1" ht="0.75" hidden="1">
      <c r="A183" s="2121"/>
      <c r="B183" s="2121"/>
      <c r="C183" s="710" t="s">
        <v>1333</v>
      </c>
      <c r="D183" s="2803"/>
      <c r="E183" s="2545"/>
      <c r="F183" s="2724"/>
      <c r="G183" s="741"/>
      <c r="H183" s="1841"/>
      <c r="I183" s="992"/>
      <c r="J183" s="912"/>
      <c r="K183" s="1841"/>
      <c r="L183" s="555"/>
      <c r="M183" s="682"/>
      <c r="N183" s="675"/>
      <c r="O183" s="1965"/>
      <c r="P183" s="1965"/>
      <c r="AH183" s="1972">
        <v>0</v>
      </c>
    </row>
    <row s="17239" customFormat="1" customHeight="1" ht="18.75" hidden="1">
      <c r="A184" s="2121" t="s">
        <v>235</v>
      </c>
      <c r="B184" s="2121" t="s">
        <v>236</v>
      </c>
      <c r="C184" s="710"/>
      <c r="D184" s="2803"/>
      <c r="E184" s="2545"/>
      <c r="F184" s="2724" t="str">
        <f>INDEX(PT_DIFFERENTIATION_VTAR,MATCH(A184,PT_DIFFERENTIATION_VTAR_ID,0))</f>
        <v>Тариф на подвоз воды</v>
      </c>
      <c r="G184" s="2768" t="str">
        <f>INDEX(PT_DIFFERENTIATION_NTAR,MATCH(B184,PT_DIFFERENTIATION_NTAR_ID,0))</f>
        <v/>
      </c>
      <c r="H184" s="2203"/>
      <c r="I184" s="2080"/>
      <c r="J184" s="2114"/>
      <c r="K184" s="2119"/>
      <c r="L184" s="2203" t="s">
        <v>301</v>
      </c>
      <c r="M184" s="682"/>
      <c r="N184" s="675"/>
      <c r="O184" s="1965"/>
      <c r="P184" s="1965"/>
      <c r="AH184" s="1972">
        <v>0</v>
      </c>
    </row>
    <row s="17239" customFormat="1" customHeight="1" ht="18.75" hidden="1">
      <c r="A185" s="2121"/>
      <c r="B185" s="2121"/>
      <c r="C185" s="710" t="s">
        <v>1326</v>
      </c>
      <c r="D185" s="2803"/>
      <c r="E185" s="2545"/>
      <c r="F185" s="2724"/>
      <c r="G185" s="2768"/>
      <c r="H185" s="1841"/>
      <c r="I185" s="992" t="s">
        <v>1325</v>
      </c>
      <c r="J185" s="912"/>
      <c r="K185" s="1841"/>
      <c r="L185" s="555"/>
      <c r="M185" s="682"/>
      <c r="N185" s="675"/>
      <c r="O185" s="1965"/>
      <c r="P185" s="1965"/>
      <c r="AH185" s="1972">
        <v>0</v>
      </c>
    </row>
    <row s="17239" customFormat="1" customHeight="1" ht="0.75" hidden="1">
      <c r="A186" s="2121"/>
      <c r="B186" s="2121"/>
      <c r="C186" s="710" t="s">
        <v>1333</v>
      </c>
      <c r="D186" s="2803"/>
      <c r="E186" s="2545"/>
      <c r="F186" s="2724"/>
      <c r="G186" s="741"/>
      <c r="H186" s="1841"/>
      <c r="I186" s="992"/>
      <c r="J186" s="912"/>
      <c r="K186" s="1841"/>
      <c r="L186" s="555"/>
      <c r="M186" s="682"/>
      <c r="N186" s="675"/>
      <c r="O186" s="1965"/>
      <c r="P186" s="1965"/>
      <c r="AH186" s="1972">
        <v>0</v>
      </c>
    </row>
    <row s="17239" customFormat="1" customHeight="1" ht="18.75" hidden="1">
      <c r="A187" s="2121" t="s">
        <v>240</v>
      </c>
      <c r="B187" s="2121" t="s">
        <v>241</v>
      </c>
      <c r="C187" s="710"/>
      <c r="D187" s="2803"/>
      <c r="E187" s="2545"/>
      <c r="F187" s="272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68" t="str">
        <f>INDEX(PT_DIFFERENTIATION_NTAR,MATCH(B187,PT_DIFFERENTIATION_NTAR_ID,0))</f>
        <v/>
      </c>
      <c r="H187" s="2203"/>
      <c r="I187" s="2080"/>
      <c r="J187" s="2114"/>
      <c r="K187" s="2119"/>
      <c r="L187" s="2203" t="s">
        <v>301</v>
      </c>
      <c r="M187" s="682"/>
      <c r="N187" s="675"/>
      <c r="O187" s="1965"/>
      <c r="P187" s="1965"/>
      <c r="AH187" s="1972">
        <v>0</v>
      </c>
    </row>
    <row s="17239" customFormat="1" customHeight="1" ht="18.75" hidden="1">
      <c r="A188" s="2121"/>
      <c r="B188" s="2121"/>
      <c r="C188" s="710" t="s">
        <v>1326</v>
      </c>
      <c r="D188" s="2803"/>
      <c r="E188" s="2545"/>
      <c r="F188" s="2724"/>
      <c r="G188" s="2768"/>
      <c r="H188" s="1841"/>
      <c r="I188" s="992" t="s">
        <v>1325</v>
      </c>
      <c r="J188" s="912"/>
      <c r="K188" s="1841"/>
      <c r="L188" s="555"/>
      <c r="M188" s="682"/>
      <c r="N188" s="675"/>
      <c r="O188" s="1965"/>
      <c r="P188" s="1965"/>
      <c r="AH188" s="1972">
        <v>0</v>
      </c>
    </row>
    <row s="17239" customFormat="1" customHeight="1" ht="0.75" hidden="1">
      <c r="A189" s="2121"/>
      <c r="B189" s="2121"/>
      <c r="C189" s="710" t="s">
        <v>1333</v>
      </c>
      <c r="D189" s="2803"/>
      <c r="E189" s="2545"/>
      <c r="F189" s="2724"/>
      <c r="G189" s="741"/>
      <c r="H189" s="1841"/>
      <c r="I189" s="992"/>
      <c r="J189" s="912"/>
      <c r="K189" s="1841"/>
      <c r="L189" s="555"/>
      <c r="M189" s="682"/>
      <c r="N189" s="675"/>
      <c r="O189" s="1965"/>
      <c r="P189" s="1965"/>
      <c r="AH189" s="1972">
        <v>0</v>
      </c>
    </row>
    <row s="17239" customFormat="1" customHeight="1" ht="18.75" hidden="1">
      <c r="A190" s="2121" t="s">
        <v>245</v>
      </c>
      <c r="B190" s="2121" t="s">
        <v>246</v>
      </c>
      <c r="C190" s="710"/>
      <c r="D190" s="2803"/>
      <c r="E190" s="2545"/>
      <c r="F190" s="2724" t="str">
        <f>INDEX(PT_DIFFERENTIATION_VTAR,MATCH(A190,PT_DIFFERENTIATION_VTAR_ID,0))</f>
        <v>Тариф на горячую воду (горячее водоснабжение)</v>
      </c>
      <c r="G190" s="2768" t="str">
        <f>INDEX(PT_DIFFERENTIATION_NTAR,MATCH(B190,PT_DIFFERENTIATION_NTAR_ID,0))</f>
        <v/>
      </c>
      <c r="H190" s="2203"/>
      <c r="I190" s="2080"/>
      <c r="J190" s="2114"/>
      <c r="K190" s="2119"/>
      <c r="L190" s="2203" t="s">
        <v>301</v>
      </c>
      <c r="M190" s="682"/>
      <c r="N190" s="675"/>
      <c r="O190" s="1965"/>
      <c r="P190" s="1965"/>
      <c r="AH190" s="1972">
        <v>0</v>
      </c>
    </row>
    <row s="17239" customFormat="1" customHeight="1" ht="18.75" hidden="1">
      <c r="A191" s="2121"/>
      <c r="B191" s="2121"/>
      <c r="C191" s="710" t="s">
        <v>1326</v>
      </c>
      <c r="D191" s="2803"/>
      <c r="E191" s="2545"/>
      <c r="F191" s="2724"/>
      <c r="G191" s="2768"/>
      <c r="H191" s="1841"/>
      <c r="I191" s="992" t="s">
        <v>1325</v>
      </c>
      <c r="J191" s="912"/>
      <c r="K191" s="1841"/>
      <c r="L191" s="555"/>
      <c r="M191" s="682"/>
      <c r="N191" s="675"/>
      <c r="O191" s="1965"/>
      <c r="P191" s="1965"/>
      <c r="AH191" s="1972">
        <v>0</v>
      </c>
    </row>
    <row s="17239" customFormat="1" customHeight="1" ht="0.75" hidden="1">
      <c r="A192" s="2121"/>
      <c r="B192" s="2121"/>
      <c r="C192" s="710" t="s">
        <v>1333</v>
      </c>
      <c r="D192" s="2803"/>
      <c r="E192" s="2545"/>
      <c r="F192" s="2724"/>
      <c r="G192" s="741"/>
      <c r="H192" s="1841"/>
      <c r="I192" s="992"/>
      <c r="J192" s="912"/>
      <c r="K192" s="1841"/>
      <c r="L192" s="555"/>
      <c r="M192" s="682"/>
      <c r="N192" s="675"/>
      <c r="O192" s="1965"/>
      <c r="P192" s="1965"/>
      <c r="AH192" s="1972">
        <v>0</v>
      </c>
    </row>
    <row s="17239" customFormat="1" customHeight="1" ht="18.75" hidden="1">
      <c r="A193" s="2121" t="s">
        <v>250</v>
      </c>
      <c r="B193" s="2121" t="s">
        <v>251</v>
      </c>
      <c r="C193" s="710"/>
      <c r="D193" s="2803"/>
      <c r="E193" s="2545"/>
      <c r="F193" s="2724" t="str">
        <f>INDEX(PT_DIFFERENTIATION_VTAR,MATCH(A193,PT_DIFFERENTIATION_VTAR_ID,0))</f>
        <v>Тариф на транспортировку горячей воды</v>
      </c>
      <c r="G193" s="2768" t="str">
        <f>INDEX(PT_DIFFERENTIATION_NTAR,MATCH(B193,PT_DIFFERENTIATION_NTAR_ID,0))</f>
        <v/>
      </c>
      <c r="H193" s="2203"/>
      <c r="I193" s="2080"/>
      <c r="J193" s="2114"/>
      <c r="K193" s="2119"/>
      <c r="L193" s="2203" t="s">
        <v>301</v>
      </c>
      <c r="M193" s="682"/>
      <c r="N193" s="675"/>
      <c r="O193" s="1965"/>
      <c r="P193" s="1965"/>
      <c r="AH193" s="1972">
        <v>0</v>
      </c>
    </row>
    <row s="17239" customFormat="1" customHeight="1" ht="18.75" hidden="1">
      <c r="A194" s="2121"/>
      <c r="B194" s="2121"/>
      <c r="C194" s="710" t="s">
        <v>1326</v>
      </c>
      <c r="D194" s="2803"/>
      <c r="E194" s="2545"/>
      <c r="F194" s="2724"/>
      <c r="G194" s="2768"/>
      <c r="H194" s="1841"/>
      <c r="I194" s="992" t="s">
        <v>1325</v>
      </c>
      <c r="J194" s="912"/>
      <c r="K194" s="1841"/>
      <c r="L194" s="555"/>
      <c r="M194" s="682"/>
      <c r="N194" s="675"/>
      <c r="O194" s="1965"/>
      <c r="P194" s="1965"/>
      <c r="AH194" s="1972">
        <v>0</v>
      </c>
    </row>
    <row s="17239" customFormat="1" customHeight="1" ht="0.75" hidden="1">
      <c r="A195" s="2121"/>
      <c r="B195" s="2121"/>
      <c r="C195" s="710" t="s">
        <v>1333</v>
      </c>
      <c r="D195" s="2803"/>
      <c r="E195" s="2545"/>
      <c r="F195" s="2724"/>
      <c r="G195" s="741"/>
      <c r="H195" s="1841"/>
      <c r="I195" s="992"/>
      <c r="J195" s="912"/>
      <c r="K195" s="1841"/>
      <c r="L195" s="555"/>
      <c r="M195" s="682"/>
      <c r="N195" s="675"/>
      <c r="O195" s="1965"/>
      <c r="P195" s="1965"/>
      <c r="AH195" s="1972">
        <v>0</v>
      </c>
    </row>
    <row s="17239" customFormat="1" customHeight="1" ht="18.75" hidden="1">
      <c r="A196" s="2121" t="s">
        <v>255</v>
      </c>
      <c r="B196" s="2121" t="s">
        <v>256</v>
      </c>
      <c r="C196" s="710"/>
      <c r="D196" s="2803"/>
      <c r="E196" s="2545"/>
      <c r="F196" s="272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68" t="str">
        <f>INDEX(PT_DIFFERENTIATION_NTAR,MATCH(B196,PT_DIFFERENTIATION_NTAR_ID,0))</f>
        <v/>
      </c>
      <c r="H196" s="2203"/>
      <c r="I196" s="2080"/>
      <c r="J196" s="2114"/>
      <c r="K196" s="2119"/>
      <c r="L196" s="2203" t="s">
        <v>301</v>
      </c>
      <c r="M196" s="682"/>
      <c r="N196" s="675"/>
      <c r="O196" s="1965"/>
      <c r="P196" s="1965"/>
      <c r="AH196" s="1972">
        <v>0</v>
      </c>
    </row>
    <row s="17239" customFormat="1" customHeight="1" ht="18.75" hidden="1">
      <c r="A197" s="2121"/>
      <c r="B197" s="2121"/>
      <c r="C197" s="710" t="s">
        <v>1326</v>
      </c>
      <c r="D197" s="2803"/>
      <c r="E197" s="2545"/>
      <c r="F197" s="2724"/>
      <c r="G197" s="2768"/>
      <c r="H197" s="1841"/>
      <c r="I197" s="992" t="s">
        <v>1325</v>
      </c>
      <c r="J197" s="912"/>
      <c r="K197" s="1841"/>
      <c r="L197" s="555"/>
      <c r="M197" s="682"/>
      <c r="N197" s="675"/>
      <c r="O197" s="1965"/>
      <c r="P197" s="1965"/>
      <c r="AH197" s="1972">
        <v>0</v>
      </c>
    </row>
    <row s="17239" customFormat="1" customHeight="1" ht="0.75" hidden="1">
      <c r="A198" s="2121"/>
      <c r="B198" s="2121"/>
      <c r="C198" s="710" t="s">
        <v>1333</v>
      </c>
      <c r="D198" s="2803"/>
      <c r="E198" s="2545"/>
      <c r="F198" s="2724"/>
      <c r="G198" s="741"/>
      <c r="H198" s="1841"/>
      <c r="I198" s="992"/>
      <c r="J198" s="912"/>
      <c r="K198" s="1841"/>
      <c r="L198" s="555"/>
      <c r="M198" s="682"/>
      <c r="N198" s="675"/>
      <c r="O198" s="1965"/>
      <c r="P198" s="1965"/>
      <c r="AH198" s="1972">
        <v>0</v>
      </c>
    </row>
    <row s="17239" customFormat="1" customHeight="1" ht="18.75" hidden="1">
      <c r="A199" s="2121" t="s">
        <v>260</v>
      </c>
      <c r="B199" s="2121" t="s">
        <v>261</v>
      </c>
      <c r="C199" s="710"/>
      <c r="D199" s="2803"/>
      <c r="E199" s="2545"/>
      <c r="F199" s="2724" t="str">
        <f>INDEX(PT_DIFFERENTIATION_VTAR,MATCH(A199,PT_DIFFERENTIATION_VTAR_ID,0))</f>
        <v>Тариф на водоотведение</v>
      </c>
      <c r="G199" s="2768" t="str">
        <f>INDEX(PT_DIFFERENTIATION_NTAR,MATCH(B199,PT_DIFFERENTIATION_NTAR_ID,0))</f>
        <v/>
      </c>
      <c r="H199" s="2203"/>
      <c r="I199" s="2080"/>
      <c r="J199" s="2114"/>
      <c r="K199" s="2119"/>
      <c r="L199" s="2203" t="s">
        <v>301</v>
      </c>
      <c r="M199" s="682"/>
      <c r="N199" s="675"/>
      <c r="O199" s="1965"/>
      <c r="P199" s="1965"/>
      <c r="AH199" s="1972">
        <v>0</v>
      </c>
    </row>
    <row s="17239" customFormat="1" customHeight="1" ht="18.75" hidden="1">
      <c r="A200" s="2121"/>
      <c r="B200" s="2121"/>
      <c r="C200" s="710" t="s">
        <v>1326</v>
      </c>
      <c r="D200" s="2803"/>
      <c r="E200" s="2545"/>
      <c r="F200" s="2724"/>
      <c r="G200" s="2768"/>
      <c r="H200" s="1841"/>
      <c r="I200" s="992" t="s">
        <v>1325</v>
      </c>
      <c r="J200" s="912"/>
      <c r="K200" s="1841"/>
      <c r="L200" s="555"/>
      <c r="M200" s="682"/>
      <c r="N200" s="675"/>
      <c r="O200" s="1965"/>
      <c r="P200" s="1965"/>
      <c r="AH200" s="1972">
        <v>0</v>
      </c>
    </row>
    <row s="17239" customFormat="1" customHeight="1" ht="0.75" hidden="1">
      <c r="A201" s="2121"/>
      <c r="B201" s="2121"/>
      <c r="C201" s="710" t="s">
        <v>1333</v>
      </c>
      <c r="D201" s="2803"/>
      <c r="E201" s="2545"/>
      <c r="F201" s="2724"/>
      <c r="G201" s="741"/>
      <c r="H201" s="1841"/>
      <c r="I201" s="992"/>
      <c r="J201" s="912"/>
      <c r="K201" s="1841"/>
      <c r="L201" s="555"/>
      <c r="M201" s="682"/>
      <c r="N201" s="675"/>
      <c r="O201" s="1965"/>
      <c r="P201" s="1965"/>
      <c r="AH201" s="1972">
        <v>0</v>
      </c>
    </row>
    <row s="17239" customFormat="1" customHeight="1" ht="18.75" hidden="1">
      <c r="A202" s="2121" t="s">
        <v>265</v>
      </c>
      <c r="B202" s="2121" t="s">
        <v>266</v>
      </c>
      <c r="C202" s="710"/>
      <c r="D202" s="2803"/>
      <c r="E202" s="2545"/>
      <c r="F202" s="2724" t="str">
        <f>INDEX(PT_DIFFERENTIATION_VTAR,MATCH(A202,PT_DIFFERENTIATION_VTAR_ID,0))</f>
        <v>Тариф на транспортировку сточных вод</v>
      </c>
      <c r="G202" s="2768" t="str">
        <f>INDEX(PT_DIFFERENTIATION_NTAR,MATCH(B202,PT_DIFFERENTIATION_NTAR_ID,0))</f>
        <v/>
      </c>
      <c r="H202" s="2203"/>
      <c r="I202" s="2080"/>
      <c r="J202" s="2114"/>
      <c r="K202" s="2119"/>
      <c r="L202" s="2203" t="s">
        <v>301</v>
      </c>
      <c r="M202" s="682"/>
      <c r="N202" s="675"/>
      <c r="O202" s="1965"/>
      <c r="P202" s="1965"/>
      <c r="AH202" s="1972">
        <v>0</v>
      </c>
    </row>
    <row s="17239" customFormat="1" customHeight="1" ht="18.75" hidden="1">
      <c r="A203" s="2121"/>
      <c r="B203" s="2121"/>
      <c r="C203" s="710" t="s">
        <v>1326</v>
      </c>
      <c r="D203" s="2803"/>
      <c r="E203" s="2545"/>
      <c r="F203" s="2724"/>
      <c r="G203" s="2768"/>
      <c r="H203" s="1841"/>
      <c r="I203" s="992" t="s">
        <v>1325</v>
      </c>
      <c r="J203" s="912"/>
      <c r="K203" s="1841"/>
      <c r="L203" s="555"/>
      <c r="M203" s="682"/>
      <c r="N203" s="675"/>
      <c r="O203" s="1965"/>
      <c r="P203" s="1965"/>
      <c r="AH203" s="1972">
        <v>0</v>
      </c>
    </row>
    <row s="17239" customFormat="1" customHeight="1" ht="0.75" hidden="1">
      <c r="A204" s="2121"/>
      <c r="B204" s="2121"/>
      <c r="C204" s="710" t="s">
        <v>1333</v>
      </c>
      <c r="D204" s="2803"/>
      <c r="E204" s="2545"/>
      <c r="F204" s="2724"/>
      <c r="G204" s="741"/>
      <c r="H204" s="1841"/>
      <c r="I204" s="992"/>
      <c r="J204" s="912"/>
      <c r="K204" s="1841"/>
      <c r="L204" s="555"/>
      <c r="M204" s="682"/>
      <c r="N204" s="675"/>
      <c r="O204" s="1965"/>
      <c r="P204" s="1965"/>
      <c r="AH204" s="1972">
        <v>0</v>
      </c>
    </row>
    <row s="17239" customFormat="1" customHeight="1" ht="18.75" hidden="1">
      <c r="A205" s="2121" t="s">
        <v>270</v>
      </c>
      <c r="B205" s="2121" t="s">
        <v>271</v>
      </c>
      <c r="C205" s="710"/>
      <c r="D205" s="2803"/>
      <c r="E205" s="2545"/>
      <c r="F205" s="2724" t="str">
        <f>INDEX(PT_DIFFERENTIATION_VTAR,MATCH(A205,PT_DIFFERENTIATION_VTAR_ID,0))</f>
        <v>Тариф на подключение (технологическое присоединение) к централизованной системе водоотведения</v>
      </c>
      <c r="G205" s="2768" t="str">
        <f>INDEX(PT_DIFFERENTIATION_NTAR,MATCH(B205,PT_DIFFERENTIATION_NTAR_ID,0))</f>
        <v/>
      </c>
      <c r="H205" s="2203"/>
      <c r="I205" s="2080"/>
      <c r="J205" s="2114"/>
      <c r="K205" s="2119"/>
      <c r="L205" s="2203" t="s">
        <v>301</v>
      </c>
      <c r="M205" s="682"/>
      <c r="N205" s="675"/>
      <c r="O205" s="1965"/>
      <c r="P205" s="1965"/>
      <c r="AH205" s="1972">
        <v>0</v>
      </c>
    </row>
    <row s="17239" customFormat="1" customHeight="1" ht="18.75" hidden="1">
      <c r="A206" s="2121"/>
      <c r="B206" s="2121"/>
      <c r="C206" s="710" t="s">
        <v>1326</v>
      </c>
      <c r="D206" s="2803"/>
      <c r="E206" s="2545"/>
      <c r="F206" s="2724"/>
      <c r="G206" s="2768"/>
      <c r="H206" s="1841"/>
      <c r="I206" s="992" t="s">
        <v>1325</v>
      </c>
      <c r="J206" s="912"/>
      <c r="K206" s="1841"/>
      <c r="L206" s="555"/>
      <c r="M206" s="682"/>
      <c r="N206" s="675"/>
      <c r="O206" s="1965"/>
      <c r="P206" s="1965"/>
      <c r="AH206" s="1972">
        <v>0</v>
      </c>
    </row>
    <row s="17239" customFormat="1" customHeight="1" ht="1.05">
      <c r="A207" s="2121"/>
      <c r="B207" s="2121"/>
      <c r="C207" s="710" t="s">
        <v>1333</v>
      </c>
      <c r="D207" s="2803"/>
      <c r="E207" s="2545"/>
      <c r="F207" s="2724"/>
      <c r="G207" s="741"/>
      <c r="H207" s="1841"/>
      <c r="I207" s="992"/>
      <c r="J207" s="912"/>
      <c r="K207" s="1841"/>
      <c r="L207" s="555"/>
      <c r="M207" s="682"/>
      <c r="N207" s="675"/>
      <c r="O207" s="1965"/>
      <c r="P207" s="1965"/>
      <c r="AH207" s="1972">
        <v>1</v>
      </c>
    </row>
    <row customHeight="1" ht="27.299999999999997">
      <c r="A208" s="2121"/>
      <c r="B208" s="2121"/>
      <c r="D208" s="717"/>
      <c r="E208" s="488" t="s">
        <v>108</v>
      </c>
      <c r="F208" s="280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01"/>
      <c r="H208" s="2801"/>
      <c r="I208" s="2801"/>
      <c r="J208" s="2801"/>
      <c r="K208" s="2801"/>
      <c r="L208" s="2801"/>
      <c r="M208" s="638"/>
      <c r="N208" s="675"/>
      <c r="AH208" s="715">
        <v>26</v>
      </c>
    </row>
    <row s="17239" customFormat="1" customHeight="1" ht="60.75" hidden="1">
      <c r="A209" s="2121" t="s">
        <v>152</v>
      </c>
      <c r="B209" s="2121" t="s">
        <v>153</v>
      </c>
      <c r="C209" s="710"/>
      <c r="D209" s="2803"/>
      <c r="E209" s="2545"/>
      <c r="F209" s="272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68" t="str">
        <f>INDEX(PT_DIFFERENTIATION_NTAR,MATCH(B209,PT_DIFFERENTIATION_NTAR_ID,0))</f>
        <v/>
      </c>
      <c r="H209" s="2203"/>
      <c r="I209" s="2080"/>
      <c r="J209" s="2114"/>
      <c r="K209" s="2119"/>
      <c r="L209" s="2203" t="s">
        <v>301</v>
      </c>
      <c r="M209"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675"/>
      <c r="O209" s="1965"/>
      <c r="P209" s="1965"/>
      <c r="AH209" s="1972">
        <v>0</v>
      </c>
    </row>
    <row s="17239" customFormat="1" customHeight="1" ht="18.75" hidden="1">
      <c r="A210" s="2121"/>
      <c r="B210" s="2121"/>
      <c r="C210" s="710" t="s">
        <v>1326</v>
      </c>
      <c r="D210" s="2803"/>
      <c r="E210" s="2545"/>
      <c r="F210" s="2724"/>
      <c r="G210" s="2768"/>
      <c r="H210" s="1841"/>
      <c r="I210" s="992" t="s">
        <v>1325</v>
      </c>
      <c r="J210" s="912"/>
      <c r="K210" s="1841"/>
      <c r="L210" s="555"/>
      <c r="M210" s="2511"/>
      <c r="N210" s="675"/>
      <c r="O210" s="1965"/>
      <c r="P210" s="1965"/>
      <c r="AH210" s="1972">
        <v>0</v>
      </c>
    </row>
    <row s="17239" customFormat="1" customHeight="1" ht="0.75" hidden="1">
      <c r="A211" s="2121"/>
      <c r="B211" s="2121"/>
      <c r="C211" s="710" t="s">
        <v>1333</v>
      </c>
      <c r="D211" s="2803"/>
      <c r="E211" s="2545"/>
      <c r="F211" s="2724"/>
      <c r="G211" s="741"/>
      <c r="H211" s="1841"/>
      <c r="I211" s="992"/>
      <c r="J211" s="912"/>
      <c r="K211" s="1841"/>
      <c r="L211" s="555"/>
      <c r="M211" s="2511"/>
      <c r="N211" s="675"/>
      <c r="O211" s="1965"/>
      <c r="P211" s="1965"/>
      <c r="AH211" s="1972">
        <v>0</v>
      </c>
    </row>
    <row s="17239" customFormat="1" customHeight="1" ht="45" hidden="1">
      <c r="A212" s="2121" t="s">
        <v>157</v>
      </c>
      <c r="B212" s="2121" t="s">
        <v>158</v>
      </c>
      <c r="C212" s="710"/>
      <c r="D212" s="2803"/>
      <c r="E212" s="2545"/>
      <c r="F212" s="2724" t="str">
        <f>INDEX(PT_DIFFERENTIATION_VTAR,MATCH(A212,PT_DIFFERENTIATION_VTAR_ID,0))</f>
        <v/>
      </c>
      <c r="G212" s="2768" t="str">
        <f>INDEX(PT_DIFFERENTIATION_NTAR,MATCH(B212,PT_DIFFERENTIATION_NTAR_ID,0))</f>
        <v/>
      </c>
      <c r="H212" s="2203"/>
      <c r="I212" s="2080"/>
      <c r="J212" s="2114"/>
      <c r="K212" s="2119"/>
      <c r="L212" s="2203" t="s">
        <v>301</v>
      </c>
      <c r="M212" s="2512"/>
      <c r="N212" s="675"/>
      <c r="O212" s="1965"/>
      <c r="P212" s="1965"/>
      <c r="AH212" s="1972">
        <v>0</v>
      </c>
    </row>
    <row s="17239" customFormat="1" customHeight="1" ht="18.75" hidden="1">
      <c r="A213" s="2121"/>
      <c r="B213" s="2121"/>
      <c r="C213" s="710" t="s">
        <v>1326</v>
      </c>
      <c r="D213" s="2803"/>
      <c r="E213" s="2545"/>
      <c r="F213" s="2724"/>
      <c r="G213" s="2768"/>
      <c r="H213" s="1841"/>
      <c r="I213" s="992" t="s">
        <v>1325</v>
      </c>
      <c r="J213" s="912"/>
      <c r="K213" s="1841"/>
      <c r="L213" s="555"/>
      <c r="M213" s="2202"/>
      <c r="N213" s="675"/>
      <c r="O213" s="1965"/>
      <c r="P213" s="1965"/>
      <c r="AH213" s="1972">
        <v>0</v>
      </c>
    </row>
    <row s="17239" customFormat="1" customHeight="1" ht="0.75" hidden="1">
      <c r="A214" s="2121"/>
      <c r="B214" s="2121"/>
      <c r="C214" s="710" t="s">
        <v>1333</v>
      </c>
      <c r="D214" s="2803"/>
      <c r="E214" s="2545"/>
      <c r="F214" s="2724"/>
      <c r="G214" s="741"/>
      <c r="H214" s="1841"/>
      <c r="I214" s="992"/>
      <c r="J214" s="912"/>
      <c r="K214" s="1841"/>
      <c r="L214" s="555"/>
      <c r="M214" s="682"/>
      <c r="N214" s="675"/>
      <c r="O214" s="1965"/>
      <c r="P214" s="1965"/>
      <c r="AH214" s="1972">
        <v>0</v>
      </c>
    </row>
    <row s="17239" customFormat="1" customHeight="1" ht="45" hidden="1">
      <c r="A215" s="2121" t="s">
        <v>164</v>
      </c>
      <c r="B215" s="2121" t="s">
        <v>165</v>
      </c>
      <c r="C215" s="710"/>
      <c r="D215" s="2803"/>
      <c r="E215" s="2545"/>
      <c r="F215" s="272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68" t="str">
        <f>INDEX(PT_DIFFERENTIATION_NTAR,MATCH(B215,PT_DIFFERENTIATION_NTAR_ID,0))</f>
        <v/>
      </c>
      <c r="H215" s="2203"/>
      <c r="I215" s="2080"/>
      <c r="J215" s="2114"/>
      <c r="K215" s="2119"/>
      <c r="L215" s="2203" t="s">
        <v>301</v>
      </c>
      <c r="M215" s="682"/>
      <c r="N215" s="675"/>
      <c r="O215" s="1965"/>
      <c r="P215" s="1965"/>
      <c r="AH215" s="1972">
        <v>0</v>
      </c>
    </row>
    <row s="17239" customFormat="1" customHeight="1" ht="18.75" hidden="1">
      <c r="A216" s="2121"/>
      <c r="B216" s="2121"/>
      <c r="C216" s="710" t="s">
        <v>1326</v>
      </c>
      <c r="D216" s="2803"/>
      <c r="E216" s="2545"/>
      <c r="F216" s="2724"/>
      <c r="G216" s="2768"/>
      <c r="H216" s="1841"/>
      <c r="I216" s="992" t="s">
        <v>1325</v>
      </c>
      <c r="J216" s="912"/>
      <c r="K216" s="1841"/>
      <c r="L216" s="555"/>
      <c r="M216" s="682"/>
      <c r="N216" s="675"/>
      <c r="O216" s="1965"/>
      <c r="P216" s="1965"/>
      <c r="AH216" s="1972">
        <v>0</v>
      </c>
    </row>
    <row s="17239" customFormat="1" customHeight="1" ht="0.75" hidden="1">
      <c r="A217" s="2121"/>
      <c r="B217" s="2121"/>
      <c r="C217" s="710" t="s">
        <v>1333</v>
      </c>
      <c r="D217" s="2803"/>
      <c r="E217" s="2545"/>
      <c r="F217" s="2724"/>
      <c r="G217" s="741"/>
      <c r="H217" s="1841"/>
      <c r="I217" s="992"/>
      <c r="J217" s="912"/>
      <c r="K217" s="1841"/>
      <c r="L217" s="555"/>
      <c r="M217" s="682"/>
      <c r="N217" s="675"/>
      <c r="O217" s="1965"/>
      <c r="P217" s="1965"/>
      <c r="AH217" s="1972">
        <v>0</v>
      </c>
    </row>
    <row s="17239" customFormat="1" customHeight="1" ht="45" hidden="1">
      <c r="A218" s="2121" t="s">
        <v>170</v>
      </c>
      <c r="B218" s="2121" t="s">
        <v>171</v>
      </c>
      <c r="C218" s="710"/>
      <c r="D218" s="2803"/>
      <c r="E218" s="2545"/>
      <c r="F218" s="272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68" t="str">
        <f>INDEX(PT_DIFFERENTIATION_NTAR,MATCH(B218,PT_DIFFERENTIATION_NTAR_ID,0))</f>
        <v/>
      </c>
      <c r="H218" s="2203"/>
      <c r="I218" s="2080"/>
      <c r="J218" s="2114"/>
      <c r="K218" s="2119"/>
      <c r="L218" s="2203" t="s">
        <v>301</v>
      </c>
      <c r="M218" s="682"/>
      <c r="N218" s="675"/>
      <c r="O218" s="1965"/>
      <c r="P218" s="1965"/>
      <c r="AH218" s="1972">
        <v>0</v>
      </c>
    </row>
    <row s="17239" customFormat="1" customHeight="1" ht="18.75" hidden="1">
      <c r="A219" s="2121"/>
      <c r="B219" s="2121"/>
      <c r="C219" s="710" t="s">
        <v>1326</v>
      </c>
      <c r="D219" s="2803"/>
      <c r="E219" s="2545"/>
      <c r="F219" s="2724"/>
      <c r="G219" s="2768"/>
      <c r="H219" s="1841"/>
      <c r="I219" s="992" t="s">
        <v>1325</v>
      </c>
      <c r="J219" s="912"/>
      <c r="K219" s="1841"/>
      <c r="L219" s="555"/>
      <c r="M219" s="682"/>
      <c r="N219" s="675"/>
      <c r="O219" s="1965"/>
      <c r="P219" s="1965"/>
      <c r="AH219" s="1972">
        <v>0</v>
      </c>
    </row>
    <row s="17239" customFormat="1" customHeight="1" ht="0.75" hidden="1">
      <c r="A220" s="2121"/>
      <c r="B220" s="2121"/>
      <c r="C220" s="710" t="s">
        <v>1333</v>
      </c>
      <c r="D220" s="2803"/>
      <c r="E220" s="2545"/>
      <c r="F220" s="2724"/>
      <c r="G220" s="741"/>
      <c r="H220" s="1841"/>
      <c r="I220" s="992"/>
      <c r="J220" s="912"/>
      <c r="K220" s="1841"/>
      <c r="L220" s="555"/>
      <c r="M220" s="682"/>
      <c r="N220" s="675"/>
      <c r="O220" s="1965"/>
      <c r="P220" s="1965"/>
      <c r="AH220" s="1972">
        <v>0</v>
      </c>
    </row>
    <row s="17239" customFormat="1" customHeight="1" ht="18.75" hidden="1">
      <c r="A221" s="2121" t="s">
        <v>176</v>
      </c>
      <c r="B221" s="2121" t="s">
        <v>177</v>
      </c>
      <c r="C221" s="710"/>
      <c r="D221" s="2803"/>
      <c r="E221" s="2545"/>
      <c r="F221" s="2724" t="str">
        <f>INDEX(PT_DIFFERENTIATION_VTAR,MATCH(A221,PT_DIFFERENTIATION_VTAR_ID,0))</f>
        <v>Тарифы на услуги по передаче тепловой энергии</v>
      </c>
      <c r="G221" s="2768" t="str">
        <f>INDEX(PT_DIFFERENTIATION_NTAR,MATCH(B221,PT_DIFFERENTIATION_NTAR_ID,0))</f>
        <v/>
      </c>
      <c r="H221" s="2203"/>
      <c r="I221" s="2080"/>
      <c r="J221" s="2114"/>
      <c r="K221" s="2119"/>
      <c r="L221" s="2203" t="s">
        <v>301</v>
      </c>
      <c r="M221" s="682"/>
      <c r="N221" s="675"/>
      <c r="O221" s="1965"/>
      <c r="P221" s="1965"/>
      <c r="AH221" s="1972">
        <v>0</v>
      </c>
    </row>
    <row s="17239" customFormat="1" customHeight="1" ht="18.75" hidden="1">
      <c r="A222" s="2121"/>
      <c r="B222" s="2121"/>
      <c r="C222" s="710" t="s">
        <v>1326</v>
      </c>
      <c r="D222" s="2803"/>
      <c r="E222" s="2545"/>
      <c r="F222" s="2724"/>
      <c r="G222" s="2768"/>
      <c r="H222" s="1841"/>
      <c r="I222" s="992" t="s">
        <v>1325</v>
      </c>
      <c r="J222" s="912"/>
      <c r="K222" s="1841"/>
      <c r="L222" s="555"/>
      <c r="M222" s="682"/>
      <c r="N222" s="675"/>
      <c r="O222" s="1965"/>
      <c r="P222" s="1965"/>
      <c r="AH222" s="1972">
        <v>0</v>
      </c>
    </row>
    <row s="17239" customFormat="1" customHeight="1" ht="0.75" hidden="1">
      <c r="A223" s="2121"/>
      <c r="B223" s="2121"/>
      <c r="C223" s="710" t="s">
        <v>1333</v>
      </c>
      <c r="D223" s="2803"/>
      <c r="E223" s="2545"/>
      <c r="F223" s="2724"/>
      <c r="G223" s="741"/>
      <c r="H223" s="1841"/>
      <c r="I223" s="992"/>
      <c r="J223" s="912"/>
      <c r="K223" s="1841"/>
      <c r="L223" s="555"/>
      <c r="M223" s="682"/>
      <c r="N223" s="675"/>
      <c r="O223" s="1965"/>
      <c r="P223" s="1965"/>
      <c r="AH223" s="1972">
        <v>0</v>
      </c>
    </row>
    <row s="17239" customFormat="1" customHeight="1" ht="18.75" hidden="1">
      <c r="A224" s="2121" t="s">
        <v>182</v>
      </c>
      <c r="B224" s="2121" t="s">
        <v>183</v>
      </c>
      <c r="C224" s="710"/>
      <c r="D224" s="2803"/>
      <c r="E224" s="2545"/>
      <c r="F224" s="2724" t="str">
        <f>INDEX(PT_DIFFERENTIATION_VTAR,MATCH(A224,PT_DIFFERENTIATION_VTAR_ID,0))</f>
        <v>Тарифы на услуги по передаче теплоносителя</v>
      </c>
      <c r="G224" s="2768" t="str">
        <f>INDEX(PT_DIFFERENTIATION_NTAR,MATCH(B224,PT_DIFFERENTIATION_NTAR_ID,0))</f>
        <v/>
      </c>
      <c r="H224" s="2203"/>
      <c r="I224" s="2080"/>
      <c r="J224" s="2114"/>
      <c r="K224" s="2119"/>
      <c r="L224" s="2203" t="s">
        <v>301</v>
      </c>
      <c r="M224" s="682"/>
      <c r="N224" s="675"/>
      <c r="O224" s="1965"/>
      <c r="P224" s="1965"/>
      <c r="AH224" s="1972">
        <v>0</v>
      </c>
    </row>
    <row s="17239" customFormat="1" customHeight="1" ht="18.75" hidden="1">
      <c r="A225" s="2121"/>
      <c r="B225" s="2121"/>
      <c r="C225" s="710" t="s">
        <v>1326</v>
      </c>
      <c r="D225" s="2803"/>
      <c r="E225" s="2545"/>
      <c r="F225" s="2724"/>
      <c r="G225" s="2768"/>
      <c r="H225" s="1841"/>
      <c r="I225" s="992" t="s">
        <v>1325</v>
      </c>
      <c r="J225" s="912"/>
      <c r="K225" s="1841"/>
      <c r="L225" s="555"/>
      <c r="M225" s="682"/>
      <c r="N225" s="675"/>
      <c r="O225" s="1965"/>
      <c r="P225" s="1965"/>
      <c r="AH225" s="1972">
        <v>0</v>
      </c>
    </row>
    <row s="17239" customFormat="1" customHeight="1" ht="0.75" hidden="1">
      <c r="A226" s="2121"/>
      <c r="B226" s="2121"/>
      <c r="C226" s="710" t="s">
        <v>1333</v>
      </c>
      <c r="D226" s="2803"/>
      <c r="E226" s="2545"/>
      <c r="F226" s="2724"/>
      <c r="G226" s="741"/>
      <c r="H226" s="1841"/>
      <c r="I226" s="992"/>
      <c r="J226" s="912"/>
      <c r="K226" s="1841"/>
      <c r="L226" s="555"/>
      <c r="M226" s="682"/>
      <c r="N226" s="675"/>
      <c r="O226" s="1965"/>
      <c r="P226" s="1965"/>
      <c r="AH226" s="1972">
        <v>0</v>
      </c>
    </row>
    <row s="17239" customFormat="1" customHeight="1" ht="18.75" hidden="1">
      <c r="A227" s="2121" t="s">
        <v>188</v>
      </c>
      <c r="B227" s="2121" t="s">
        <v>189</v>
      </c>
      <c r="C227" s="710"/>
      <c r="D227" s="2803"/>
      <c r="E227" s="2545"/>
      <c r="F227" s="272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68" t="str">
        <f>INDEX(PT_DIFFERENTIATION_NTAR,MATCH(B227,PT_DIFFERENTIATION_NTAR_ID,0))</f>
        <v/>
      </c>
      <c r="H227" s="2203"/>
      <c r="I227" s="2080"/>
      <c r="J227" s="2114"/>
      <c r="K227" s="2119"/>
      <c r="L227" s="2203" t="s">
        <v>301</v>
      </c>
      <c r="M227" s="682"/>
      <c r="N227" s="675"/>
      <c r="O227" s="1965"/>
      <c r="P227" s="1965"/>
      <c r="AH227" s="1972">
        <v>0</v>
      </c>
    </row>
    <row s="17239" customFormat="1" customHeight="1" ht="18.75" hidden="1">
      <c r="A228" s="2121"/>
      <c r="B228" s="2121"/>
      <c r="C228" s="710" t="s">
        <v>1326</v>
      </c>
      <c r="D228" s="2803"/>
      <c r="E228" s="2545"/>
      <c r="F228" s="2724"/>
      <c r="G228" s="2768"/>
      <c r="H228" s="1841"/>
      <c r="I228" s="992" t="s">
        <v>1325</v>
      </c>
      <c r="J228" s="912"/>
      <c r="K228" s="1841"/>
      <c r="L228" s="555"/>
      <c r="M228" s="682"/>
      <c r="N228" s="675"/>
      <c r="O228" s="1965"/>
      <c r="P228" s="1965"/>
      <c r="AH228" s="1972">
        <v>0</v>
      </c>
    </row>
    <row s="17239" customFormat="1" customHeight="1" ht="0.75" hidden="1">
      <c r="A229" s="2121"/>
      <c r="B229" s="2121"/>
      <c r="C229" s="710" t="s">
        <v>1333</v>
      </c>
      <c r="D229" s="2803"/>
      <c r="E229" s="2545"/>
      <c r="F229" s="2724"/>
      <c r="G229" s="741"/>
      <c r="H229" s="1841"/>
      <c r="I229" s="992"/>
      <c r="J229" s="912"/>
      <c r="K229" s="1841"/>
      <c r="L229" s="555"/>
      <c r="M229" s="682"/>
      <c r="N229" s="675"/>
      <c r="O229" s="1965"/>
      <c r="P229" s="1965"/>
      <c r="AH229" s="1972">
        <v>0</v>
      </c>
    </row>
    <row s="17239" customFormat="1" customHeight="1" ht="18.75" hidden="1">
      <c r="A230" s="2121" t="s">
        <v>194</v>
      </c>
      <c r="B230" s="2121" t="s">
        <v>195</v>
      </c>
      <c r="C230" s="710"/>
      <c r="D230" s="2803"/>
      <c r="E230" s="2545"/>
      <c r="F230" s="2724" t="str">
        <f>INDEX(PT_DIFFERENTIATION_VTAR,MATCH(A230,PT_DIFFERENTIATION_VTAR_ID,0))</f>
        <v>Плата за подключение (технологическое присоединение) к системе теплоснабжения</v>
      </c>
      <c r="G230" s="2768" t="str">
        <f>INDEX(PT_DIFFERENTIATION_NTAR,MATCH(B230,PT_DIFFERENTIATION_NTAR_ID,0))</f>
        <v/>
      </c>
      <c r="H230" s="2203"/>
      <c r="I230" s="2080"/>
      <c r="J230" s="2114"/>
      <c r="K230" s="2119"/>
      <c r="L230" s="2203" t="s">
        <v>301</v>
      </c>
      <c r="M230" s="682"/>
      <c r="N230" s="675"/>
      <c r="O230" s="1965"/>
      <c r="P230" s="1965"/>
      <c r="AH230" s="1972">
        <v>0</v>
      </c>
    </row>
    <row s="17239" customFormat="1" customHeight="1" ht="18.75" hidden="1">
      <c r="A231" s="2121"/>
      <c r="B231" s="2121"/>
      <c r="C231" s="710" t="s">
        <v>1326</v>
      </c>
      <c r="D231" s="2803"/>
      <c r="E231" s="2545"/>
      <c r="F231" s="2724"/>
      <c r="G231" s="2768"/>
      <c r="H231" s="1841"/>
      <c r="I231" s="992" t="s">
        <v>1325</v>
      </c>
      <c r="J231" s="912"/>
      <c r="K231" s="1841"/>
      <c r="L231" s="555"/>
      <c r="M231" s="682"/>
      <c r="N231" s="675"/>
      <c r="O231" s="1965"/>
      <c r="P231" s="1965"/>
      <c r="AH231" s="1972">
        <v>0</v>
      </c>
    </row>
    <row s="17239" customFormat="1" customHeight="1" ht="0.75" hidden="1">
      <c r="A232" s="2121"/>
      <c r="B232" s="2121"/>
      <c r="C232" s="710" t="s">
        <v>1333</v>
      </c>
      <c r="D232" s="2803"/>
      <c r="E232" s="2545"/>
      <c r="F232" s="2724"/>
      <c r="G232" s="741"/>
      <c r="H232" s="1841"/>
      <c r="I232" s="992"/>
      <c r="J232" s="912"/>
      <c r="K232" s="1841"/>
      <c r="L232" s="555"/>
      <c r="M232" s="682"/>
      <c r="N232" s="675"/>
      <c r="O232" s="1965"/>
      <c r="P232" s="1965"/>
      <c r="AH232" s="1972">
        <v>0</v>
      </c>
    </row>
    <row s="17239" customFormat="1" customHeight="1" ht="18.75" hidden="1">
      <c r="A233" s="2121" t="s">
        <v>200</v>
      </c>
      <c r="B233" s="2121" t="s">
        <v>201</v>
      </c>
      <c r="C233" s="710"/>
      <c r="D233" s="2803"/>
      <c r="E233" s="2545"/>
      <c r="F233" s="2724" t="str">
        <f>INDEX(PT_DIFFERENTIATION_VTAR,MATCH(A233,PT_DIFFERENTIATION_VTAR_ID,0))</f>
        <v>Плата за подключение (технологическое присоединение) к системе теплоснабжения (индивидуальная)</v>
      </c>
      <c r="G233" s="2768" t="str">
        <f>INDEX(PT_DIFFERENTIATION_NTAR,MATCH(B233,PT_DIFFERENTIATION_NTAR_ID,0))</f>
        <v/>
      </c>
      <c r="H233" s="2330"/>
      <c r="I233" s="2080"/>
      <c r="J233" s="2114"/>
      <c r="K233" s="2119"/>
      <c r="L233" s="2330" t="s">
        <v>301</v>
      </c>
      <c r="M233" s="682"/>
      <c r="N233" s="675"/>
      <c r="O233" s="1965"/>
      <c r="P233" s="1965"/>
      <c r="AH233" s="1972">
        <v>0</v>
      </c>
    </row>
    <row s="17239" customFormat="1" customHeight="1" ht="18.75" hidden="1">
      <c r="A234" s="2121"/>
      <c r="B234" s="2121"/>
      <c r="C234" s="710" t="s">
        <v>1326</v>
      </c>
      <c r="D234" s="2803"/>
      <c r="E234" s="2545"/>
      <c r="F234" s="2724"/>
      <c r="G234" s="2768"/>
      <c r="H234" s="1841"/>
      <c r="I234" s="992" t="s">
        <v>1325</v>
      </c>
      <c r="J234" s="912"/>
      <c r="K234" s="1841"/>
      <c r="L234" s="555"/>
      <c r="M234" s="682"/>
      <c r="N234" s="675"/>
      <c r="O234" s="1965"/>
      <c r="P234" s="1965"/>
      <c r="AH234" s="1972">
        <v>0</v>
      </c>
    </row>
    <row s="17239" customFormat="1" customHeight="1" ht="0.75" hidden="1">
      <c r="A235" s="2121"/>
      <c r="B235" s="2121"/>
      <c r="C235" s="710" t="s">
        <v>1333</v>
      </c>
      <c r="D235" s="2803"/>
      <c r="E235" s="2545"/>
      <c r="F235" s="2724"/>
      <c r="G235" s="741"/>
      <c r="H235" s="1841"/>
      <c r="I235" s="992"/>
      <c r="J235" s="912"/>
      <c r="K235" s="1841"/>
      <c r="L235" s="555"/>
      <c r="M235" s="682"/>
      <c r="N235" s="675"/>
      <c r="O235" s="1965"/>
      <c r="P235" s="1965"/>
      <c r="AH235" s="1972">
        <v>0</v>
      </c>
    </row>
    <row s="17239" customFormat="1" customHeight="1" ht="18.75" hidden="1">
      <c r="A236" s="2121" t="s">
        <v>220</v>
      </c>
      <c r="B236" s="2121" t="s">
        <v>221</v>
      </c>
      <c r="C236" s="710"/>
      <c r="D236" s="2803"/>
      <c r="E236" s="2545"/>
      <c r="F236" s="2724" t="str">
        <f>INDEX(PT_DIFFERENTIATION_VTAR,MATCH(A236,PT_DIFFERENTIATION_VTAR_ID,0))</f>
        <v>Тариф на питьевую воду (питьевое водоснабжение)</v>
      </c>
      <c r="G236" s="2768" t="str">
        <f>INDEX(PT_DIFFERENTIATION_NTAR,MATCH(B236,PT_DIFFERENTIATION_NTAR_ID,0))</f>
        <v/>
      </c>
      <c r="H236" s="2203"/>
      <c r="I236" s="2080"/>
      <c r="J236" s="2114"/>
      <c r="K236" s="2119"/>
      <c r="L236" s="2203" t="s">
        <v>301</v>
      </c>
      <c r="M236" s="682"/>
      <c r="N236" s="675"/>
      <c r="O236" s="1965"/>
      <c r="P236" s="1965"/>
      <c r="AH236" s="1972">
        <v>0</v>
      </c>
    </row>
    <row s="17239" customFormat="1" customHeight="1" ht="18.75" hidden="1">
      <c r="A237" s="2121"/>
      <c r="B237" s="2121"/>
      <c r="C237" s="710" t="s">
        <v>1326</v>
      </c>
      <c r="D237" s="2803"/>
      <c r="E237" s="2545"/>
      <c r="F237" s="2724"/>
      <c r="G237" s="2768"/>
      <c r="H237" s="1841"/>
      <c r="I237" s="992" t="s">
        <v>1325</v>
      </c>
      <c r="J237" s="912"/>
      <c r="K237" s="1841"/>
      <c r="L237" s="555"/>
      <c r="M237" s="682"/>
      <c r="N237" s="675"/>
      <c r="O237" s="1965"/>
      <c r="P237" s="1965"/>
      <c r="AH237" s="1972">
        <v>0</v>
      </c>
    </row>
    <row s="17239" customFormat="1" customHeight="1" ht="0.75" hidden="1">
      <c r="A238" s="2121"/>
      <c r="B238" s="2121"/>
      <c r="C238" s="710" t="s">
        <v>1333</v>
      </c>
      <c r="D238" s="2803"/>
      <c r="E238" s="2545"/>
      <c r="F238" s="2724"/>
      <c r="G238" s="741"/>
      <c r="H238" s="1841"/>
      <c r="I238" s="992"/>
      <c r="J238" s="912"/>
      <c r="K238" s="1841"/>
      <c r="L238" s="555"/>
      <c r="M238" s="682"/>
      <c r="N238" s="675"/>
      <c r="O238" s="1965"/>
      <c r="P238" s="1965"/>
      <c r="AH238" s="1972">
        <v>0</v>
      </c>
    </row>
    <row s="17239" customFormat="1" customHeight="1" ht="18.75" hidden="1">
      <c r="A239" s="2121" t="s">
        <v>225</v>
      </c>
      <c r="B239" s="2121" t="s">
        <v>226</v>
      </c>
      <c r="C239" s="710"/>
      <c r="D239" s="2803"/>
      <c r="E239" s="2545"/>
      <c r="F239" s="2724" t="str">
        <f>INDEX(PT_DIFFERENTIATION_VTAR,MATCH(A239,PT_DIFFERENTIATION_VTAR_ID,0))</f>
        <v>Тариф на техническую воду</v>
      </c>
      <c r="G239" s="2768" t="str">
        <f>INDEX(PT_DIFFERENTIATION_NTAR,MATCH(B239,PT_DIFFERENTIATION_NTAR_ID,0))</f>
        <v/>
      </c>
      <c r="H239" s="2203"/>
      <c r="I239" s="2080"/>
      <c r="J239" s="2114"/>
      <c r="K239" s="2119"/>
      <c r="L239" s="2203" t="s">
        <v>301</v>
      </c>
      <c r="M239" s="682"/>
      <c r="N239" s="675"/>
      <c r="O239" s="1965"/>
      <c r="P239" s="1965"/>
      <c r="AH239" s="1972">
        <v>0</v>
      </c>
    </row>
    <row s="17239" customFormat="1" customHeight="1" ht="18.75" hidden="1">
      <c r="A240" s="2121"/>
      <c r="B240" s="2121"/>
      <c r="C240" s="710" t="s">
        <v>1326</v>
      </c>
      <c r="D240" s="2803"/>
      <c r="E240" s="2545"/>
      <c r="F240" s="2724"/>
      <c r="G240" s="2768"/>
      <c r="H240" s="1841"/>
      <c r="I240" s="992" t="s">
        <v>1325</v>
      </c>
      <c r="J240" s="912"/>
      <c r="K240" s="1841"/>
      <c r="L240" s="555"/>
      <c r="M240" s="682"/>
      <c r="N240" s="675"/>
      <c r="O240" s="1965"/>
      <c r="P240" s="1965"/>
      <c r="AH240" s="1972">
        <v>0</v>
      </c>
    </row>
    <row s="17239" customFormat="1" customHeight="1" ht="0.75" hidden="1">
      <c r="A241" s="2121"/>
      <c r="B241" s="2121"/>
      <c r="C241" s="710" t="s">
        <v>1333</v>
      </c>
      <c r="D241" s="2803"/>
      <c r="E241" s="2545"/>
      <c r="F241" s="2724"/>
      <c r="G241" s="741"/>
      <c r="H241" s="1841"/>
      <c r="I241" s="992"/>
      <c r="J241" s="912"/>
      <c r="K241" s="1841"/>
      <c r="L241" s="555"/>
      <c r="M241" s="682"/>
      <c r="N241" s="675"/>
      <c r="O241" s="1965"/>
      <c r="P241" s="1965"/>
      <c r="AH241" s="1972">
        <v>0</v>
      </c>
    </row>
    <row s="17239" customFormat="1" customHeight="1" ht="18.75" hidden="1">
      <c r="A242" s="2121" t="s">
        <v>230</v>
      </c>
      <c r="B242" s="2121" t="s">
        <v>231</v>
      </c>
      <c r="C242" s="710"/>
      <c r="D242" s="2803"/>
      <c r="E242" s="2545"/>
      <c r="F242" s="2724" t="str">
        <f>INDEX(PT_DIFFERENTIATION_VTAR,MATCH(A242,PT_DIFFERENTIATION_VTAR_ID,0))</f>
        <v>Тариф на транспортировку воды</v>
      </c>
      <c r="G242" s="2768" t="str">
        <f>INDEX(PT_DIFFERENTIATION_NTAR,MATCH(B242,PT_DIFFERENTIATION_NTAR_ID,0))</f>
        <v/>
      </c>
      <c r="H242" s="2203"/>
      <c r="I242" s="2080"/>
      <c r="J242" s="2114"/>
      <c r="K242" s="2119"/>
      <c r="L242" s="2203" t="s">
        <v>301</v>
      </c>
      <c r="M242" s="682"/>
      <c r="N242" s="675"/>
      <c r="O242" s="1965"/>
      <c r="P242" s="1965"/>
      <c r="AH242" s="1972">
        <v>0</v>
      </c>
    </row>
    <row s="17239" customFormat="1" customHeight="1" ht="18.75" hidden="1">
      <c r="A243" s="2121"/>
      <c r="B243" s="2121"/>
      <c r="C243" s="710" t="s">
        <v>1326</v>
      </c>
      <c r="D243" s="2803"/>
      <c r="E243" s="2545"/>
      <c r="F243" s="2724"/>
      <c r="G243" s="2768"/>
      <c r="H243" s="1841"/>
      <c r="I243" s="992" t="s">
        <v>1325</v>
      </c>
      <c r="J243" s="912"/>
      <c r="K243" s="1841"/>
      <c r="L243" s="555"/>
      <c r="M243" s="682"/>
      <c r="N243" s="675"/>
      <c r="O243" s="1965"/>
      <c r="P243" s="1965"/>
      <c r="AH243" s="1972">
        <v>0</v>
      </c>
    </row>
    <row s="17239" customFormat="1" customHeight="1" ht="0.75" hidden="1">
      <c r="A244" s="2121"/>
      <c r="B244" s="2121"/>
      <c r="C244" s="710" t="s">
        <v>1333</v>
      </c>
      <c r="D244" s="2803"/>
      <c r="E244" s="2545"/>
      <c r="F244" s="2724"/>
      <c r="G244" s="741"/>
      <c r="H244" s="1841"/>
      <c r="I244" s="992"/>
      <c r="J244" s="912"/>
      <c r="K244" s="1841"/>
      <c r="L244" s="555"/>
      <c r="M244" s="682"/>
      <c r="N244" s="675"/>
      <c r="O244" s="1965"/>
      <c r="P244" s="1965"/>
      <c r="AH244" s="1972">
        <v>0</v>
      </c>
    </row>
    <row s="17239" customFormat="1" customHeight="1" ht="18.75" hidden="1">
      <c r="A245" s="2121" t="s">
        <v>235</v>
      </c>
      <c r="B245" s="2121" t="s">
        <v>236</v>
      </c>
      <c r="C245" s="710"/>
      <c r="D245" s="2803"/>
      <c r="E245" s="2545"/>
      <c r="F245" s="2724" t="str">
        <f>INDEX(PT_DIFFERENTIATION_VTAR,MATCH(A245,PT_DIFFERENTIATION_VTAR_ID,0))</f>
        <v>Тариф на подвоз воды</v>
      </c>
      <c r="G245" s="2768" t="str">
        <f>INDEX(PT_DIFFERENTIATION_NTAR,MATCH(B245,PT_DIFFERENTIATION_NTAR_ID,0))</f>
        <v/>
      </c>
      <c r="H245" s="2203"/>
      <c r="I245" s="2080"/>
      <c r="J245" s="2114"/>
      <c r="K245" s="2119"/>
      <c r="L245" s="2203" t="s">
        <v>301</v>
      </c>
      <c r="M245" s="682"/>
      <c r="N245" s="675"/>
      <c r="O245" s="1965"/>
      <c r="P245" s="1965"/>
      <c r="AH245" s="1972">
        <v>0</v>
      </c>
    </row>
    <row s="17239" customFormat="1" customHeight="1" ht="18.75" hidden="1">
      <c r="A246" s="2121"/>
      <c r="B246" s="2121"/>
      <c r="C246" s="710" t="s">
        <v>1326</v>
      </c>
      <c r="D246" s="2803"/>
      <c r="E246" s="2545"/>
      <c r="F246" s="2724"/>
      <c r="G246" s="2768"/>
      <c r="H246" s="1841"/>
      <c r="I246" s="992" t="s">
        <v>1325</v>
      </c>
      <c r="J246" s="912"/>
      <c r="K246" s="1841"/>
      <c r="L246" s="555"/>
      <c r="M246" s="682"/>
      <c r="N246" s="675"/>
      <c r="O246" s="1965"/>
      <c r="P246" s="1965"/>
      <c r="AH246" s="1972">
        <v>0</v>
      </c>
    </row>
    <row s="17239" customFormat="1" customHeight="1" ht="0.75" hidden="1">
      <c r="A247" s="2121"/>
      <c r="B247" s="2121"/>
      <c r="C247" s="710" t="s">
        <v>1333</v>
      </c>
      <c r="D247" s="2803"/>
      <c r="E247" s="2545"/>
      <c r="F247" s="2724"/>
      <c r="G247" s="741"/>
      <c r="H247" s="1841"/>
      <c r="I247" s="992"/>
      <c r="J247" s="912"/>
      <c r="K247" s="1841"/>
      <c r="L247" s="555"/>
      <c r="M247" s="682"/>
      <c r="N247" s="675"/>
      <c r="O247" s="1965"/>
      <c r="P247" s="1965"/>
      <c r="AH247" s="1972">
        <v>0</v>
      </c>
    </row>
    <row s="17239" customFormat="1" customHeight="1" ht="18.75" hidden="1">
      <c r="A248" s="2121" t="s">
        <v>240</v>
      </c>
      <c r="B248" s="2121" t="s">
        <v>241</v>
      </c>
      <c r="C248" s="710"/>
      <c r="D248" s="2803"/>
      <c r="E248" s="2545"/>
      <c r="F248" s="272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68" t="str">
        <f>INDEX(PT_DIFFERENTIATION_NTAR,MATCH(B248,PT_DIFFERENTIATION_NTAR_ID,0))</f>
        <v/>
      </c>
      <c r="H248" s="2203"/>
      <c r="I248" s="2080"/>
      <c r="J248" s="2114"/>
      <c r="K248" s="2119"/>
      <c r="L248" s="2203" t="s">
        <v>301</v>
      </c>
      <c r="M248" s="682"/>
      <c r="N248" s="675"/>
      <c r="O248" s="1965"/>
      <c r="P248" s="1965"/>
      <c r="AH248" s="1972">
        <v>0</v>
      </c>
    </row>
    <row s="17239" customFormat="1" customHeight="1" ht="18.75" hidden="1">
      <c r="A249" s="2121"/>
      <c r="B249" s="2121"/>
      <c r="C249" s="710" t="s">
        <v>1326</v>
      </c>
      <c r="D249" s="2803"/>
      <c r="E249" s="2545"/>
      <c r="F249" s="2724"/>
      <c r="G249" s="2768"/>
      <c r="H249" s="1841"/>
      <c r="I249" s="992" t="s">
        <v>1325</v>
      </c>
      <c r="J249" s="912"/>
      <c r="K249" s="1841"/>
      <c r="L249" s="555"/>
      <c r="M249" s="682"/>
      <c r="N249" s="675"/>
      <c r="O249" s="1965"/>
      <c r="P249" s="1965"/>
      <c r="AH249" s="1972">
        <v>0</v>
      </c>
    </row>
    <row s="17239" customFormat="1" customHeight="1" ht="0.75" hidden="1">
      <c r="A250" s="2121"/>
      <c r="B250" s="2121"/>
      <c r="C250" s="710" t="s">
        <v>1333</v>
      </c>
      <c r="D250" s="2803"/>
      <c r="E250" s="2545"/>
      <c r="F250" s="2724"/>
      <c r="G250" s="741"/>
      <c r="H250" s="1841"/>
      <c r="I250" s="992"/>
      <c r="J250" s="912"/>
      <c r="K250" s="1841"/>
      <c r="L250" s="555"/>
      <c r="M250" s="682"/>
      <c r="N250" s="675"/>
      <c r="O250" s="1965"/>
      <c r="P250" s="1965"/>
      <c r="AH250" s="1972">
        <v>0</v>
      </c>
    </row>
    <row s="17239" customFormat="1" customHeight="1" ht="18.75" hidden="1">
      <c r="A251" s="2121" t="s">
        <v>245</v>
      </c>
      <c r="B251" s="2121" t="s">
        <v>246</v>
      </c>
      <c r="C251" s="710"/>
      <c r="D251" s="2803"/>
      <c r="E251" s="2545"/>
      <c r="F251" s="2724" t="str">
        <f>INDEX(PT_DIFFERENTIATION_VTAR,MATCH(A251,PT_DIFFERENTIATION_VTAR_ID,0))</f>
        <v>Тариф на горячую воду (горячее водоснабжение)</v>
      </c>
      <c r="G251" s="2768" t="str">
        <f>INDEX(PT_DIFFERENTIATION_NTAR,MATCH(B251,PT_DIFFERENTIATION_NTAR_ID,0))</f>
        <v/>
      </c>
      <c r="H251" s="2203"/>
      <c r="I251" s="2080"/>
      <c r="J251" s="2114"/>
      <c r="K251" s="2119"/>
      <c r="L251" s="2203" t="s">
        <v>301</v>
      </c>
      <c r="M251" s="682"/>
      <c r="N251" s="675"/>
      <c r="O251" s="1965"/>
      <c r="P251" s="1965"/>
      <c r="AH251" s="1972">
        <v>0</v>
      </c>
    </row>
    <row s="17239" customFormat="1" customHeight="1" ht="18.75" hidden="1">
      <c r="A252" s="2121"/>
      <c r="B252" s="2121"/>
      <c r="C252" s="710" t="s">
        <v>1326</v>
      </c>
      <c r="D252" s="2803"/>
      <c r="E252" s="2545"/>
      <c r="F252" s="2724"/>
      <c r="G252" s="2768"/>
      <c r="H252" s="1841"/>
      <c r="I252" s="992" t="s">
        <v>1325</v>
      </c>
      <c r="J252" s="912"/>
      <c r="K252" s="1841"/>
      <c r="L252" s="555"/>
      <c r="M252" s="682"/>
      <c r="N252" s="675"/>
      <c r="O252" s="1965"/>
      <c r="P252" s="1965"/>
      <c r="AH252" s="1972">
        <v>0</v>
      </c>
    </row>
    <row s="17239" customFormat="1" customHeight="1" ht="0.75" hidden="1">
      <c r="A253" s="2121"/>
      <c r="B253" s="2121"/>
      <c r="C253" s="710" t="s">
        <v>1333</v>
      </c>
      <c r="D253" s="2803"/>
      <c r="E253" s="2545"/>
      <c r="F253" s="2724"/>
      <c r="G253" s="741"/>
      <c r="H253" s="1841"/>
      <c r="I253" s="992"/>
      <c r="J253" s="912"/>
      <c r="K253" s="1841"/>
      <c r="L253" s="555"/>
      <c r="M253" s="682"/>
      <c r="N253" s="675"/>
      <c r="O253" s="1965"/>
      <c r="P253" s="1965"/>
      <c r="AH253" s="1972">
        <v>0</v>
      </c>
    </row>
    <row s="17239" customFormat="1" customHeight="1" ht="18.75" hidden="1">
      <c r="A254" s="2121" t="s">
        <v>250</v>
      </c>
      <c r="B254" s="2121" t="s">
        <v>251</v>
      </c>
      <c r="C254" s="710"/>
      <c r="D254" s="2803"/>
      <c r="E254" s="2545"/>
      <c r="F254" s="2724" t="str">
        <f>INDEX(PT_DIFFERENTIATION_VTAR,MATCH(A254,PT_DIFFERENTIATION_VTAR_ID,0))</f>
        <v>Тариф на транспортировку горячей воды</v>
      </c>
      <c r="G254" s="2768" t="str">
        <f>INDEX(PT_DIFFERENTIATION_NTAR,MATCH(B254,PT_DIFFERENTIATION_NTAR_ID,0))</f>
        <v/>
      </c>
      <c r="H254" s="2203"/>
      <c r="I254" s="2080"/>
      <c r="J254" s="2114"/>
      <c r="K254" s="2119"/>
      <c r="L254" s="2203" t="s">
        <v>301</v>
      </c>
      <c r="M254" s="682"/>
      <c r="N254" s="675"/>
      <c r="O254" s="1965"/>
      <c r="P254" s="1965"/>
      <c r="AH254" s="1972">
        <v>0</v>
      </c>
    </row>
    <row s="17239" customFormat="1" customHeight="1" ht="18.75" hidden="1">
      <c r="A255" s="2121"/>
      <c r="B255" s="2121"/>
      <c r="C255" s="710" t="s">
        <v>1326</v>
      </c>
      <c r="D255" s="2803"/>
      <c r="E255" s="2545"/>
      <c r="F255" s="2724"/>
      <c r="G255" s="2768"/>
      <c r="H255" s="1841"/>
      <c r="I255" s="992" t="s">
        <v>1325</v>
      </c>
      <c r="J255" s="912"/>
      <c r="K255" s="1841"/>
      <c r="L255" s="555"/>
      <c r="M255" s="682"/>
      <c r="N255" s="675"/>
      <c r="O255" s="1965"/>
      <c r="P255" s="1965"/>
      <c r="AH255" s="1972">
        <v>0</v>
      </c>
    </row>
    <row s="17239" customFormat="1" customHeight="1" ht="0.75" hidden="1">
      <c r="A256" s="2121"/>
      <c r="B256" s="2121"/>
      <c r="C256" s="710" t="s">
        <v>1333</v>
      </c>
      <c r="D256" s="2803"/>
      <c r="E256" s="2545"/>
      <c r="F256" s="2724"/>
      <c r="G256" s="741"/>
      <c r="H256" s="1841"/>
      <c r="I256" s="992"/>
      <c r="J256" s="912"/>
      <c r="K256" s="1841"/>
      <c r="L256" s="555"/>
      <c r="M256" s="682"/>
      <c r="N256" s="675"/>
      <c r="O256" s="1965"/>
      <c r="P256" s="1965"/>
      <c r="AH256" s="1972">
        <v>0</v>
      </c>
    </row>
    <row s="17239" customFormat="1" customHeight="1" ht="18.75" hidden="1">
      <c r="A257" s="2121" t="s">
        <v>255</v>
      </c>
      <c r="B257" s="2121" t="s">
        <v>256</v>
      </c>
      <c r="C257" s="710"/>
      <c r="D257" s="2803"/>
      <c r="E257" s="2545"/>
      <c r="F257" s="272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68" t="str">
        <f>INDEX(PT_DIFFERENTIATION_NTAR,MATCH(B257,PT_DIFFERENTIATION_NTAR_ID,0))</f>
        <v/>
      </c>
      <c r="H257" s="2203"/>
      <c r="I257" s="2080"/>
      <c r="J257" s="2114"/>
      <c r="K257" s="2119"/>
      <c r="L257" s="2203" t="s">
        <v>301</v>
      </c>
      <c r="M257" s="682"/>
      <c r="N257" s="675"/>
      <c r="O257" s="1965"/>
      <c r="P257" s="1965"/>
      <c r="AH257" s="1972">
        <v>0</v>
      </c>
    </row>
    <row s="17239" customFormat="1" customHeight="1" ht="18.75" hidden="1">
      <c r="A258" s="2121"/>
      <c r="B258" s="2121"/>
      <c r="C258" s="710" t="s">
        <v>1326</v>
      </c>
      <c r="D258" s="2803"/>
      <c r="E258" s="2545"/>
      <c r="F258" s="2724"/>
      <c r="G258" s="2768"/>
      <c r="H258" s="1841"/>
      <c r="I258" s="992" t="s">
        <v>1325</v>
      </c>
      <c r="J258" s="912"/>
      <c r="K258" s="1841"/>
      <c r="L258" s="555"/>
      <c r="M258" s="682"/>
      <c r="N258" s="675"/>
      <c r="O258" s="1965"/>
      <c r="P258" s="1965"/>
      <c r="AH258" s="1972">
        <v>0</v>
      </c>
    </row>
    <row s="17239" customFormat="1" customHeight="1" ht="0.75" hidden="1">
      <c r="A259" s="2121"/>
      <c r="B259" s="2121"/>
      <c r="C259" s="710" t="s">
        <v>1333</v>
      </c>
      <c r="D259" s="2803"/>
      <c r="E259" s="2545"/>
      <c r="F259" s="2724"/>
      <c r="G259" s="741"/>
      <c r="H259" s="1841"/>
      <c r="I259" s="992"/>
      <c r="J259" s="912"/>
      <c r="K259" s="1841"/>
      <c r="L259" s="555"/>
      <c r="M259" s="682"/>
      <c r="N259" s="675"/>
      <c r="O259" s="1965"/>
      <c r="P259" s="1965"/>
      <c r="AH259" s="1972">
        <v>0</v>
      </c>
    </row>
    <row s="17239" customFormat="1" customHeight="1" ht="18.75" hidden="1">
      <c r="A260" s="2121" t="s">
        <v>260</v>
      </c>
      <c r="B260" s="2121" t="s">
        <v>261</v>
      </c>
      <c r="C260" s="710"/>
      <c r="D260" s="2803"/>
      <c r="E260" s="2545"/>
      <c r="F260" s="2724" t="str">
        <f>INDEX(PT_DIFFERENTIATION_VTAR,MATCH(A260,PT_DIFFERENTIATION_VTAR_ID,0))</f>
        <v>Тариф на водоотведение</v>
      </c>
      <c r="G260" s="2768" t="str">
        <f>INDEX(PT_DIFFERENTIATION_NTAR,MATCH(B260,PT_DIFFERENTIATION_NTAR_ID,0))</f>
        <v/>
      </c>
      <c r="H260" s="2203"/>
      <c r="I260" s="2080"/>
      <c r="J260" s="2114"/>
      <c r="K260" s="2119"/>
      <c r="L260" s="2203" t="s">
        <v>301</v>
      </c>
      <c r="M260" s="682"/>
      <c r="N260" s="675"/>
      <c r="O260" s="1965"/>
      <c r="P260" s="1965"/>
      <c r="AH260" s="1972">
        <v>0</v>
      </c>
    </row>
    <row s="17239" customFormat="1" customHeight="1" ht="18.75" hidden="1">
      <c r="A261" s="2121"/>
      <c r="B261" s="2121"/>
      <c r="C261" s="710" t="s">
        <v>1326</v>
      </c>
      <c r="D261" s="2803"/>
      <c r="E261" s="2545"/>
      <c r="F261" s="2724"/>
      <c r="G261" s="2768"/>
      <c r="H261" s="1841"/>
      <c r="I261" s="992" t="s">
        <v>1325</v>
      </c>
      <c r="J261" s="912"/>
      <c r="K261" s="1841"/>
      <c r="L261" s="555"/>
      <c r="M261" s="682"/>
      <c r="N261" s="675"/>
      <c r="O261" s="1965"/>
      <c r="P261" s="1965"/>
      <c r="AH261" s="1972">
        <v>0</v>
      </c>
    </row>
    <row s="17239" customFormat="1" customHeight="1" ht="0.75" hidden="1">
      <c r="A262" s="2121"/>
      <c r="B262" s="2121"/>
      <c r="C262" s="710" t="s">
        <v>1333</v>
      </c>
      <c r="D262" s="2803"/>
      <c r="E262" s="2545"/>
      <c r="F262" s="2724"/>
      <c r="G262" s="741"/>
      <c r="H262" s="1841"/>
      <c r="I262" s="992"/>
      <c r="J262" s="912"/>
      <c r="K262" s="1841"/>
      <c r="L262" s="555"/>
      <c r="M262" s="682"/>
      <c r="N262" s="675"/>
      <c r="O262" s="1965"/>
      <c r="P262" s="1965"/>
      <c r="AH262" s="1972">
        <v>0</v>
      </c>
    </row>
    <row s="17239" customFormat="1" customHeight="1" ht="18.75" hidden="1">
      <c r="A263" s="2121" t="s">
        <v>265</v>
      </c>
      <c r="B263" s="2121" t="s">
        <v>266</v>
      </c>
      <c r="C263" s="710"/>
      <c r="D263" s="2803"/>
      <c r="E263" s="2545"/>
      <c r="F263" s="2724" t="str">
        <f>INDEX(PT_DIFFERENTIATION_VTAR,MATCH(A263,PT_DIFFERENTIATION_VTAR_ID,0))</f>
        <v>Тариф на транспортировку сточных вод</v>
      </c>
      <c r="G263" s="2768" t="str">
        <f>INDEX(PT_DIFFERENTIATION_NTAR,MATCH(B263,PT_DIFFERENTIATION_NTAR_ID,0))</f>
        <v/>
      </c>
      <c r="H263" s="2203"/>
      <c r="I263" s="2080"/>
      <c r="J263" s="2114"/>
      <c r="K263" s="2119"/>
      <c r="L263" s="2203" t="s">
        <v>301</v>
      </c>
      <c r="M263" s="682"/>
      <c r="N263" s="675"/>
      <c r="O263" s="1965"/>
      <c r="P263" s="1965"/>
      <c r="AH263" s="1972">
        <v>0</v>
      </c>
    </row>
    <row s="17239" customFormat="1" customHeight="1" ht="18.75" hidden="1">
      <c r="A264" s="2121"/>
      <c r="B264" s="2121"/>
      <c r="C264" s="710" t="s">
        <v>1326</v>
      </c>
      <c r="D264" s="2803"/>
      <c r="E264" s="2545"/>
      <c r="F264" s="2724"/>
      <c r="G264" s="2768"/>
      <c r="H264" s="1841"/>
      <c r="I264" s="992" t="s">
        <v>1325</v>
      </c>
      <c r="J264" s="912"/>
      <c r="K264" s="1841"/>
      <c r="L264" s="555"/>
      <c r="M264" s="682"/>
      <c r="N264" s="675"/>
      <c r="O264" s="1965"/>
      <c r="P264" s="1965"/>
      <c r="AH264" s="1972">
        <v>0</v>
      </c>
    </row>
    <row s="17239" customFormat="1" customHeight="1" ht="0.75" hidden="1">
      <c r="A265" s="2121"/>
      <c r="B265" s="2121"/>
      <c r="C265" s="710" t="s">
        <v>1333</v>
      </c>
      <c r="D265" s="2803"/>
      <c r="E265" s="2545"/>
      <c r="F265" s="2724"/>
      <c r="G265" s="741"/>
      <c r="H265" s="1841"/>
      <c r="I265" s="992"/>
      <c r="J265" s="912"/>
      <c r="K265" s="1841"/>
      <c r="L265" s="555"/>
      <c r="M265" s="682"/>
      <c r="N265" s="675"/>
      <c r="O265" s="1965"/>
      <c r="P265" s="1965"/>
      <c r="AH265" s="1972">
        <v>0</v>
      </c>
    </row>
    <row s="17239" customFormat="1" customHeight="1" ht="18.75" hidden="1">
      <c r="A266" s="2121" t="s">
        <v>270</v>
      </c>
      <c r="B266" s="2121" t="s">
        <v>271</v>
      </c>
      <c r="C266" s="710"/>
      <c r="D266" s="2803"/>
      <c r="E266" s="2545"/>
      <c r="F266" s="2724" t="str">
        <f>INDEX(PT_DIFFERENTIATION_VTAR,MATCH(A266,PT_DIFFERENTIATION_VTAR_ID,0))</f>
        <v>Тариф на подключение (технологическое присоединение) к централизованной системе водоотведения</v>
      </c>
      <c r="G266" s="2768" t="str">
        <f>INDEX(PT_DIFFERENTIATION_NTAR,MATCH(B266,PT_DIFFERENTIATION_NTAR_ID,0))</f>
        <v/>
      </c>
      <c r="H266" s="2203"/>
      <c r="I266" s="2080"/>
      <c r="J266" s="2114"/>
      <c r="K266" s="2119"/>
      <c r="L266" s="2203" t="s">
        <v>301</v>
      </c>
      <c r="M266" s="682"/>
      <c r="N266" s="675"/>
      <c r="O266" s="1965"/>
      <c r="P266" s="1965"/>
      <c r="AH266" s="1972">
        <v>0</v>
      </c>
    </row>
    <row s="17239" customFormat="1" customHeight="1" ht="18.75" hidden="1">
      <c r="A267" s="2121"/>
      <c r="B267" s="2121"/>
      <c r="C267" s="710" t="s">
        <v>1326</v>
      </c>
      <c r="D267" s="2803"/>
      <c r="E267" s="2545"/>
      <c r="F267" s="2724"/>
      <c r="G267" s="2768"/>
      <c r="H267" s="1841"/>
      <c r="I267" s="992" t="s">
        <v>1325</v>
      </c>
      <c r="J267" s="912"/>
      <c r="K267" s="1841"/>
      <c r="L267" s="555"/>
      <c r="M267" s="682"/>
      <c r="N267" s="675"/>
      <c r="O267" s="1965"/>
      <c r="P267" s="1965"/>
      <c r="AH267" s="1972">
        <v>0</v>
      </c>
    </row>
    <row s="17239" customFormat="1" customHeight="1" ht="1.05">
      <c r="A268" s="2121"/>
      <c r="B268" s="2121"/>
      <c r="C268" s="710" t="s">
        <v>1333</v>
      </c>
      <c r="D268" s="2803"/>
      <c r="E268" s="2545"/>
      <c r="F268" s="2724"/>
      <c r="G268" s="741"/>
      <c r="H268" s="1841"/>
      <c r="I268" s="992"/>
      <c r="J268" s="912"/>
      <c r="K268" s="1841"/>
      <c r="L268" s="555"/>
      <c r="M268" s="682"/>
      <c r="N268" s="675"/>
      <c r="O268" s="1965"/>
      <c r="P268" s="1965"/>
      <c r="AH268" s="1972">
        <v>1</v>
      </c>
    </row>
    <row customHeight="1" ht="27.299999999999997">
      <c r="A269" s="2121"/>
      <c r="B269" s="2121"/>
      <c r="D269" s="717"/>
      <c r="E269" s="488" t="s">
        <v>92</v>
      </c>
      <c r="F269" s="280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01"/>
      <c r="H269" s="2801"/>
      <c r="I269" s="2801"/>
      <c r="J269" s="2801"/>
      <c r="K269" s="2801"/>
      <c r="L269" s="2801"/>
      <c r="M269" s="638"/>
      <c r="N269" s="675"/>
      <c r="AH269" s="715">
        <v>26</v>
      </c>
    </row>
    <row s="17239" customFormat="1" customHeight="1" ht="60.75" hidden="1">
      <c r="A270" s="2121" t="s">
        <v>152</v>
      </c>
      <c r="B270" s="2121" t="s">
        <v>153</v>
      </c>
      <c r="C270" s="710"/>
      <c r="D270" s="2803"/>
      <c r="E270" s="2545"/>
      <c r="F270" s="272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68" t="str">
        <f>INDEX(PT_DIFFERENTIATION_NTAR,MATCH(B270,PT_DIFFERENTIATION_NTAR_ID,0))</f>
        <v/>
      </c>
      <c r="H270" s="2203"/>
      <c r="I270" s="2080"/>
      <c r="J270" s="2114"/>
      <c r="K270" s="2119"/>
      <c r="L270" s="2203" t="s">
        <v>301</v>
      </c>
      <c r="M270"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675"/>
      <c r="O270" s="1965"/>
      <c r="P270" s="1965"/>
      <c r="AH270" s="1972">
        <v>0</v>
      </c>
    </row>
    <row s="17239" customFormat="1" customHeight="1" ht="18.75" hidden="1">
      <c r="A271" s="2121"/>
      <c r="B271" s="2121"/>
      <c r="C271" s="710" t="s">
        <v>1326</v>
      </c>
      <c r="D271" s="2803"/>
      <c r="E271" s="2545"/>
      <c r="F271" s="2724"/>
      <c r="G271" s="2768"/>
      <c r="H271" s="1841"/>
      <c r="I271" s="992" t="s">
        <v>1325</v>
      </c>
      <c r="J271" s="912"/>
      <c r="K271" s="1841"/>
      <c r="L271" s="555"/>
      <c r="M271" s="2511"/>
      <c r="N271" s="675"/>
      <c r="O271" s="1965"/>
      <c r="P271" s="1965"/>
      <c r="AH271" s="1972">
        <v>0</v>
      </c>
    </row>
    <row s="17239" customFormat="1" customHeight="1" ht="0.75" hidden="1">
      <c r="A272" s="2121"/>
      <c r="B272" s="2121"/>
      <c r="C272" s="710" t="s">
        <v>1333</v>
      </c>
      <c r="D272" s="2803"/>
      <c r="E272" s="2545"/>
      <c r="F272" s="2724"/>
      <c r="G272" s="741"/>
      <c r="H272" s="1841"/>
      <c r="I272" s="992"/>
      <c r="J272" s="912"/>
      <c r="K272" s="1841"/>
      <c r="L272" s="555"/>
      <c r="M272" s="2511"/>
      <c r="N272" s="675"/>
      <c r="O272" s="1965"/>
      <c r="P272" s="1965"/>
      <c r="AH272" s="1972">
        <v>0</v>
      </c>
    </row>
    <row s="17239" customFormat="1" customHeight="1" ht="45" hidden="1">
      <c r="A273" s="2121" t="s">
        <v>157</v>
      </c>
      <c r="B273" s="2121" t="s">
        <v>158</v>
      </c>
      <c r="C273" s="710"/>
      <c r="D273" s="2803"/>
      <c r="E273" s="2545"/>
      <c r="F273" s="2724" t="str">
        <f>INDEX(PT_DIFFERENTIATION_VTAR,MATCH(A273,PT_DIFFERENTIATION_VTAR_ID,0))</f>
        <v/>
      </c>
      <c r="G273" s="2768" t="str">
        <f>INDEX(PT_DIFFERENTIATION_NTAR,MATCH(B273,PT_DIFFERENTIATION_NTAR_ID,0))</f>
        <v/>
      </c>
      <c r="H273" s="2203"/>
      <c r="I273" s="2080"/>
      <c r="J273" s="2114"/>
      <c r="K273" s="2119"/>
      <c r="L273" s="2203" t="s">
        <v>301</v>
      </c>
      <c r="M273" s="2512"/>
      <c r="N273" s="675"/>
      <c r="O273" s="1965"/>
      <c r="P273" s="1965"/>
      <c r="AH273" s="1972">
        <v>0</v>
      </c>
    </row>
    <row s="17239" customFormat="1" customHeight="1" ht="18.75" hidden="1">
      <c r="A274" s="2121"/>
      <c r="B274" s="2121"/>
      <c r="C274" s="710" t="s">
        <v>1326</v>
      </c>
      <c r="D274" s="2803"/>
      <c r="E274" s="2545"/>
      <c r="F274" s="2724"/>
      <c r="G274" s="2768"/>
      <c r="H274" s="1841"/>
      <c r="I274" s="992" t="s">
        <v>1325</v>
      </c>
      <c r="J274" s="912"/>
      <c r="K274" s="1841"/>
      <c r="L274" s="555"/>
      <c r="M274" s="2202"/>
      <c r="N274" s="675"/>
      <c r="O274" s="1965"/>
      <c r="P274" s="1965"/>
      <c r="AH274" s="1972">
        <v>0</v>
      </c>
    </row>
    <row s="17239" customFormat="1" customHeight="1" ht="0.75" hidden="1">
      <c r="A275" s="2121"/>
      <c r="B275" s="2121"/>
      <c r="C275" s="710" t="s">
        <v>1333</v>
      </c>
      <c r="D275" s="2803"/>
      <c r="E275" s="2545"/>
      <c r="F275" s="2724"/>
      <c r="G275" s="741"/>
      <c r="H275" s="1841"/>
      <c r="I275" s="992"/>
      <c r="J275" s="912"/>
      <c r="K275" s="1841"/>
      <c r="L275" s="555"/>
      <c r="M275" s="682"/>
      <c r="N275" s="675"/>
      <c r="O275" s="1965"/>
      <c r="P275" s="1965"/>
      <c r="AH275" s="1972">
        <v>0</v>
      </c>
    </row>
    <row s="17239" customFormat="1" customHeight="1" ht="45" hidden="1">
      <c r="A276" s="2121" t="s">
        <v>164</v>
      </c>
      <c r="B276" s="2121" t="s">
        <v>165</v>
      </c>
      <c r="C276" s="710"/>
      <c r="D276" s="2803"/>
      <c r="E276" s="2545"/>
      <c r="F276" s="272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68" t="str">
        <f>INDEX(PT_DIFFERENTIATION_NTAR,MATCH(B276,PT_DIFFERENTIATION_NTAR_ID,0))</f>
        <v/>
      </c>
      <c r="H276" s="2203"/>
      <c r="I276" s="2080"/>
      <c r="J276" s="2114"/>
      <c r="K276" s="2119"/>
      <c r="L276" s="2203" t="s">
        <v>301</v>
      </c>
      <c r="M276" s="682"/>
      <c r="N276" s="675"/>
      <c r="O276" s="1965"/>
      <c r="P276" s="1965"/>
      <c r="AH276" s="1972">
        <v>0</v>
      </c>
    </row>
    <row s="17239" customFormat="1" customHeight="1" ht="18.75" hidden="1">
      <c r="A277" s="2121"/>
      <c r="B277" s="2121"/>
      <c r="C277" s="710" t="s">
        <v>1326</v>
      </c>
      <c r="D277" s="2803"/>
      <c r="E277" s="2545"/>
      <c r="F277" s="2724"/>
      <c r="G277" s="2768"/>
      <c r="H277" s="1841"/>
      <c r="I277" s="992" t="s">
        <v>1325</v>
      </c>
      <c r="J277" s="912"/>
      <c r="K277" s="1841"/>
      <c r="L277" s="555"/>
      <c r="M277" s="682"/>
      <c r="N277" s="675"/>
      <c r="O277" s="1965"/>
      <c r="P277" s="1965"/>
      <c r="AH277" s="1972">
        <v>0</v>
      </c>
    </row>
    <row s="17239" customFormat="1" customHeight="1" ht="0.75" hidden="1">
      <c r="A278" s="2121"/>
      <c r="B278" s="2121"/>
      <c r="C278" s="710" t="s">
        <v>1333</v>
      </c>
      <c r="D278" s="2803"/>
      <c r="E278" s="2545"/>
      <c r="F278" s="2724"/>
      <c r="G278" s="741"/>
      <c r="H278" s="1841"/>
      <c r="I278" s="992"/>
      <c r="J278" s="912"/>
      <c r="K278" s="1841"/>
      <c r="L278" s="555"/>
      <c r="M278" s="682"/>
      <c r="N278" s="675"/>
      <c r="O278" s="1965"/>
      <c r="P278" s="1965"/>
      <c r="AH278" s="1972">
        <v>0</v>
      </c>
    </row>
    <row s="17239" customFormat="1" customHeight="1" ht="45" hidden="1">
      <c r="A279" s="2121" t="s">
        <v>170</v>
      </c>
      <c r="B279" s="2121" t="s">
        <v>171</v>
      </c>
      <c r="C279" s="710"/>
      <c r="D279" s="2803"/>
      <c r="E279" s="2545"/>
      <c r="F279" s="272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68" t="str">
        <f>INDEX(PT_DIFFERENTIATION_NTAR,MATCH(B279,PT_DIFFERENTIATION_NTAR_ID,0))</f>
        <v/>
      </c>
      <c r="H279" s="2203"/>
      <c r="I279" s="2080"/>
      <c r="J279" s="2114"/>
      <c r="K279" s="2119"/>
      <c r="L279" s="2203" t="s">
        <v>301</v>
      </c>
      <c r="M279" s="682"/>
      <c r="N279" s="675"/>
      <c r="O279" s="1965"/>
      <c r="P279" s="1965"/>
      <c r="AH279" s="1972">
        <v>0</v>
      </c>
    </row>
    <row s="17239" customFormat="1" customHeight="1" ht="18.75" hidden="1">
      <c r="A280" s="2121"/>
      <c r="B280" s="2121"/>
      <c r="C280" s="710" t="s">
        <v>1326</v>
      </c>
      <c r="D280" s="2803"/>
      <c r="E280" s="2545"/>
      <c r="F280" s="2724"/>
      <c r="G280" s="2768"/>
      <c r="H280" s="1841"/>
      <c r="I280" s="992" t="s">
        <v>1325</v>
      </c>
      <c r="J280" s="912"/>
      <c r="K280" s="1841"/>
      <c r="L280" s="555"/>
      <c r="M280" s="682"/>
      <c r="N280" s="675"/>
      <c r="O280" s="1965"/>
      <c r="P280" s="1965"/>
      <c r="AH280" s="1972">
        <v>0</v>
      </c>
    </row>
    <row s="17239" customFormat="1" customHeight="1" ht="0.75" hidden="1">
      <c r="A281" s="2121"/>
      <c r="B281" s="2121"/>
      <c r="C281" s="710" t="s">
        <v>1333</v>
      </c>
      <c r="D281" s="2803"/>
      <c r="E281" s="2545"/>
      <c r="F281" s="2724"/>
      <c r="G281" s="741"/>
      <c r="H281" s="1841"/>
      <c r="I281" s="992"/>
      <c r="J281" s="912"/>
      <c r="K281" s="1841"/>
      <c r="L281" s="555"/>
      <c r="M281" s="682"/>
      <c r="N281" s="675"/>
      <c r="O281" s="1965"/>
      <c r="P281" s="1965"/>
      <c r="AH281" s="1972">
        <v>0</v>
      </c>
    </row>
    <row s="17239" customFormat="1" customHeight="1" ht="18.75" hidden="1">
      <c r="A282" s="2121" t="s">
        <v>176</v>
      </c>
      <c r="B282" s="2121" t="s">
        <v>177</v>
      </c>
      <c r="C282" s="710"/>
      <c r="D282" s="2803"/>
      <c r="E282" s="2545"/>
      <c r="F282" s="2724" t="str">
        <f>INDEX(PT_DIFFERENTIATION_VTAR,MATCH(A282,PT_DIFFERENTIATION_VTAR_ID,0))</f>
        <v>Тарифы на услуги по передаче тепловой энергии</v>
      </c>
      <c r="G282" s="2768" t="str">
        <f>INDEX(PT_DIFFERENTIATION_NTAR,MATCH(B282,PT_DIFFERENTIATION_NTAR_ID,0))</f>
        <v/>
      </c>
      <c r="H282" s="2203"/>
      <c r="I282" s="2080"/>
      <c r="J282" s="2114"/>
      <c r="K282" s="2119"/>
      <c r="L282" s="2203" t="s">
        <v>301</v>
      </c>
      <c r="M282" s="682"/>
      <c r="N282" s="675"/>
      <c r="O282" s="1965"/>
      <c r="P282" s="1965"/>
      <c r="AH282" s="1972">
        <v>0</v>
      </c>
    </row>
    <row s="17239" customFormat="1" customHeight="1" ht="18.75" hidden="1">
      <c r="A283" s="2121"/>
      <c r="B283" s="2121"/>
      <c r="C283" s="710" t="s">
        <v>1326</v>
      </c>
      <c r="D283" s="2803"/>
      <c r="E283" s="2545"/>
      <c r="F283" s="2724"/>
      <c r="G283" s="2768"/>
      <c r="H283" s="1841"/>
      <c r="I283" s="992" t="s">
        <v>1325</v>
      </c>
      <c r="J283" s="912"/>
      <c r="K283" s="1841"/>
      <c r="L283" s="555"/>
      <c r="M283" s="682"/>
      <c r="N283" s="675"/>
      <c r="O283" s="1965"/>
      <c r="P283" s="1965"/>
      <c r="AH283" s="1972">
        <v>0</v>
      </c>
    </row>
    <row s="17239" customFormat="1" customHeight="1" ht="0.75" hidden="1">
      <c r="A284" s="2121"/>
      <c r="B284" s="2121"/>
      <c r="C284" s="710" t="s">
        <v>1333</v>
      </c>
      <c r="D284" s="2803"/>
      <c r="E284" s="2545"/>
      <c r="F284" s="2724"/>
      <c r="G284" s="741"/>
      <c r="H284" s="1841"/>
      <c r="I284" s="992"/>
      <c r="J284" s="912"/>
      <c r="K284" s="1841"/>
      <c r="L284" s="555"/>
      <c r="M284" s="682"/>
      <c r="N284" s="675"/>
      <c r="O284" s="1965"/>
      <c r="P284" s="1965"/>
      <c r="AH284" s="1972">
        <v>0</v>
      </c>
    </row>
    <row s="17239" customFormat="1" customHeight="1" ht="18.75" hidden="1">
      <c r="A285" s="2121" t="s">
        <v>182</v>
      </c>
      <c r="B285" s="2121" t="s">
        <v>183</v>
      </c>
      <c r="C285" s="710"/>
      <c r="D285" s="2803"/>
      <c r="E285" s="2545"/>
      <c r="F285" s="2724" t="str">
        <f>INDEX(PT_DIFFERENTIATION_VTAR,MATCH(A285,PT_DIFFERENTIATION_VTAR_ID,0))</f>
        <v>Тарифы на услуги по передаче теплоносителя</v>
      </c>
      <c r="G285" s="2768" t="str">
        <f>INDEX(PT_DIFFERENTIATION_NTAR,MATCH(B285,PT_DIFFERENTIATION_NTAR_ID,0))</f>
        <v/>
      </c>
      <c r="H285" s="2203"/>
      <c r="I285" s="2080"/>
      <c r="J285" s="2114"/>
      <c r="K285" s="2119"/>
      <c r="L285" s="2203" t="s">
        <v>301</v>
      </c>
      <c r="M285" s="682"/>
      <c r="N285" s="675"/>
      <c r="O285" s="1965"/>
      <c r="P285" s="1965"/>
      <c r="AH285" s="1972">
        <v>0</v>
      </c>
    </row>
    <row s="17239" customFormat="1" customHeight="1" ht="18.75" hidden="1">
      <c r="A286" s="2121"/>
      <c r="B286" s="2121"/>
      <c r="C286" s="710" t="s">
        <v>1326</v>
      </c>
      <c r="D286" s="2803"/>
      <c r="E286" s="2545"/>
      <c r="F286" s="2724"/>
      <c r="G286" s="2768"/>
      <c r="H286" s="1841"/>
      <c r="I286" s="992" t="s">
        <v>1325</v>
      </c>
      <c r="J286" s="912"/>
      <c r="K286" s="1841"/>
      <c r="L286" s="555"/>
      <c r="M286" s="682"/>
      <c r="N286" s="675"/>
      <c r="O286" s="1965"/>
      <c r="P286" s="1965"/>
      <c r="AH286" s="1972">
        <v>0</v>
      </c>
    </row>
    <row s="17239" customFormat="1" customHeight="1" ht="0.75" hidden="1">
      <c r="A287" s="2121"/>
      <c r="B287" s="2121"/>
      <c r="C287" s="710" t="s">
        <v>1333</v>
      </c>
      <c r="D287" s="2803"/>
      <c r="E287" s="2545"/>
      <c r="F287" s="2724"/>
      <c r="G287" s="741"/>
      <c r="H287" s="1841"/>
      <c r="I287" s="992"/>
      <c r="J287" s="912"/>
      <c r="K287" s="1841"/>
      <c r="L287" s="555"/>
      <c r="M287" s="682"/>
      <c r="N287" s="675"/>
      <c r="O287" s="1965"/>
      <c r="P287" s="1965"/>
      <c r="AH287" s="1972">
        <v>0</v>
      </c>
    </row>
    <row s="17239" customFormat="1" customHeight="1" ht="18.75" hidden="1">
      <c r="A288" s="2121" t="s">
        <v>188</v>
      </c>
      <c r="B288" s="2121" t="s">
        <v>189</v>
      </c>
      <c r="C288" s="710"/>
      <c r="D288" s="2803"/>
      <c r="E288" s="2545"/>
      <c r="F288" s="272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68" t="str">
        <f>INDEX(PT_DIFFERENTIATION_NTAR,MATCH(B288,PT_DIFFERENTIATION_NTAR_ID,0))</f>
        <v/>
      </c>
      <c r="H288" s="2203"/>
      <c r="I288" s="2080"/>
      <c r="J288" s="2114"/>
      <c r="K288" s="2119"/>
      <c r="L288" s="2203" t="s">
        <v>301</v>
      </c>
      <c r="M288" s="682"/>
      <c r="N288" s="675"/>
      <c r="O288" s="1965"/>
      <c r="P288" s="1965"/>
      <c r="AH288" s="1972">
        <v>0</v>
      </c>
    </row>
    <row s="17239" customFormat="1" customHeight="1" ht="18.75" hidden="1">
      <c r="A289" s="2121"/>
      <c r="B289" s="2121"/>
      <c r="C289" s="710" t="s">
        <v>1326</v>
      </c>
      <c r="D289" s="2803"/>
      <c r="E289" s="2545"/>
      <c r="F289" s="2724"/>
      <c r="G289" s="2768"/>
      <c r="H289" s="1841"/>
      <c r="I289" s="992" t="s">
        <v>1325</v>
      </c>
      <c r="J289" s="912"/>
      <c r="K289" s="1841"/>
      <c r="L289" s="555"/>
      <c r="M289" s="682"/>
      <c r="N289" s="675"/>
      <c r="O289" s="1965"/>
      <c r="P289" s="1965"/>
      <c r="AH289" s="1972">
        <v>0</v>
      </c>
    </row>
    <row s="17239" customFormat="1" customHeight="1" ht="0.75" hidden="1">
      <c r="A290" s="2121"/>
      <c r="B290" s="2121"/>
      <c r="C290" s="710" t="s">
        <v>1333</v>
      </c>
      <c r="D290" s="2803"/>
      <c r="E290" s="2545"/>
      <c r="F290" s="2724"/>
      <c r="G290" s="741"/>
      <c r="H290" s="1841"/>
      <c r="I290" s="992"/>
      <c r="J290" s="912"/>
      <c r="K290" s="1841"/>
      <c r="L290" s="555"/>
      <c r="M290" s="682"/>
      <c r="N290" s="675"/>
      <c r="O290" s="1965"/>
      <c r="P290" s="1965"/>
      <c r="AH290" s="1972">
        <v>0</v>
      </c>
    </row>
    <row s="17239" customFormat="1" customHeight="1" ht="18.75" hidden="1">
      <c r="A291" s="2121" t="s">
        <v>194</v>
      </c>
      <c r="B291" s="2121" t="s">
        <v>195</v>
      </c>
      <c r="C291" s="710"/>
      <c r="D291" s="2803"/>
      <c r="E291" s="2545"/>
      <c r="F291" s="2724" t="str">
        <f>INDEX(PT_DIFFERENTIATION_VTAR,MATCH(A291,PT_DIFFERENTIATION_VTAR_ID,0))</f>
        <v>Плата за подключение (технологическое присоединение) к системе теплоснабжения</v>
      </c>
      <c r="G291" s="2768" t="str">
        <f>INDEX(PT_DIFFERENTIATION_NTAR,MATCH(B291,PT_DIFFERENTIATION_NTAR_ID,0))</f>
        <v/>
      </c>
      <c r="H291" s="2203"/>
      <c r="I291" s="2080"/>
      <c r="J291" s="2114"/>
      <c r="K291" s="2119"/>
      <c r="L291" s="2203" t="s">
        <v>301</v>
      </c>
      <c r="M291" s="682"/>
      <c r="N291" s="675"/>
      <c r="O291" s="1965"/>
      <c r="P291" s="1965"/>
      <c r="AH291" s="1972">
        <v>0</v>
      </c>
    </row>
    <row s="17239" customFormat="1" customHeight="1" ht="18.75" hidden="1">
      <c r="A292" s="2121"/>
      <c r="B292" s="2121"/>
      <c r="C292" s="710" t="s">
        <v>1326</v>
      </c>
      <c r="D292" s="2803"/>
      <c r="E292" s="2545"/>
      <c r="F292" s="2724"/>
      <c r="G292" s="2768"/>
      <c r="H292" s="1841"/>
      <c r="I292" s="992" t="s">
        <v>1325</v>
      </c>
      <c r="J292" s="912"/>
      <c r="K292" s="1841"/>
      <c r="L292" s="555"/>
      <c r="M292" s="682"/>
      <c r="N292" s="675"/>
      <c r="O292" s="1965"/>
      <c r="P292" s="1965"/>
      <c r="AH292" s="1972">
        <v>0</v>
      </c>
    </row>
    <row s="17239" customFormat="1" customHeight="1" ht="0.75" hidden="1">
      <c r="A293" s="2121"/>
      <c r="B293" s="2121"/>
      <c r="C293" s="710" t="s">
        <v>1333</v>
      </c>
      <c r="D293" s="2803"/>
      <c r="E293" s="2545"/>
      <c r="F293" s="2724"/>
      <c r="G293" s="741"/>
      <c r="H293" s="1841"/>
      <c r="I293" s="992"/>
      <c r="J293" s="912"/>
      <c r="K293" s="1841"/>
      <c r="L293" s="555"/>
      <c r="M293" s="682"/>
      <c r="N293" s="675"/>
      <c r="O293" s="1965"/>
      <c r="P293" s="1965"/>
      <c r="AH293" s="1972">
        <v>0</v>
      </c>
    </row>
    <row s="17239" customFormat="1" customHeight="1" ht="18.75" hidden="1">
      <c r="A294" s="2121" t="s">
        <v>200</v>
      </c>
      <c r="B294" s="2121" t="s">
        <v>201</v>
      </c>
      <c r="C294" s="710"/>
      <c r="D294" s="2803"/>
      <c r="E294" s="2545"/>
      <c r="F294" s="2724" t="str">
        <f>INDEX(PT_DIFFERENTIATION_VTAR,MATCH(A294,PT_DIFFERENTIATION_VTAR_ID,0))</f>
        <v>Плата за подключение (технологическое присоединение) к системе теплоснабжения (индивидуальная)</v>
      </c>
      <c r="G294" s="2768" t="str">
        <f>INDEX(PT_DIFFERENTIATION_NTAR,MATCH(B294,PT_DIFFERENTIATION_NTAR_ID,0))</f>
        <v/>
      </c>
      <c r="H294" s="2330"/>
      <c r="I294" s="2080"/>
      <c r="J294" s="2114"/>
      <c r="K294" s="2119"/>
      <c r="L294" s="2330" t="s">
        <v>301</v>
      </c>
      <c r="M294" s="682"/>
      <c r="N294" s="675"/>
      <c r="O294" s="1965"/>
      <c r="P294" s="1965"/>
      <c r="AH294" s="1972">
        <v>0</v>
      </c>
    </row>
    <row s="17239" customFormat="1" customHeight="1" ht="18.75" hidden="1">
      <c r="A295" s="2121"/>
      <c r="B295" s="2121"/>
      <c r="C295" s="710" t="s">
        <v>1326</v>
      </c>
      <c r="D295" s="2803"/>
      <c r="E295" s="2545"/>
      <c r="F295" s="2724"/>
      <c r="G295" s="2768"/>
      <c r="H295" s="1841"/>
      <c r="I295" s="992" t="s">
        <v>1325</v>
      </c>
      <c r="J295" s="912"/>
      <c r="K295" s="1841"/>
      <c r="L295" s="555"/>
      <c r="M295" s="682"/>
      <c r="N295" s="675"/>
      <c r="O295" s="1965"/>
      <c r="P295" s="1965"/>
      <c r="AH295" s="1972">
        <v>0</v>
      </c>
    </row>
    <row s="17239" customFormat="1" customHeight="1" ht="0.75" hidden="1">
      <c r="A296" s="2121"/>
      <c r="B296" s="2121"/>
      <c r="C296" s="710" t="s">
        <v>1333</v>
      </c>
      <c r="D296" s="2803"/>
      <c r="E296" s="2545"/>
      <c r="F296" s="2724"/>
      <c r="G296" s="741"/>
      <c r="H296" s="1841"/>
      <c r="I296" s="992"/>
      <c r="J296" s="912"/>
      <c r="K296" s="1841"/>
      <c r="L296" s="555"/>
      <c r="M296" s="682"/>
      <c r="N296" s="675"/>
      <c r="O296" s="1965"/>
      <c r="P296" s="1965"/>
      <c r="AH296" s="1972">
        <v>0</v>
      </c>
    </row>
    <row s="17239" customFormat="1" customHeight="1" ht="18.75" hidden="1">
      <c r="A297" s="2121" t="s">
        <v>220</v>
      </c>
      <c r="B297" s="2121" t="s">
        <v>221</v>
      </c>
      <c r="C297" s="710"/>
      <c r="D297" s="2803"/>
      <c r="E297" s="2545"/>
      <c r="F297" s="2724" t="str">
        <f>INDEX(PT_DIFFERENTIATION_VTAR,MATCH(A297,PT_DIFFERENTIATION_VTAR_ID,0))</f>
        <v>Тариф на питьевую воду (питьевое водоснабжение)</v>
      </c>
      <c r="G297" s="2768" t="str">
        <f>INDEX(PT_DIFFERENTIATION_NTAR,MATCH(B297,PT_DIFFERENTIATION_NTAR_ID,0))</f>
        <v/>
      </c>
      <c r="H297" s="2203"/>
      <c r="I297" s="2080"/>
      <c r="J297" s="2114"/>
      <c r="K297" s="2119"/>
      <c r="L297" s="2203" t="s">
        <v>301</v>
      </c>
      <c r="M297" s="682"/>
      <c r="N297" s="675"/>
      <c r="O297" s="1965"/>
      <c r="P297" s="1965"/>
      <c r="AH297" s="1972">
        <v>0</v>
      </c>
    </row>
    <row s="17239" customFormat="1" customHeight="1" ht="18.75" hidden="1">
      <c r="A298" s="2121"/>
      <c r="B298" s="2121"/>
      <c r="C298" s="710" t="s">
        <v>1326</v>
      </c>
      <c r="D298" s="2803"/>
      <c r="E298" s="2545"/>
      <c r="F298" s="2724"/>
      <c r="G298" s="2768"/>
      <c r="H298" s="1841"/>
      <c r="I298" s="992" t="s">
        <v>1325</v>
      </c>
      <c r="J298" s="912"/>
      <c r="K298" s="1841"/>
      <c r="L298" s="555"/>
      <c r="M298" s="682"/>
      <c r="N298" s="675"/>
      <c r="O298" s="1965"/>
      <c r="P298" s="1965"/>
      <c r="AH298" s="1972">
        <v>0</v>
      </c>
    </row>
    <row s="17239" customFormat="1" customHeight="1" ht="0.75" hidden="1">
      <c r="A299" s="2121"/>
      <c r="B299" s="2121"/>
      <c r="C299" s="710" t="s">
        <v>1333</v>
      </c>
      <c r="D299" s="2803"/>
      <c r="E299" s="2545"/>
      <c r="F299" s="2724"/>
      <c r="G299" s="741"/>
      <c r="H299" s="1841"/>
      <c r="I299" s="992"/>
      <c r="J299" s="912"/>
      <c r="K299" s="1841"/>
      <c r="L299" s="555"/>
      <c r="M299" s="682"/>
      <c r="N299" s="675"/>
      <c r="O299" s="1965"/>
      <c r="P299" s="1965"/>
      <c r="AH299" s="1972">
        <v>0</v>
      </c>
    </row>
    <row s="17239" customFormat="1" customHeight="1" ht="18.75" hidden="1">
      <c r="A300" s="2121" t="s">
        <v>225</v>
      </c>
      <c r="B300" s="2121" t="s">
        <v>226</v>
      </c>
      <c r="C300" s="710"/>
      <c r="D300" s="2803"/>
      <c r="E300" s="2545"/>
      <c r="F300" s="2724" t="str">
        <f>INDEX(PT_DIFFERENTIATION_VTAR,MATCH(A300,PT_DIFFERENTIATION_VTAR_ID,0))</f>
        <v>Тариф на техническую воду</v>
      </c>
      <c r="G300" s="2768" t="str">
        <f>INDEX(PT_DIFFERENTIATION_NTAR,MATCH(B300,PT_DIFFERENTIATION_NTAR_ID,0))</f>
        <v/>
      </c>
      <c r="H300" s="2203"/>
      <c r="I300" s="2080"/>
      <c r="J300" s="2114"/>
      <c r="K300" s="2119"/>
      <c r="L300" s="2203" t="s">
        <v>301</v>
      </c>
      <c r="M300" s="682"/>
      <c r="N300" s="675"/>
      <c r="O300" s="1965"/>
      <c r="P300" s="1965"/>
      <c r="AH300" s="1972">
        <v>0</v>
      </c>
    </row>
    <row s="17239" customFormat="1" customHeight="1" ht="18.75" hidden="1">
      <c r="A301" s="2121"/>
      <c r="B301" s="2121"/>
      <c r="C301" s="710" t="s">
        <v>1326</v>
      </c>
      <c r="D301" s="2803"/>
      <c r="E301" s="2545"/>
      <c r="F301" s="2724"/>
      <c r="G301" s="2768"/>
      <c r="H301" s="1841"/>
      <c r="I301" s="992" t="s">
        <v>1325</v>
      </c>
      <c r="J301" s="912"/>
      <c r="K301" s="1841"/>
      <c r="L301" s="555"/>
      <c r="M301" s="682"/>
      <c r="N301" s="675"/>
      <c r="O301" s="1965"/>
      <c r="P301" s="1965"/>
      <c r="AH301" s="1972">
        <v>0</v>
      </c>
    </row>
    <row s="17239" customFormat="1" customHeight="1" ht="0.75" hidden="1">
      <c r="A302" s="2121"/>
      <c r="B302" s="2121"/>
      <c r="C302" s="710" t="s">
        <v>1333</v>
      </c>
      <c r="D302" s="2803"/>
      <c r="E302" s="2545"/>
      <c r="F302" s="2724"/>
      <c r="G302" s="741"/>
      <c r="H302" s="1841"/>
      <c r="I302" s="992"/>
      <c r="J302" s="912"/>
      <c r="K302" s="1841"/>
      <c r="L302" s="555"/>
      <c r="M302" s="682"/>
      <c r="N302" s="675"/>
      <c r="O302" s="1965"/>
      <c r="P302" s="1965"/>
      <c r="AH302" s="1972">
        <v>0</v>
      </c>
    </row>
    <row s="17239" customFormat="1" customHeight="1" ht="18.75" hidden="1">
      <c r="A303" s="2121" t="s">
        <v>230</v>
      </c>
      <c r="B303" s="2121" t="s">
        <v>231</v>
      </c>
      <c r="C303" s="710"/>
      <c r="D303" s="2803"/>
      <c r="E303" s="2545"/>
      <c r="F303" s="2724" t="str">
        <f>INDEX(PT_DIFFERENTIATION_VTAR,MATCH(A303,PT_DIFFERENTIATION_VTAR_ID,0))</f>
        <v>Тариф на транспортировку воды</v>
      </c>
      <c r="G303" s="2768" t="str">
        <f>INDEX(PT_DIFFERENTIATION_NTAR,MATCH(B303,PT_DIFFERENTIATION_NTAR_ID,0))</f>
        <v/>
      </c>
      <c r="H303" s="2203"/>
      <c r="I303" s="2080"/>
      <c r="J303" s="2114"/>
      <c r="K303" s="2119"/>
      <c r="L303" s="2203" t="s">
        <v>301</v>
      </c>
      <c r="M303" s="682"/>
      <c r="N303" s="675"/>
      <c r="O303" s="1965"/>
      <c r="P303" s="1965"/>
      <c r="AH303" s="1972">
        <v>0</v>
      </c>
    </row>
    <row s="17239" customFormat="1" customHeight="1" ht="18.75" hidden="1">
      <c r="A304" s="2121"/>
      <c r="B304" s="2121"/>
      <c r="C304" s="710" t="s">
        <v>1326</v>
      </c>
      <c r="D304" s="2803"/>
      <c r="E304" s="2545"/>
      <c r="F304" s="2724"/>
      <c r="G304" s="2768"/>
      <c r="H304" s="1841"/>
      <c r="I304" s="992" t="s">
        <v>1325</v>
      </c>
      <c r="J304" s="912"/>
      <c r="K304" s="1841"/>
      <c r="L304" s="555"/>
      <c r="M304" s="682"/>
      <c r="N304" s="675"/>
      <c r="O304" s="1965"/>
      <c r="P304" s="1965"/>
      <c r="AH304" s="1972">
        <v>0</v>
      </c>
    </row>
    <row s="17239" customFormat="1" customHeight="1" ht="0.75" hidden="1">
      <c r="A305" s="2121"/>
      <c r="B305" s="2121"/>
      <c r="C305" s="710" t="s">
        <v>1333</v>
      </c>
      <c r="D305" s="2803"/>
      <c r="E305" s="2545"/>
      <c r="F305" s="2724"/>
      <c r="G305" s="741"/>
      <c r="H305" s="1841"/>
      <c r="I305" s="992"/>
      <c r="J305" s="912"/>
      <c r="K305" s="1841"/>
      <c r="L305" s="555"/>
      <c r="M305" s="682"/>
      <c r="N305" s="675"/>
      <c r="O305" s="1965"/>
      <c r="P305" s="1965"/>
      <c r="AH305" s="1972">
        <v>0</v>
      </c>
    </row>
    <row s="17239" customFormat="1" customHeight="1" ht="18.75" hidden="1">
      <c r="A306" s="2121" t="s">
        <v>235</v>
      </c>
      <c r="B306" s="2121" t="s">
        <v>236</v>
      </c>
      <c r="C306" s="710"/>
      <c r="D306" s="2803"/>
      <c r="E306" s="2545"/>
      <c r="F306" s="2724" t="str">
        <f>INDEX(PT_DIFFERENTIATION_VTAR,MATCH(A306,PT_DIFFERENTIATION_VTAR_ID,0))</f>
        <v>Тариф на подвоз воды</v>
      </c>
      <c r="G306" s="2768" t="str">
        <f>INDEX(PT_DIFFERENTIATION_NTAR,MATCH(B306,PT_DIFFERENTIATION_NTAR_ID,0))</f>
        <v/>
      </c>
      <c r="H306" s="2203"/>
      <c r="I306" s="2080"/>
      <c r="J306" s="2114"/>
      <c r="K306" s="2119"/>
      <c r="L306" s="2203" t="s">
        <v>301</v>
      </c>
      <c r="M306" s="682"/>
      <c r="N306" s="675"/>
      <c r="O306" s="1965"/>
      <c r="P306" s="1965"/>
      <c r="AH306" s="1972">
        <v>0</v>
      </c>
    </row>
    <row s="17239" customFormat="1" customHeight="1" ht="18.75" hidden="1">
      <c r="A307" s="2121"/>
      <c r="B307" s="2121"/>
      <c r="C307" s="710" t="s">
        <v>1326</v>
      </c>
      <c r="D307" s="2803"/>
      <c r="E307" s="2545"/>
      <c r="F307" s="2724"/>
      <c r="G307" s="2768"/>
      <c r="H307" s="1841"/>
      <c r="I307" s="992" t="s">
        <v>1325</v>
      </c>
      <c r="J307" s="912"/>
      <c r="K307" s="1841"/>
      <c r="L307" s="555"/>
      <c r="M307" s="682"/>
      <c r="N307" s="675"/>
      <c r="O307" s="1965"/>
      <c r="P307" s="1965"/>
      <c r="AH307" s="1972">
        <v>0</v>
      </c>
    </row>
    <row s="17239" customFormat="1" customHeight="1" ht="0.75" hidden="1">
      <c r="A308" s="2121"/>
      <c r="B308" s="2121"/>
      <c r="C308" s="710" t="s">
        <v>1333</v>
      </c>
      <c r="D308" s="2803"/>
      <c r="E308" s="2545"/>
      <c r="F308" s="2724"/>
      <c r="G308" s="741"/>
      <c r="H308" s="1841"/>
      <c r="I308" s="992"/>
      <c r="J308" s="912"/>
      <c r="K308" s="1841"/>
      <c r="L308" s="555"/>
      <c r="M308" s="682"/>
      <c r="N308" s="675"/>
      <c r="O308" s="1965"/>
      <c r="P308" s="1965"/>
      <c r="AH308" s="1972">
        <v>0</v>
      </c>
    </row>
    <row s="17239" customFormat="1" customHeight="1" ht="18.75" hidden="1">
      <c r="A309" s="2121" t="s">
        <v>240</v>
      </c>
      <c r="B309" s="2121" t="s">
        <v>241</v>
      </c>
      <c r="C309" s="710"/>
      <c r="D309" s="2803"/>
      <c r="E309" s="2545"/>
      <c r="F309" s="272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68" t="str">
        <f>INDEX(PT_DIFFERENTIATION_NTAR,MATCH(B309,PT_DIFFERENTIATION_NTAR_ID,0))</f>
        <v/>
      </c>
      <c r="H309" s="2203"/>
      <c r="I309" s="2080"/>
      <c r="J309" s="2114"/>
      <c r="K309" s="2119"/>
      <c r="L309" s="2203" t="s">
        <v>301</v>
      </c>
      <c r="M309" s="682"/>
      <c r="N309" s="675"/>
      <c r="O309" s="1965"/>
      <c r="P309" s="1965"/>
      <c r="AH309" s="1972">
        <v>0</v>
      </c>
    </row>
    <row s="17239" customFormat="1" customHeight="1" ht="18.75" hidden="1">
      <c r="A310" s="2121"/>
      <c r="B310" s="2121"/>
      <c r="C310" s="710" t="s">
        <v>1326</v>
      </c>
      <c r="D310" s="2803"/>
      <c r="E310" s="2545"/>
      <c r="F310" s="2724"/>
      <c r="G310" s="2768"/>
      <c r="H310" s="1841"/>
      <c r="I310" s="992" t="s">
        <v>1325</v>
      </c>
      <c r="J310" s="912"/>
      <c r="K310" s="1841"/>
      <c r="L310" s="555"/>
      <c r="M310" s="682"/>
      <c r="N310" s="675"/>
      <c r="O310" s="1965"/>
      <c r="P310" s="1965"/>
      <c r="AH310" s="1972">
        <v>0</v>
      </c>
    </row>
    <row s="17239" customFormat="1" customHeight="1" ht="0.75" hidden="1">
      <c r="A311" s="2121"/>
      <c r="B311" s="2121"/>
      <c r="C311" s="710" t="s">
        <v>1333</v>
      </c>
      <c r="D311" s="2803"/>
      <c r="E311" s="2545"/>
      <c r="F311" s="2724"/>
      <c r="G311" s="741"/>
      <c r="H311" s="1841"/>
      <c r="I311" s="992"/>
      <c r="J311" s="912"/>
      <c r="K311" s="1841"/>
      <c r="L311" s="555"/>
      <c r="M311" s="682"/>
      <c r="N311" s="675"/>
      <c r="O311" s="1965"/>
      <c r="P311" s="1965"/>
      <c r="AH311" s="1972">
        <v>0</v>
      </c>
    </row>
    <row s="17239" customFormat="1" customHeight="1" ht="18.75" hidden="1">
      <c r="A312" s="2121" t="s">
        <v>245</v>
      </c>
      <c r="B312" s="2121" t="s">
        <v>246</v>
      </c>
      <c r="C312" s="710"/>
      <c r="D312" s="2803"/>
      <c r="E312" s="2545"/>
      <c r="F312" s="2724" t="str">
        <f>INDEX(PT_DIFFERENTIATION_VTAR,MATCH(A312,PT_DIFFERENTIATION_VTAR_ID,0))</f>
        <v>Тариф на горячую воду (горячее водоснабжение)</v>
      </c>
      <c r="G312" s="2768" t="str">
        <f>INDEX(PT_DIFFERENTIATION_NTAR,MATCH(B312,PT_DIFFERENTIATION_NTAR_ID,0))</f>
        <v/>
      </c>
      <c r="H312" s="2203"/>
      <c r="I312" s="2080"/>
      <c r="J312" s="2114"/>
      <c r="K312" s="2119"/>
      <c r="L312" s="2203" t="s">
        <v>301</v>
      </c>
      <c r="M312" s="682"/>
      <c r="N312" s="675"/>
      <c r="O312" s="1965"/>
      <c r="P312" s="1965"/>
      <c r="AH312" s="1972">
        <v>0</v>
      </c>
    </row>
    <row s="17239" customFormat="1" customHeight="1" ht="18.75" hidden="1">
      <c r="A313" s="2121"/>
      <c r="B313" s="2121"/>
      <c r="C313" s="710" t="s">
        <v>1326</v>
      </c>
      <c r="D313" s="2803"/>
      <c r="E313" s="2545"/>
      <c r="F313" s="2724"/>
      <c r="G313" s="2768"/>
      <c r="H313" s="1841"/>
      <c r="I313" s="992" t="s">
        <v>1325</v>
      </c>
      <c r="J313" s="912"/>
      <c r="K313" s="1841"/>
      <c r="L313" s="555"/>
      <c r="M313" s="682"/>
      <c r="N313" s="675"/>
      <c r="O313" s="1965"/>
      <c r="P313" s="1965"/>
      <c r="AH313" s="1972">
        <v>0</v>
      </c>
    </row>
    <row s="17239" customFormat="1" customHeight="1" ht="0.75" hidden="1">
      <c r="A314" s="2121"/>
      <c r="B314" s="2121"/>
      <c r="C314" s="710" t="s">
        <v>1333</v>
      </c>
      <c r="D314" s="2803"/>
      <c r="E314" s="2545"/>
      <c r="F314" s="2724"/>
      <c r="G314" s="741"/>
      <c r="H314" s="1841"/>
      <c r="I314" s="992"/>
      <c r="J314" s="912"/>
      <c r="K314" s="1841"/>
      <c r="L314" s="555"/>
      <c r="M314" s="682"/>
      <c r="N314" s="675"/>
      <c r="O314" s="1965"/>
      <c r="P314" s="1965"/>
      <c r="AH314" s="1972">
        <v>0</v>
      </c>
    </row>
    <row s="17239" customFormat="1" customHeight="1" ht="18.75" hidden="1">
      <c r="A315" s="2121" t="s">
        <v>250</v>
      </c>
      <c r="B315" s="2121" t="s">
        <v>251</v>
      </c>
      <c r="C315" s="710"/>
      <c r="D315" s="2803"/>
      <c r="E315" s="2545"/>
      <c r="F315" s="2724" t="str">
        <f>INDEX(PT_DIFFERENTIATION_VTAR,MATCH(A315,PT_DIFFERENTIATION_VTAR_ID,0))</f>
        <v>Тариф на транспортировку горячей воды</v>
      </c>
      <c r="G315" s="2768" t="str">
        <f>INDEX(PT_DIFFERENTIATION_NTAR,MATCH(B315,PT_DIFFERENTIATION_NTAR_ID,0))</f>
        <v/>
      </c>
      <c r="H315" s="2203"/>
      <c r="I315" s="2080"/>
      <c r="J315" s="2114"/>
      <c r="K315" s="2119"/>
      <c r="L315" s="2203" t="s">
        <v>301</v>
      </c>
      <c r="M315" s="682"/>
      <c r="N315" s="675"/>
      <c r="O315" s="1965"/>
      <c r="P315" s="1965"/>
      <c r="AH315" s="1972">
        <v>0</v>
      </c>
    </row>
    <row s="17239" customFormat="1" customHeight="1" ht="18.75" hidden="1">
      <c r="A316" s="2121"/>
      <c r="B316" s="2121"/>
      <c r="C316" s="710" t="s">
        <v>1326</v>
      </c>
      <c r="D316" s="2803"/>
      <c r="E316" s="2545"/>
      <c r="F316" s="2724"/>
      <c r="G316" s="2768"/>
      <c r="H316" s="1841"/>
      <c r="I316" s="992" t="s">
        <v>1325</v>
      </c>
      <c r="J316" s="912"/>
      <c r="K316" s="1841"/>
      <c r="L316" s="555"/>
      <c r="M316" s="682"/>
      <c r="N316" s="675"/>
      <c r="O316" s="1965"/>
      <c r="P316" s="1965"/>
      <c r="AH316" s="1972">
        <v>0</v>
      </c>
    </row>
    <row s="17239" customFormat="1" customHeight="1" ht="0.75" hidden="1">
      <c r="A317" s="2121"/>
      <c r="B317" s="2121"/>
      <c r="C317" s="710" t="s">
        <v>1333</v>
      </c>
      <c r="D317" s="2803"/>
      <c r="E317" s="2545"/>
      <c r="F317" s="2724"/>
      <c r="G317" s="741"/>
      <c r="H317" s="1841"/>
      <c r="I317" s="992"/>
      <c r="J317" s="912"/>
      <c r="K317" s="1841"/>
      <c r="L317" s="555"/>
      <c r="M317" s="682"/>
      <c r="N317" s="675"/>
      <c r="O317" s="1965"/>
      <c r="P317" s="1965"/>
      <c r="AH317" s="1972">
        <v>0</v>
      </c>
    </row>
    <row s="17239" customFormat="1" customHeight="1" ht="18.75" hidden="1">
      <c r="A318" s="2121" t="s">
        <v>255</v>
      </c>
      <c r="B318" s="2121" t="s">
        <v>256</v>
      </c>
      <c r="C318" s="710"/>
      <c r="D318" s="2803"/>
      <c r="E318" s="2545"/>
      <c r="F318" s="272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68" t="str">
        <f>INDEX(PT_DIFFERENTIATION_NTAR,MATCH(B318,PT_DIFFERENTIATION_NTAR_ID,0))</f>
        <v/>
      </c>
      <c r="H318" s="2203"/>
      <c r="I318" s="2080"/>
      <c r="J318" s="2114"/>
      <c r="K318" s="2119"/>
      <c r="L318" s="2203" t="s">
        <v>301</v>
      </c>
      <c r="M318" s="682"/>
      <c r="N318" s="675"/>
      <c r="O318" s="1965"/>
      <c r="P318" s="1965"/>
      <c r="AH318" s="1972">
        <v>0</v>
      </c>
    </row>
    <row s="17239" customFormat="1" customHeight="1" ht="18.75" hidden="1">
      <c r="A319" s="2121"/>
      <c r="B319" s="2121"/>
      <c r="C319" s="710" t="s">
        <v>1326</v>
      </c>
      <c r="D319" s="2803"/>
      <c r="E319" s="2545"/>
      <c r="F319" s="2724"/>
      <c r="G319" s="2768"/>
      <c r="H319" s="1841"/>
      <c r="I319" s="992" t="s">
        <v>1325</v>
      </c>
      <c r="J319" s="912"/>
      <c r="K319" s="1841"/>
      <c r="L319" s="555"/>
      <c r="M319" s="682"/>
      <c r="N319" s="675"/>
      <c r="O319" s="1965"/>
      <c r="P319" s="1965"/>
      <c r="AH319" s="1972">
        <v>0</v>
      </c>
    </row>
    <row s="17239" customFormat="1" customHeight="1" ht="0.75" hidden="1">
      <c r="A320" s="2121"/>
      <c r="B320" s="2121"/>
      <c r="C320" s="710" t="s">
        <v>1333</v>
      </c>
      <c r="D320" s="2803"/>
      <c r="E320" s="2545"/>
      <c r="F320" s="2724"/>
      <c r="G320" s="741"/>
      <c r="H320" s="1841"/>
      <c r="I320" s="992"/>
      <c r="J320" s="912"/>
      <c r="K320" s="1841"/>
      <c r="L320" s="555"/>
      <c r="M320" s="682"/>
      <c r="N320" s="675"/>
      <c r="O320" s="1965"/>
      <c r="P320" s="1965"/>
      <c r="AH320" s="1972">
        <v>0</v>
      </c>
    </row>
    <row s="17239" customFormat="1" customHeight="1" ht="18.75" hidden="1">
      <c r="A321" s="2121" t="s">
        <v>260</v>
      </c>
      <c r="B321" s="2121" t="s">
        <v>261</v>
      </c>
      <c r="C321" s="710"/>
      <c r="D321" s="2803"/>
      <c r="E321" s="2545"/>
      <c r="F321" s="2724" t="str">
        <f>INDEX(PT_DIFFERENTIATION_VTAR,MATCH(A321,PT_DIFFERENTIATION_VTAR_ID,0))</f>
        <v>Тариф на водоотведение</v>
      </c>
      <c r="G321" s="2768" t="str">
        <f>INDEX(PT_DIFFERENTIATION_NTAR,MATCH(B321,PT_DIFFERENTIATION_NTAR_ID,0))</f>
        <v/>
      </c>
      <c r="H321" s="2203"/>
      <c r="I321" s="2080"/>
      <c r="J321" s="2114"/>
      <c r="K321" s="2119"/>
      <c r="L321" s="2203" t="s">
        <v>301</v>
      </c>
      <c r="M321" s="682"/>
      <c r="N321" s="675"/>
      <c r="O321" s="1965"/>
      <c r="P321" s="1965"/>
      <c r="AH321" s="1972">
        <v>0</v>
      </c>
    </row>
    <row s="17239" customFormat="1" customHeight="1" ht="18.75" hidden="1">
      <c r="A322" s="2121"/>
      <c r="B322" s="2121"/>
      <c r="C322" s="710" t="s">
        <v>1326</v>
      </c>
      <c r="D322" s="2803"/>
      <c r="E322" s="2545"/>
      <c r="F322" s="2724"/>
      <c r="G322" s="2768"/>
      <c r="H322" s="1841"/>
      <c r="I322" s="992" t="s">
        <v>1325</v>
      </c>
      <c r="J322" s="912"/>
      <c r="K322" s="1841"/>
      <c r="L322" s="555"/>
      <c r="M322" s="682"/>
      <c r="N322" s="675"/>
      <c r="O322" s="1965"/>
      <c r="P322" s="1965"/>
      <c r="AH322" s="1972">
        <v>0</v>
      </c>
    </row>
    <row s="17239" customFormat="1" customHeight="1" ht="0.75" hidden="1">
      <c r="A323" s="2121"/>
      <c r="B323" s="2121"/>
      <c r="C323" s="710" t="s">
        <v>1333</v>
      </c>
      <c r="D323" s="2803"/>
      <c r="E323" s="2545"/>
      <c r="F323" s="2724"/>
      <c r="G323" s="741"/>
      <c r="H323" s="1841"/>
      <c r="I323" s="992"/>
      <c r="J323" s="912"/>
      <c r="K323" s="1841"/>
      <c r="L323" s="555"/>
      <c r="M323" s="682"/>
      <c r="N323" s="675"/>
      <c r="O323" s="1965"/>
      <c r="P323" s="1965"/>
      <c r="AH323" s="1972">
        <v>0</v>
      </c>
    </row>
    <row s="17239" customFormat="1" customHeight="1" ht="18.75" hidden="1">
      <c r="A324" s="2121" t="s">
        <v>265</v>
      </c>
      <c r="B324" s="2121" t="s">
        <v>266</v>
      </c>
      <c r="C324" s="710"/>
      <c r="D324" s="2803"/>
      <c r="E324" s="2545"/>
      <c r="F324" s="2724" t="str">
        <f>INDEX(PT_DIFFERENTIATION_VTAR,MATCH(A324,PT_DIFFERENTIATION_VTAR_ID,0))</f>
        <v>Тариф на транспортировку сточных вод</v>
      </c>
      <c r="G324" s="2768" t="str">
        <f>INDEX(PT_DIFFERENTIATION_NTAR,MATCH(B324,PT_DIFFERENTIATION_NTAR_ID,0))</f>
        <v/>
      </c>
      <c r="H324" s="2203"/>
      <c r="I324" s="2080"/>
      <c r="J324" s="2114"/>
      <c r="K324" s="2119"/>
      <c r="L324" s="2203" t="s">
        <v>301</v>
      </c>
      <c r="M324" s="682"/>
      <c r="N324" s="675"/>
      <c r="O324" s="1965"/>
      <c r="P324" s="1965"/>
      <c r="AH324" s="1972">
        <v>0</v>
      </c>
    </row>
    <row s="17239" customFormat="1" customHeight="1" ht="18.75" hidden="1">
      <c r="A325" s="2121"/>
      <c r="B325" s="2121"/>
      <c r="C325" s="710" t="s">
        <v>1326</v>
      </c>
      <c r="D325" s="2803"/>
      <c r="E325" s="2545"/>
      <c r="F325" s="2724"/>
      <c r="G325" s="2768"/>
      <c r="H325" s="1841"/>
      <c r="I325" s="992" t="s">
        <v>1325</v>
      </c>
      <c r="J325" s="912"/>
      <c r="K325" s="1841"/>
      <c r="L325" s="555"/>
      <c r="M325" s="682"/>
      <c r="N325" s="675"/>
      <c r="O325" s="1965"/>
      <c r="P325" s="1965"/>
      <c r="AH325" s="1972">
        <v>0</v>
      </c>
    </row>
    <row s="17239" customFormat="1" customHeight="1" ht="0.75" hidden="1">
      <c r="A326" s="2121"/>
      <c r="B326" s="2121"/>
      <c r="C326" s="710" t="s">
        <v>1333</v>
      </c>
      <c r="D326" s="2803"/>
      <c r="E326" s="2545"/>
      <c r="F326" s="2724"/>
      <c r="G326" s="741"/>
      <c r="H326" s="1841"/>
      <c r="I326" s="992"/>
      <c r="J326" s="912"/>
      <c r="K326" s="1841"/>
      <c r="L326" s="555"/>
      <c r="M326" s="682"/>
      <c r="N326" s="675"/>
      <c r="O326" s="1965"/>
      <c r="P326" s="1965"/>
      <c r="AH326" s="1972">
        <v>0</v>
      </c>
    </row>
    <row s="17239" customFormat="1" customHeight="1" ht="18.75" hidden="1">
      <c r="A327" s="2121" t="s">
        <v>270</v>
      </c>
      <c r="B327" s="2121" t="s">
        <v>271</v>
      </c>
      <c r="C327" s="710"/>
      <c r="D327" s="2803"/>
      <c r="E327" s="2545"/>
      <c r="F327" s="2724" t="str">
        <f>INDEX(PT_DIFFERENTIATION_VTAR,MATCH(A327,PT_DIFFERENTIATION_VTAR_ID,0))</f>
        <v>Тариф на подключение (технологическое присоединение) к централизованной системе водоотведения</v>
      </c>
      <c r="G327" s="2768" t="str">
        <f>INDEX(PT_DIFFERENTIATION_NTAR,MATCH(B327,PT_DIFFERENTIATION_NTAR_ID,0))</f>
        <v/>
      </c>
      <c r="H327" s="2203"/>
      <c r="I327" s="2080"/>
      <c r="J327" s="2114"/>
      <c r="K327" s="2119"/>
      <c r="L327" s="2203" t="s">
        <v>301</v>
      </c>
      <c r="M327" s="682"/>
      <c r="N327" s="675"/>
      <c r="O327" s="1965"/>
      <c r="P327" s="1965"/>
      <c r="AH327" s="1972">
        <v>0</v>
      </c>
    </row>
    <row s="17239" customFormat="1" customHeight="1" ht="18.75" hidden="1">
      <c r="A328" s="2121"/>
      <c r="B328" s="2121"/>
      <c r="C328" s="710" t="s">
        <v>1326</v>
      </c>
      <c r="D328" s="2803"/>
      <c r="E328" s="2545"/>
      <c r="F328" s="2724"/>
      <c r="G328" s="2768"/>
      <c r="H328" s="1841"/>
      <c r="I328" s="992" t="s">
        <v>1325</v>
      </c>
      <c r="J328" s="912"/>
      <c r="K328" s="1841"/>
      <c r="L328" s="555"/>
      <c r="M328" s="682"/>
      <c r="N328" s="675"/>
      <c r="O328" s="1965"/>
      <c r="P328" s="1965"/>
      <c r="AH328" s="1972">
        <v>0</v>
      </c>
    </row>
    <row s="17239" customFormat="1" customHeight="1" ht="1.05">
      <c r="A329" s="2121"/>
      <c r="B329" s="2121"/>
      <c r="C329" s="710" t="s">
        <v>1333</v>
      </c>
      <c r="D329" s="2803"/>
      <c r="E329" s="2545"/>
      <c r="F329" s="2724"/>
      <c r="G329" s="741"/>
      <c r="H329" s="1841"/>
      <c r="I329" s="992"/>
      <c r="J329" s="912"/>
      <c r="K329" s="1841"/>
      <c r="L329" s="555"/>
      <c r="M329" s="682"/>
      <c r="N329" s="675"/>
      <c r="O329" s="1965"/>
      <c r="P329" s="1965"/>
      <c r="AH329" s="1972">
        <v>1</v>
      </c>
    </row>
    <row s="19333" customFormat="1" customHeight="1" ht="3">
      <c r="A330" s="2121"/>
      <c r="B330" s="2121"/>
      <c r="C330" s="2122"/>
      <c r="E330" s="743"/>
      <c r="F330" s="743"/>
      <c r="G330" s="743"/>
      <c r="H330" s="743"/>
      <c r="I330" s="743"/>
      <c r="J330" s="743"/>
      <c r="K330" s="743"/>
      <c r="L330" s="743"/>
      <c r="M330" s="743"/>
      <c r="O330" s="537"/>
      <c r="P330" s="537"/>
      <c r="AH330" s="481">
        <v>3</v>
      </c>
    </row>
    <row customHeight="1" ht="26.25">
      <c r="E331" s="543"/>
      <c r="F331" s="2626"/>
      <c r="G331" s="2626"/>
      <c r="H331" s="2626"/>
      <c r="I331" s="2626"/>
      <c r="J331" s="2626"/>
      <c r="K331" s="2626"/>
      <c r="L331" s="2626"/>
      <c r="M331" s="2626"/>
      <c r="AH331" s="715">
        <v>25</v>
      </c>
    </row>
    <row customHeight="1" ht="14.25" hidden="1">
      <c r="A332" s="2120" t="s">
        <v>82</v>
      </c>
      <c r="B332" s="2120">
        <v>0</v>
      </c>
      <c r="C332" s="710">
        <v>0</v>
      </c>
      <c r="D332" s="685">
        <v>3</v>
      </c>
      <c r="E332" s="715">
        <v>6</v>
      </c>
      <c r="F332" s="715">
        <v>46</v>
      </c>
      <c r="G332" s="715">
        <v>35</v>
      </c>
      <c r="H332" s="715">
        <v>3</v>
      </c>
      <c r="I332" s="715">
        <v>11</v>
      </c>
      <c r="J332" s="715">
        <v>11</v>
      </c>
      <c r="K332" s="715">
        <v>35</v>
      </c>
      <c r="L332" s="715">
        <v>35</v>
      </c>
      <c r="M332" s="715">
        <v>84</v>
      </c>
      <c r="N332" s="715">
        <v>10</v>
      </c>
      <c r="O332" s="691">
        <v>10</v>
      </c>
      <c r="P332" s="691">
        <v>10</v>
      </c>
      <c r="Q332" s="715">
        <v>10</v>
      </c>
      <c r="R332" s="715">
        <v>10</v>
      </c>
      <c r="S332" s="715">
        <v>10</v>
      </c>
      <c r="T332" s="715">
        <v>10</v>
      </c>
      <c r="U332" s="715">
        <v>10</v>
      </c>
      <c r="V332" s="715">
        <v>10</v>
      </c>
      <c r="W332" s="715">
        <v>10</v>
      </c>
      <c r="X332" s="715">
        <v>10</v>
      </c>
      <c r="Y332" s="715">
        <v>10</v>
      </c>
      <c r="Z332" s="715">
        <v>10</v>
      </c>
      <c r="AA332" s="715">
        <v>10</v>
      </c>
      <c r="AB332" s="715">
        <v>10</v>
      </c>
      <c r="AC332" s="715">
        <v>10</v>
      </c>
      <c r="AD332" s="715">
        <v>10</v>
      </c>
      <c r="AE332" s="715">
        <v>10</v>
      </c>
      <c r="AF332" s="715">
        <v>10</v>
      </c>
      <c r="AG332" s="715">
        <v>10</v>
      </c>
      <c r="AH332" s="715">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A62C19-466E-27C6-77E3-ACF63DBA807C}"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18078" width="9.140625" hidden="1" customWidth="1"/>
    <col min="2" max="2" style="17315" width="9.140625" hidden="1" customWidth="1"/>
    <col min="3" max="3" style="18079" width="3.00390625" customWidth="1"/>
    <col min="4" max="4" style="17239" width="6.00390625" customWidth="1"/>
    <col min="5" max="5" style="17239" width="53.00390625" customWidth="1"/>
    <col min="6" max="7" style="17239" width="35.00390625" customWidth="1"/>
    <col min="8" max="8" style="17239" width="89.00390625" customWidth="1"/>
    <col min="9" max="9" style="17239" width="10.00390625" customWidth="1"/>
    <col min="10" max="11" style="17405" width="10.00390625" customWidth="1"/>
    <col min="12" max="17" style="17239" width="10.00390625" customWidth="1"/>
    <col min="18" max="18" style="17239" width="10.57421875" hidden="1"/>
  </cols>
  <sheetData>
    <row customHeight="1" ht="22.5" hidden="1">
      <c r="N1" s="596"/>
      <c r="O1" s="596"/>
      <c r="Q1" s="596"/>
      <c r="R1" s="715" t="s">
        <v>14</v>
      </c>
    </row>
    <row s="17239" customFormat="1" customHeight="1" ht="18.75" hidden="1">
      <c r="A2" s="443"/>
      <c r="B2" s="1501"/>
      <c r="C2" s="2071" t="s">
        <v>684</v>
      </c>
      <c r="D2" s="2014"/>
      <c r="E2" s="2023"/>
      <c r="F2" s="598"/>
      <c r="G2" s="1502"/>
      <c r="H2" s="715"/>
      <c r="I2" s="1965"/>
      <c r="J2" s="1965"/>
      <c r="R2" s="1972">
        <v>0</v>
      </c>
    </row>
    <row customHeight="1" ht="14.25" hidden="1">
      <c r="R3" s="715">
        <v>0</v>
      </c>
    </row>
    <row customHeight="1" ht="6.3">
      <c r="C4" s="717"/>
      <c r="D4" s="704"/>
      <c r="E4" s="704"/>
      <c r="F4" s="704"/>
      <c r="G4" s="426"/>
      <c r="H4" s="426"/>
      <c r="R4" s="715">
        <v>6</v>
      </c>
    </row>
    <row customHeight="1" ht="34.5">
      <c r="C5" s="717"/>
      <c r="D5" s="279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96"/>
      <c r="F5" s="2796"/>
      <c r="G5" s="2797"/>
      <c r="H5" s="607"/>
      <c r="R5" s="715">
        <v>33</v>
      </c>
    </row>
    <row s="17239" customFormat="1" customHeight="1" ht="18">
      <c r="A6" s="2010"/>
      <c r="B6" s="1501"/>
      <c r="C6" s="717"/>
      <c r="D6" s="2798" t="str">
        <f>IF(org=0,"Не определено",org)</f>
        <v>АО "ДГК"</v>
      </c>
      <c r="E6" s="2799"/>
      <c r="F6" s="2799"/>
      <c r="G6" s="2800"/>
      <c r="H6" s="607"/>
      <c r="J6" s="1965"/>
      <c r="K6" s="1965"/>
      <c r="R6" s="1972">
        <v>17</v>
      </c>
    </row>
    <row customHeight="1" ht="14.699999999999998">
      <c r="C7" s="717"/>
      <c r="D7" s="704"/>
      <c r="E7" s="730"/>
      <c r="F7" s="730"/>
      <c r="G7" s="1093"/>
      <c r="H7" s="534"/>
      <c r="R7" s="715">
        <v>14</v>
      </c>
    </row>
    <row customHeight="1" ht="14.699999999999998">
      <c r="C8" s="717"/>
      <c r="D8" s="2550" t="s">
        <v>295</v>
      </c>
      <c r="E8" s="2550"/>
      <c r="F8" s="2550"/>
      <c r="G8" s="2550"/>
      <c r="H8" s="2730" t="s">
        <v>296</v>
      </c>
      <c r="R8" s="715">
        <v>14</v>
      </c>
    </row>
    <row customHeight="1" ht="24">
      <c r="C9" s="717"/>
      <c r="D9" s="727" t="s">
        <v>88</v>
      </c>
      <c r="E9" s="449" t="s">
        <v>297</v>
      </c>
      <c r="F9" s="449" t="s">
        <v>298</v>
      </c>
      <c r="G9" s="449" t="s">
        <v>385</v>
      </c>
      <c r="H9" s="2730"/>
      <c r="R9" s="715">
        <v>23</v>
      </c>
    </row>
    <row customHeight="1" ht="14.699999999999998">
      <c r="A10" s="684"/>
      <c r="C10" s="717"/>
      <c r="D10" s="488" t="s">
        <v>106</v>
      </c>
      <c r="E10" s="222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598"/>
      <c r="G10" s="554"/>
      <c r="H10" s="2510" t="s">
        <v>1334</v>
      </c>
      <c r="R10" s="715">
        <v>14</v>
      </c>
    </row>
    <row customHeight="1" ht="14.699999999999998">
      <c r="A11" s="684"/>
      <c r="C11" s="717"/>
      <c r="D11" s="488" t="s">
        <v>107</v>
      </c>
      <c r="E11" s="222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598"/>
      <c r="G11" s="554"/>
      <c r="H11" s="2511"/>
      <c r="R11" s="715">
        <v>14</v>
      </c>
    </row>
    <row customHeight="1" ht="14.699999999999998">
      <c r="A12" s="443"/>
      <c r="C12" s="728"/>
      <c r="D12" s="488" t="s">
        <v>90</v>
      </c>
      <c r="E12" s="729" t="str">
        <f>"Сведения о планировании закупочных процедур"&amp;IF(TEMPLATE_SPHERE="TKO"," &lt;1&gt;","")</f>
        <v>Сведения о планировании закупочных процедур</v>
      </c>
      <c r="F12" s="598"/>
      <c r="G12" s="554"/>
      <c r="H12" s="25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1"/>
      <c r="K12" s="715"/>
      <c r="R12" s="715">
        <v>14</v>
      </c>
    </row>
    <row customHeight="1" ht="14.699999999999998">
      <c r="A13" s="443"/>
      <c r="C13" s="728"/>
      <c r="D13" s="488" t="s">
        <v>91</v>
      </c>
      <c r="E13" s="729" t="str">
        <f>"Сведения о результатах проведения закупочных процедур"&amp;IF(TEMPLATE_SPHERE="TKO"," &lt;1&gt;","")</f>
        <v>Сведения о результатах проведения закупочных процедур</v>
      </c>
      <c r="F13" s="598"/>
      <c r="G13" s="554"/>
      <c r="H13" s="2511"/>
      <c r="I13" s="691"/>
      <c r="K13" s="715"/>
      <c r="R13" s="715">
        <v>14</v>
      </c>
    </row>
    <row customHeight="1" ht="14.699999999999998">
      <c r="A14" s="684"/>
      <c r="C14" s="717"/>
      <c r="D14" s="688"/>
      <c r="E14" s="736" t="s">
        <v>317</v>
      </c>
      <c r="F14" s="690"/>
      <c r="G14" s="542"/>
      <c r="H14" s="2512"/>
      <c r="R14" s="715">
        <v>14</v>
      </c>
    </row>
    <row s="17239" customFormat="1" customHeight="1" ht="14.699999999999998">
      <c r="A15" s="684"/>
      <c r="B15" s="1501"/>
      <c r="C15" s="717"/>
      <c r="D15" s="737"/>
      <c r="E15" s="2018"/>
      <c r="F15" s="2019"/>
      <c r="G15" s="2020"/>
      <c r="H15" s="2021"/>
      <c r="J15" s="1965"/>
      <c r="K15" s="1965"/>
      <c r="R15" s="1972">
        <v>14</v>
      </c>
    </row>
    <row customHeight="1" ht="14.699999999999998">
      <c r="D16" s="2022"/>
      <c r="E16" s="2726"/>
      <c r="F16" s="2726"/>
      <c r="G16" s="2726"/>
      <c r="H16" s="2726"/>
      <c r="R16" s="715">
        <v>14</v>
      </c>
    </row>
    <row customHeight="1" ht="22.5" hidden="1">
      <c r="A17" s="705" t="s">
        <v>82</v>
      </c>
      <c r="B17" s="487">
        <v>0</v>
      </c>
      <c r="C17" s="685">
        <v>3</v>
      </c>
      <c r="D17" s="715">
        <v>6</v>
      </c>
      <c r="E17" s="715">
        <v>53</v>
      </c>
      <c r="F17" s="715">
        <v>35</v>
      </c>
      <c r="G17" s="715">
        <v>35</v>
      </c>
      <c r="H17" s="715">
        <v>89</v>
      </c>
      <c r="I17" s="715">
        <v>10</v>
      </c>
      <c r="J17" s="691">
        <v>10</v>
      </c>
      <c r="K17" s="691">
        <v>10</v>
      </c>
      <c r="L17" s="715">
        <v>10</v>
      </c>
      <c r="M17" s="715">
        <v>10</v>
      </c>
      <c r="N17" s="715">
        <v>10</v>
      </c>
      <c r="O17" s="715">
        <v>10</v>
      </c>
      <c r="P17" s="715">
        <v>10</v>
      </c>
      <c r="Q17" s="715">
        <v>10</v>
      </c>
      <c r="R17" s="715">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6D9A09-9441-2E64-B7E9-9B7BA23E06A3}"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7405" width="3.7109375" hidden="1" customWidth="1"/>
    <col min="3" max="3" style="17442" width="3.00390625" customWidth="1"/>
    <col min="4" max="4" style="17442" width="6.00390625" customWidth="1"/>
    <col min="5" max="5" style="17442" width="42.00390625" customWidth="1"/>
    <col min="6" max="6" style="17442" width="15.00390625" customWidth="1"/>
    <col min="7" max="7" style="17442" width="42.00390625" customWidth="1"/>
    <col min="8" max="8" style="17442" width="3.00390625" customWidth="1"/>
    <col min="9" max="9" style="17442" width="5.00390625" customWidth="1"/>
    <col min="10" max="10" style="17442" width="47.00390625" customWidth="1"/>
    <col min="11" max="12" style="17442" width="3.00390625" customWidth="1"/>
    <col min="13" max="13" style="17442" width="5.00390625" customWidth="1"/>
    <col min="14" max="14" style="17442" width="28.00390625" customWidth="1"/>
    <col min="15" max="16" style="17442" width="3.00390625" customWidth="1"/>
    <col min="17" max="17" style="17442" width="5.00390625" customWidth="1"/>
    <col min="18" max="18" style="17442" width="34.00390625" customWidth="1"/>
    <col min="19" max="20" style="17442" width="3.7109375" customWidth="1"/>
    <col min="21" max="21" style="17442" width="5.7109375" customWidth="1"/>
    <col min="22" max="22" style="17442" width="34.421875" customWidth="1"/>
    <col min="23" max="23" style="17442" width="30.00390625" customWidth="1"/>
    <col min="24" max="24" style="17442" width="3.00390625" customWidth="1"/>
    <col min="25" max="28" style="17494" width="9.8515625" hidden="1" customWidth="1"/>
    <col min="29" max="29" style="17494" width="27.00390625" hidden="1" customWidth="1"/>
    <col min="30" max="30" style="17494" width="10.57421875" hidden="1" customWidth="1"/>
    <col min="31" max="31" style="17494" width="10.7109375" hidden="1" customWidth="1"/>
    <col min="32" max="32" style="17494" width="10.00390625" hidden="1" customWidth="1"/>
    <col min="33" max="33" style="17494" width="12.8515625" hidden="1" customWidth="1"/>
    <col min="34" max="34" style="17494" width="24.421875" hidden="1" customWidth="1"/>
    <col min="35" max="35" style="17494" width="15.8515625" hidden="1" customWidth="1"/>
    <col min="36" max="36" style="17494" width="19.421875" hidden="1" customWidth="1"/>
    <col min="37" max="37" style="17494" width="11.00390625" hidden="1" customWidth="1"/>
    <col min="38" max="38" style="17494" width="23.57421875" hidden="1" customWidth="1"/>
    <col min="39" max="39" style="17494" width="23.8515625" hidden="1" customWidth="1"/>
    <col min="40" max="40" style="17494" width="25.28125" hidden="1" customWidth="1"/>
    <col min="41" max="41" style="17494" width="16.8515625" hidden="1" customWidth="1"/>
    <col min="42" max="42" style="17494" width="29.57421875" hidden="1" customWidth="1"/>
    <col min="43" max="43" style="17494" width="29.8515625" hidden="1" customWidth="1"/>
    <col min="44" max="44" style="17442" width="9.140625" hidden="1"/>
  </cols>
  <sheetData>
    <row customHeight="1" ht="11.25" hidden="1">
      <c r="A1" s="497"/>
      <c r="AR1" s="445" t="s">
        <v>14</v>
      </c>
    </row>
    <row customHeight="1" ht="11.25" hidden="1">
      <c r="AR2" s="445">
        <v>0</v>
      </c>
    </row>
    <row customHeight="1" ht="11.25" hidden="1">
      <c r="AR3" s="445">
        <v>0</v>
      </c>
    </row>
    <row customHeight="1" ht="3">
      <c r="AR4" s="445">
        <v>3</v>
      </c>
    </row>
    <row s="17413" customFormat="1" customHeight="1" ht="30.45">
      <c r="A5" s="495"/>
      <c r="B5" s="495"/>
      <c r="D5" s="24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99"/>
      <c r="F5" s="2499"/>
      <c r="G5" s="2499"/>
      <c r="H5" s="2499"/>
      <c r="I5" s="2499"/>
      <c r="J5" s="2500"/>
      <c r="K5" s="606"/>
      <c r="L5" s="483"/>
      <c r="M5" s="483"/>
      <c r="N5" s="483"/>
      <c r="O5" s="483"/>
      <c r="P5" s="483"/>
      <c r="Q5" s="483"/>
      <c r="R5" s="483"/>
      <c r="S5" s="631"/>
      <c r="T5" s="631"/>
      <c r="U5" s="631"/>
      <c r="V5" s="631"/>
      <c r="W5" s="483"/>
      <c r="Y5" s="1601"/>
      <c r="Z5" s="1601"/>
      <c r="AA5" s="1601"/>
      <c r="AB5" s="1601"/>
      <c r="AC5" s="1601"/>
      <c r="AD5" s="1601"/>
      <c r="AE5" s="1601"/>
      <c r="AF5" s="1601"/>
      <c r="AG5" s="1601"/>
      <c r="AH5" s="1601"/>
      <c r="AI5" s="1601"/>
      <c r="AJ5" s="1601"/>
      <c r="AK5" s="1601"/>
      <c r="AL5" s="1601"/>
      <c r="AM5" s="1601"/>
      <c r="AN5" s="1601"/>
      <c r="AO5" s="1601"/>
      <c r="AP5" s="1601"/>
      <c r="AQ5" s="1601"/>
      <c r="AR5" s="452">
        <v>29</v>
      </c>
    </row>
    <row s="17413" customFormat="1" customHeight="1" ht="14.699999999999998">
      <c r="A6" s="926"/>
      <c r="B6" s="926"/>
      <c r="C6" s="926"/>
      <c r="D6" s="2504" t="str">
        <f>IF(org=0,"Не определено",org)</f>
        <v>АО "ДГК"</v>
      </c>
      <c r="E6" s="2504"/>
      <c r="F6" s="2504"/>
      <c r="G6" s="2504"/>
      <c r="H6" s="2504"/>
      <c r="I6" s="2504"/>
      <c r="J6" s="2504"/>
      <c r="K6" s="927"/>
      <c r="L6" s="927"/>
      <c r="M6" s="927"/>
      <c r="N6" s="927"/>
      <c r="O6" s="1211"/>
      <c r="P6" s="1211"/>
      <c r="Q6" s="1211"/>
      <c r="R6" s="1211"/>
      <c r="S6" s="1211"/>
      <c r="T6" s="1211"/>
      <c r="U6" s="1211"/>
      <c r="V6" s="1211"/>
      <c r="W6" s="1211"/>
      <c r="X6" s="927"/>
      <c r="Y6" s="1602"/>
      <c r="Z6" s="1602"/>
      <c r="AA6" s="1602"/>
      <c r="AB6" s="1602"/>
      <c r="AC6" s="1602"/>
      <c r="AD6" s="1602"/>
      <c r="AE6" s="1602"/>
      <c r="AF6" s="1602"/>
      <c r="AG6" s="1602"/>
      <c r="AH6" s="1602"/>
      <c r="AI6" s="1602"/>
      <c r="AJ6" s="1602"/>
      <c r="AK6" s="1602"/>
      <c r="AL6" s="1602"/>
      <c r="AM6" s="1602"/>
      <c r="AN6" s="1602"/>
      <c r="AO6" s="1602"/>
      <c r="AP6" s="1602"/>
      <c r="AQ6" s="1602"/>
      <c r="AR6" s="928">
        <v>14</v>
      </c>
    </row>
    <row s="17507" customFormat="1" customHeight="1" ht="11.549999999999999">
      <c r="A7" s="552"/>
      <c r="B7" s="552"/>
      <c r="D7" s="2501"/>
      <c r="E7" s="2502"/>
      <c r="F7" s="2502"/>
      <c r="G7" s="2502"/>
      <c r="H7" s="2502"/>
      <c r="I7" s="2502"/>
      <c r="J7" s="2503"/>
      <c r="S7" s="640"/>
      <c r="T7" s="640"/>
      <c r="U7" s="640"/>
      <c r="V7" s="640"/>
      <c r="Y7" s="1603"/>
      <c r="Z7" s="1603"/>
      <c r="AA7" s="1603"/>
      <c r="AB7" s="1603"/>
      <c r="AC7" s="1603"/>
      <c r="AD7" s="1603"/>
      <c r="AE7" s="1603"/>
      <c r="AF7" s="1603"/>
      <c r="AG7" s="1603"/>
      <c r="AH7" s="1603"/>
      <c r="AI7" s="1603"/>
      <c r="AJ7" s="1603"/>
      <c r="AK7" s="1603"/>
      <c r="AL7" s="1603"/>
      <c r="AM7" s="1603"/>
      <c r="AN7" s="1603"/>
      <c r="AO7" s="1603"/>
      <c r="AP7" s="1603"/>
      <c r="AQ7" s="1603"/>
      <c r="AR7" s="617">
        <v>11</v>
      </c>
    </row>
    <row s="17413" customFormat="1" customHeight="1" ht="1.05">
      <c r="A8" s="495"/>
      <c r="B8" s="495"/>
      <c r="D8" s="553"/>
      <c r="E8" s="553"/>
      <c r="F8" s="553"/>
      <c r="G8" s="553"/>
      <c r="H8" s="553"/>
      <c r="I8" s="553"/>
      <c r="J8" s="553"/>
      <c r="K8" s="553"/>
      <c r="L8" s="553"/>
      <c r="M8" s="553"/>
      <c r="N8" s="553"/>
      <c r="O8" s="553"/>
      <c r="P8" s="553"/>
      <c r="Q8" s="553"/>
      <c r="R8" s="553"/>
      <c r="S8" s="553"/>
      <c r="T8" s="553"/>
      <c r="U8" s="553"/>
      <c r="V8" s="553"/>
      <c r="W8" s="553"/>
      <c r="X8" s="473"/>
      <c r="Y8" s="1601"/>
      <c r="Z8" s="1601"/>
      <c r="AA8" s="1601"/>
      <c r="AB8" s="1601"/>
      <c r="AC8" s="1601"/>
      <c r="AD8" s="1601"/>
      <c r="AE8" s="1601"/>
      <c r="AF8" s="1601"/>
      <c r="AG8" s="1601"/>
      <c r="AH8" s="1601"/>
      <c r="AI8" s="1601"/>
      <c r="AJ8" s="1601"/>
      <c r="AK8" s="1601"/>
      <c r="AL8" s="1601"/>
      <c r="AM8" s="1601"/>
      <c r="AN8" s="1601"/>
      <c r="AO8" s="1601"/>
      <c r="AP8" s="1601"/>
      <c r="AQ8" s="1601"/>
      <c r="AR8" s="452">
        <v>1</v>
      </c>
    </row>
    <row customHeight="1" ht="28.5">
      <c r="D9" s="2468" t="s">
        <v>88</v>
      </c>
      <c r="E9" s="2442" t="s">
        <v>119</v>
      </c>
      <c r="F9" s="2444"/>
      <c r="G9" s="2468" t="s">
        <v>102</v>
      </c>
      <c r="H9" s="2468" t="s">
        <v>88</v>
      </c>
      <c r="I9" s="2468"/>
      <c r="J9" s="2468" t="s">
        <v>120</v>
      </c>
      <c r="K9" s="2496" t="s">
        <v>121</v>
      </c>
      <c r="L9" s="2496"/>
      <c r="M9" s="2496"/>
      <c r="N9" s="2496"/>
      <c r="O9" s="2496" t="s">
        <v>122</v>
      </c>
      <c r="P9" s="2496"/>
      <c r="Q9" s="2496"/>
      <c r="R9" s="2496"/>
      <c r="S9" s="2496" t="s">
        <v>123</v>
      </c>
      <c r="T9" s="2496"/>
      <c r="U9" s="2496"/>
      <c r="V9" s="2496"/>
      <c r="W9" s="2468" t="s">
        <v>124</v>
      </c>
      <c r="AR9" s="445">
        <v>27</v>
      </c>
    </row>
    <row customHeight="1" ht="31.5">
      <c r="D10" s="2468"/>
      <c r="E10" s="1625" t="s">
        <v>89</v>
      </c>
      <c r="F10" s="1625" t="s">
        <v>125</v>
      </c>
      <c r="G10" s="2468"/>
      <c r="H10" s="2468"/>
      <c r="I10" s="2468"/>
      <c r="J10" s="2468"/>
      <c r="K10" s="451" t="s">
        <v>105</v>
      </c>
      <c r="L10" s="2468" t="s">
        <v>88</v>
      </c>
      <c r="M10" s="2468"/>
      <c r="N10" s="451" t="s">
        <v>126</v>
      </c>
      <c r="O10" s="451" t="s">
        <v>105</v>
      </c>
      <c r="P10" s="2468" t="s">
        <v>88</v>
      </c>
      <c r="Q10" s="2468"/>
      <c r="R10" s="451" t="s">
        <v>126</v>
      </c>
      <c r="S10" s="624" t="s">
        <v>105</v>
      </c>
      <c r="T10" s="2468" t="s">
        <v>88</v>
      </c>
      <c r="U10" s="2468"/>
      <c r="V10" s="624" t="s">
        <v>89</v>
      </c>
      <c r="W10" s="2468"/>
      <c r="Z10" s="1600" t="s">
        <v>127</v>
      </c>
      <c r="AA10" s="1600" t="s">
        <v>128</v>
      </c>
      <c r="AB10" s="1600" t="s">
        <v>129</v>
      </c>
      <c r="AC10" s="1600" t="s">
        <v>130</v>
      </c>
      <c r="AD10" s="1600" t="s">
        <v>131</v>
      </c>
      <c r="AE10" s="1600" t="s">
        <v>132</v>
      </c>
      <c r="AF10" s="1600" t="s">
        <v>133</v>
      </c>
      <c r="AG10" s="1600" t="s">
        <v>134</v>
      </c>
      <c r="AH10" s="1600" t="s">
        <v>135</v>
      </c>
      <c r="AI10" s="1600" t="s">
        <v>136</v>
      </c>
      <c r="AJ10" s="1600" t="s">
        <v>137</v>
      </c>
      <c r="AK10" s="1600" t="s">
        <v>138</v>
      </c>
      <c r="AL10" s="1600" t="s">
        <v>139</v>
      </c>
      <c r="AM10" s="1600" t="s">
        <v>140</v>
      </c>
      <c r="AN10" s="1600" t="s">
        <v>141</v>
      </c>
      <c r="AO10" s="1600" t="s">
        <v>142</v>
      </c>
      <c r="AP10" s="1600" t="s">
        <v>143</v>
      </c>
      <c r="AQ10" s="1600" t="s">
        <v>144</v>
      </c>
      <c r="AR10" s="445">
        <v>30</v>
      </c>
    </row>
    <row s="17405" customFormat="1" customHeight="1" ht="12" hidden="1">
      <c r="D11" s="1590" t="s">
        <v>106</v>
      </c>
      <c r="E11" s="1590" t="s">
        <v>107</v>
      </c>
      <c r="F11" s="1590"/>
      <c r="G11" s="1590" t="s">
        <v>90</v>
      </c>
      <c r="H11" s="2497" t="s">
        <v>108</v>
      </c>
      <c r="I11" s="2497"/>
      <c r="J11" s="1590" t="s">
        <v>92</v>
      </c>
      <c r="K11" s="1590" t="s">
        <v>93</v>
      </c>
      <c r="L11" s="2497" t="s">
        <v>109</v>
      </c>
      <c r="M11" s="2497"/>
      <c r="N11" s="1590" t="s">
        <v>145</v>
      </c>
      <c r="O11" s="1590" t="s">
        <v>146</v>
      </c>
      <c r="P11" s="2497" t="s">
        <v>147</v>
      </c>
      <c r="Q11" s="2497"/>
      <c r="R11" s="1590" t="s">
        <v>148</v>
      </c>
      <c r="S11" s="1590" t="s">
        <v>147</v>
      </c>
      <c r="T11" s="2497" t="s">
        <v>148</v>
      </c>
      <c r="U11" s="2497"/>
      <c r="V11" s="1590" t="s">
        <v>149</v>
      </c>
      <c r="W11" s="1590" t="s">
        <v>150</v>
      </c>
      <c r="Y11" s="1600"/>
      <c r="Z11" s="1600"/>
      <c r="AA11" s="1600"/>
      <c r="AB11" s="1600"/>
      <c r="AC11" s="1600"/>
      <c r="AD11" s="1600"/>
      <c r="AE11" s="1600"/>
      <c r="AF11" s="1600"/>
      <c r="AG11" s="1600"/>
      <c r="AH11" s="1600"/>
      <c r="AI11" s="1600"/>
      <c r="AJ11" s="1600"/>
      <c r="AK11" s="1600"/>
      <c r="AL11" s="1600"/>
      <c r="AM11" s="1600"/>
      <c r="AN11" s="1600"/>
      <c r="AO11" s="1600"/>
      <c r="AP11" s="1600"/>
      <c r="AQ11" s="1600"/>
      <c r="AR11" s="618">
        <v>0</v>
      </c>
    </row>
    <row customHeight="1" ht="14.25" hidden="1">
      <c r="C12" s="550"/>
      <c r="D12" s="1623">
        <v>0</v>
      </c>
      <c r="E12" s="591"/>
      <c r="F12" s="591"/>
      <c r="G12" s="591"/>
      <c r="H12" s="592"/>
      <c r="I12" s="592"/>
      <c r="J12" s="499"/>
      <c r="K12" s="453"/>
      <c r="L12" s="499"/>
      <c r="M12" s="499"/>
      <c r="N12" s="593"/>
      <c r="O12" s="453"/>
      <c r="P12" s="499"/>
      <c r="Q12" s="499"/>
      <c r="R12" s="594"/>
      <c r="S12" s="625"/>
      <c r="T12" s="633"/>
      <c r="U12" s="633"/>
      <c r="V12" s="637"/>
      <c r="W12" s="453"/>
      <c r="X12" s="482"/>
      <c r="AR12" s="445">
        <v>0</v>
      </c>
    </row>
    <row s="17442" customFormat="1" customHeight="1" ht="17.25" hidden="1">
      <c r="A13" s="662"/>
      <c r="C13" s="550"/>
      <c r="D13" s="2476">
        <v>1</v>
      </c>
      <c r="E13" s="2484" t="s">
        <v>151</v>
      </c>
      <c r="F13" s="2486" t="s">
        <v>19</v>
      </c>
      <c r="G13" s="2484"/>
      <c r="H13" s="2489"/>
      <c r="I13" s="2491"/>
      <c r="J13" s="2493"/>
      <c r="K13" s="2478"/>
      <c r="L13" s="2478"/>
      <c r="M13" s="2478"/>
      <c r="N13" s="2480"/>
      <c r="O13" s="2478"/>
      <c r="P13" s="2478"/>
      <c r="Q13" s="2478"/>
      <c r="R13" s="2483"/>
      <c r="S13" s="2478"/>
      <c r="T13" s="1761"/>
      <c r="U13" s="1761"/>
      <c r="V13" s="1760"/>
      <c r="W13" s="1637"/>
      <c r="Y13" s="1608"/>
      <c r="Z13" s="1608"/>
      <c r="AA13" s="1608"/>
      <c r="AB13" s="1608"/>
      <c r="AC13" s="1608" t="s">
        <v>152</v>
      </c>
      <c r="AD13" s="1608" t="s">
        <v>153</v>
      </c>
      <c r="AE13" s="1608" t="s">
        <v>154</v>
      </c>
      <c r="AF13" s="1608" t="s">
        <v>155</v>
      </c>
      <c r="AG13" s="1608" t="s">
        <v>156</v>
      </c>
      <c r="AH13" s="160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08" t="str">
        <f>IF($G$13=0,"",$G$13)</f>
        <v/>
      </c>
      <c r="AJ13" s="1608" t="str">
        <f>IF($J$13=0,"",$J$13)</f>
        <v/>
      </c>
      <c r="AK13" s="1608" t="str">
        <f>IF($K$13="нет","без дифференциации",IF($N$13=0,"",$N$13))</f>
        <v/>
      </c>
      <c r="AL13" s="1608" t="str">
        <f>IF($O$13="нет","без дифференциации",IF($R$13=0,"",$R$13))</f>
        <v/>
      </c>
      <c r="AM13" s="1608" t="str">
        <f>IF($S$13="нет","без дифференциации",IF($V$13=0,"",$V$13))</f>
        <v/>
      </c>
      <c r="AN13" s="1608">
        <f>$I$13</f>
        <v>0</v>
      </c>
      <c r="AO13" s="1608" t="str">
        <f>$I$13&amp;"."&amp;$M$13</f>
        <v>.</v>
      </c>
      <c r="AP13" s="1608" t="str">
        <f>$I$13&amp;"."&amp;$M$13&amp;"."&amp;$Q$13</f>
        <v>..</v>
      </c>
      <c r="AQ13" s="1608" t="str">
        <f>$I$13&amp;"."&amp;$M$13&amp;"."&amp;$Q$13&amp;"."&amp;$U$13</f>
        <v>...</v>
      </c>
      <c r="AR13" s="1091">
        <v>0</v>
      </c>
    </row>
    <row s="17442" customFormat="1" customHeight="1" ht="17.25" hidden="1">
      <c r="A14" s="662"/>
      <c r="C14" s="661"/>
      <c r="D14" s="2476"/>
      <c r="E14" s="2484"/>
      <c r="F14" s="2487"/>
      <c r="G14" s="2484"/>
      <c r="H14" s="2490"/>
      <c r="I14" s="2492"/>
      <c r="J14" s="2494"/>
      <c r="K14" s="2479"/>
      <c r="L14" s="2479"/>
      <c r="M14" s="2479"/>
      <c r="N14" s="2481"/>
      <c r="O14" s="2479"/>
      <c r="P14" s="2479"/>
      <c r="Q14" s="2479"/>
      <c r="R14" s="2482"/>
      <c r="S14" s="2479"/>
      <c r="T14" s="1638"/>
      <c r="U14" s="1638"/>
      <c r="V14" s="1638"/>
      <c r="W14" s="1639"/>
      <c r="Y14" s="1600"/>
      <c r="Z14" s="1600"/>
      <c r="AA14" s="1600"/>
      <c r="AB14" s="1600"/>
      <c r="AC14" s="1600"/>
      <c r="AD14" s="1600"/>
      <c r="AE14" s="1600"/>
      <c r="AF14" s="1600"/>
      <c r="AG14" s="1600"/>
      <c r="AH14" s="1600"/>
      <c r="AI14" s="1600"/>
      <c r="AJ14" s="1600"/>
      <c r="AK14" s="1600"/>
      <c r="AL14" s="1600"/>
      <c r="AM14" s="1600"/>
      <c r="AN14" s="1600"/>
      <c r="AO14" s="1600"/>
      <c r="AP14" s="1600"/>
      <c r="AQ14" s="1600"/>
      <c r="AR14" s="1091">
        <v>0</v>
      </c>
    </row>
    <row s="17442" customFormat="1" customHeight="1" ht="17.25" hidden="1">
      <c r="A15" s="662"/>
      <c r="C15" s="550"/>
      <c r="D15" s="2476"/>
      <c r="E15" s="2484"/>
      <c r="F15" s="2487"/>
      <c r="G15" s="2484"/>
      <c r="H15" s="2490"/>
      <c r="I15" s="2492"/>
      <c r="J15" s="2495"/>
      <c r="K15" s="2479"/>
      <c r="L15" s="2479"/>
      <c r="M15" s="2479"/>
      <c r="N15" s="2482"/>
      <c r="O15" s="2479"/>
      <c r="P15" s="1759"/>
      <c r="Q15" s="1638"/>
      <c r="R15" s="1638"/>
      <c r="S15" s="670"/>
      <c r="T15" s="670"/>
      <c r="U15" s="670"/>
      <c r="V15" s="670"/>
      <c r="W15" s="1639"/>
      <c r="Y15" s="1608"/>
      <c r="Z15" s="1608"/>
      <c r="AA15" s="1608"/>
      <c r="AB15" s="1608"/>
      <c r="AC15" s="1608"/>
      <c r="AD15" s="1608"/>
      <c r="AE15" s="1608"/>
      <c r="AF15" s="1608"/>
      <c r="AG15" s="1608"/>
      <c r="AH15" s="1608"/>
      <c r="AI15" s="1608"/>
      <c r="AJ15" s="1608"/>
      <c r="AK15" s="1608"/>
      <c r="AL15" s="1608"/>
      <c r="AM15" s="1608"/>
      <c r="AN15" s="1608"/>
      <c r="AO15" s="1608"/>
      <c r="AP15" s="1608"/>
      <c r="AQ15" s="1608"/>
      <c r="AR15" s="1758">
        <v>0</v>
      </c>
    </row>
    <row s="17442" customFormat="1" customHeight="1" ht="17.25" hidden="1">
      <c r="A16" s="662"/>
      <c r="C16" s="661"/>
      <c r="D16" s="2476"/>
      <c r="E16" s="2484"/>
      <c r="F16" s="2487"/>
      <c r="G16" s="2484"/>
      <c r="H16" s="2490"/>
      <c r="I16" s="2492"/>
      <c r="J16" s="2495"/>
      <c r="K16" s="2479"/>
      <c r="L16" s="1638"/>
      <c r="M16" s="1638"/>
      <c r="N16" s="1638"/>
      <c r="O16" s="1638"/>
      <c r="P16" s="1638"/>
      <c r="Q16" s="1638"/>
      <c r="R16" s="1638"/>
      <c r="S16" s="670"/>
      <c r="T16" s="670"/>
      <c r="U16" s="670"/>
      <c r="V16" s="670"/>
      <c r="W16" s="1639"/>
      <c r="Y16" s="1600"/>
      <c r="Z16" s="1600"/>
      <c r="AA16" s="1600"/>
      <c r="AB16" s="1600"/>
      <c r="AC16" s="1600"/>
      <c r="AD16" s="1600"/>
      <c r="AE16" s="1600"/>
      <c r="AF16" s="1600"/>
      <c r="AG16" s="1600"/>
      <c r="AH16" s="1600"/>
      <c r="AI16" s="1600"/>
      <c r="AJ16" s="1600"/>
      <c r="AK16" s="1600"/>
      <c r="AL16" s="1600"/>
      <c r="AM16" s="1600"/>
      <c r="AN16" s="1600"/>
      <c r="AO16" s="1600"/>
      <c r="AP16" s="1600"/>
      <c r="AQ16" s="1600"/>
      <c r="AR16" s="1758">
        <v>0</v>
      </c>
    </row>
    <row s="17442" customFormat="1" customHeight="1" ht="17.25" hidden="1">
      <c r="A17" s="662"/>
      <c r="C17" s="661"/>
      <c r="D17" s="2477"/>
      <c r="E17" s="2485"/>
      <c r="F17" s="2488"/>
      <c r="G17" s="2485"/>
      <c r="H17" s="1640"/>
      <c r="I17" s="1641"/>
      <c r="J17" s="1641"/>
      <c r="K17" s="1641"/>
      <c r="L17" s="1641"/>
      <c r="M17" s="1641"/>
      <c r="N17" s="1641"/>
      <c r="O17" s="1641"/>
      <c r="P17" s="1641"/>
      <c r="Q17" s="1641"/>
      <c r="R17" s="1641"/>
      <c r="S17" s="1642"/>
      <c r="T17" s="1642"/>
      <c r="U17" s="1642"/>
      <c r="V17" s="1642"/>
      <c r="W17" s="1643"/>
      <c r="Y17" s="1600"/>
      <c r="Z17" s="1600"/>
      <c r="AA17" s="1600"/>
      <c r="AB17" s="1600"/>
      <c r="AC17" s="1600"/>
      <c r="AD17" s="1600"/>
      <c r="AE17" s="1600"/>
      <c r="AF17" s="1600"/>
      <c r="AG17" s="1600"/>
      <c r="AH17" s="1600"/>
      <c r="AI17" s="1600"/>
      <c r="AJ17" s="1600"/>
      <c r="AK17" s="1600"/>
      <c r="AL17" s="1600"/>
      <c r="AM17" s="1600"/>
      <c r="AN17" s="1600"/>
      <c r="AO17" s="1600"/>
      <c r="AP17" s="1600"/>
      <c r="AQ17" s="1600"/>
      <c r="AR17" s="1091">
        <v>0</v>
      </c>
    </row>
    <row s="17442" customFormat="1" customHeight="1" ht="17.25" hidden="1">
      <c r="A18" s="662"/>
      <c r="C18" s="550"/>
      <c r="D18" s="2476">
        <v>2</v>
      </c>
      <c r="E18" s="2505"/>
      <c r="F18" s="2486" t="s">
        <v>19</v>
      </c>
      <c r="G18" s="2484"/>
      <c r="H18" s="2489"/>
      <c r="I18" s="2491"/>
      <c r="J18" s="2493"/>
      <c r="K18" s="2478"/>
      <c r="L18" s="2478"/>
      <c r="M18" s="2478"/>
      <c r="N18" s="2480"/>
      <c r="O18" s="2478"/>
      <c r="P18" s="2478"/>
      <c r="Q18" s="2478"/>
      <c r="R18" s="2483"/>
      <c r="S18" s="2478"/>
      <c r="T18" s="1761"/>
      <c r="U18" s="1761"/>
      <c r="V18" s="1760"/>
      <c r="W18" s="1637"/>
      <c r="X18" s="1608"/>
      <c r="Y18" s="1608"/>
      <c r="Z18" s="1608"/>
      <c r="AA18" s="1608"/>
      <c r="AB18" s="1608"/>
      <c r="AC18" s="1608" t="s">
        <v>157</v>
      </c>
      <c r="AD18" s="1608" t="s">
        <v>158</v>
      </c>
      <c r="AE18" s="1608" t="s">
        <v>159</v>
      </c>
      <c r="AF18" s="1608" t="s">
        <v>160</v>
      </c>
      <c r="AG18" s="1608" t="s">
        <v>161</v>
      </c>
      <c r="AH18" s="1608" t="str">
        <f>IF($E$18=0,"",$E$18)</f>
        <v/>
      </c>
      <c r="AI18" s="1608" t="str">
        <f>IF($G$18=0,"",$G$18)</f>
        <v/>
      </c>
      <c r="AJ18" s="1608" t="str">
        <f>IF($J$18=0,"",$J$18)</f>
        <v/>
      </c>
      <c r="AK18" s="1608" t="str">
        <f>IF($K$18="нет","без дифференциации",IF($N$18=0,"",$N$18))</f>
        <v/>
      </c>
      <c r="AL18" s="1608" t="str">
        <f>IF($O$18="нет","без дифференциации",IF($R$18=0,"",$R$18))</f>
        <v/>
      </c>
      <c r="AM18" s="1608" t="str">
        <f>IF($S$18="нет","без дифференциации",IF($V$18=0,"",$V$18))</f>
        <v/>
      </c>
      <c r="AN18" s="2113">
        <f>$I$18</f>
        <v>0</v>
      </c>
      <c r="AO18" s="1608" t="str">
        <f>$I$18&amp;"."&amp;$M$18</f>
        <v>.</v>
      </c>
      <c r="AP18" s="1600" t="str">
        <f>$I$18&amp;"."&amp;$M$18&amp;"."&amp;$Q$18</f>
        <v>..</v>
      </c>
      <c r="AQ18" s="1600" t="str">
        <f>$I$18&amp;"."&amp;$M$18&amp;"."&amp;$Q$18&amp;"."&amp;$U$18</f>
        <v>...</v>
      </c>
      <c r="AR18" s="1624">
        <v>0</v>
      </c>
    </row>
    <row s="17442" customFormat="1" customHeight="1" ht="17.25" hidden="1">
      <c r="A19" s="662"/>
      <c r="C19" s="661"/>
      <c r="D19" s="2476"/>
      <c r="E19" s="2505"/>
      <c r="F19" s="2487"/>
      <c r="G19" s="2484"/>
      <c r="H19" s="2490"/>
      <c r="I19" s="2492"/>
      <c r="J19" s="2494"/>
      <c r="K19" s="2479"/>
      <c r="L19" s="2479"/>
      <c r="M19" s="2479"/>
      <c r="N19" s="2481"/>
      <c r="O19" s="2479"/>
      <c r="P19" s="2479"/>
      <c r="Q19" s="2479"/>
      <c r="R19" s="2482"/>
      <c r="S19" s="2479"/>
      <c r="T19" s="1638"/>
      <c r="U19" s="1638"/>
      <c r="V19" s="1638"/>
      <c r="W19" s="1639"/>
      <c r="X19" s="1600"/>
      <c r="Y19" s="1600"/>
      <c r="Z19" s="1600"/>
      <c r="AA19" s="1600"/>
      <c r="AB19" s="1600"/>
      <c r="AC19" s="1600"/>
      <c r="AD19" s="1600"/>
      <c r="AE19" s="1600"/>
      <c r="AF19" s="1600"/>
      <c r="AG19" s="1600"/>
      <c r="AH19" s="1600"/>
      <c r="AI19" s="1600"/>
      <c r="AJ19" s="1600"/>
      <c r="AK19" s="1600"/>
      <c r="AL19" s="1600"/>
      <c r="AM19" s="1600"/>
      <c r="AN19" s="1600"/>
      <c r="AO19" s="1600"/>
      <c r="AP19" s="1600"/>
      <c r="AQ19" s="1600"/>
      <c r="AR19" s="1624">
        <v>0</v>
      </c>
    </row>
    <row s="17442" customFormat="1" customHeight="1" ht="17.25" hidden="1">
      <c r="A20" s="662"/>
      <c r="C20" s="661"/>
      <c r="D20" s="2477"/>
      <c r="E20" s="2506"/>
      <c r="F20" s="2487"/>
      <c r="G20" s="2485"/>
      <c r="H20" s="2490"/>
      <c r="I20" s="2492"/>
      <c r="J20" s="2495"/>
      <c r="K20" s="2479"/>
      <c r="L20" s="2479"/>
      <c r="M20" s="2479"/>
      <c r="N20" s="2482"/>
      <c r="O20" s="2479"/>
      <c r="P20" s="1759"/>
      <c r="Q20" s="1638"/>
      <c r="R20" s="1638"/>
      <c r="S20" s="670"/>
      <c r="T20" s="670"/>
      <c r="U20" s="670"/>
      <c r="V20" s="670"/>
      <c r="W20" s="1639"/>
      <c r="X20" s="1600"/>
      <c r="Y20" s="1600"/>
      <c r="Z20" s="1600"/>
      <c r="AA20" s="1600"/>
      <c r="AB20" s="1600"/>
      <c r="AC20" s="1600"/>
      <c r="AD20" s="1600"/>
      <c r="AE20" s="1600"/>
      <c r="AF20" s="1600"/>
      <c r="AG20" s="1600"/>
      <c r="AH20" s="1600"/>
      <c r="AI20" s="1600"/>
      <c r="AJ20" s="1600"/>
      <c r="AK20" s="1600"/>
      <c r="AL20" s="1600"/>
      <c r="AM20" s="1600"/>
      <c r="AN20" s="1600"/>
      <c r="AO20" s="1600"/>
      <c r="AP20" s="1600"/>
      <c r="AQ20" s="1600"/>
      <c r="AR20" s="1624">
        <v>0</v>
      </c>
    </row>
    <row s="17442" customFormat="1" customHeight="1" ht="17.25" hidden="1">
      <c r="A21" s="662"/>
      <c r="C21" s="661"/>
      <c r="D21" s="2477"/>
      <c r="E21" s="2506"/>
      <c r="F21" s="2487"/>
      <c r="G21" s="2485"/>
      <c r="H21" s="2490"/>
      <c r="I21" s="2492"/>
      <c r="J21" s="2495"/>
      <c r="K21" s="2479"/>
      <c r="L21" s="1638"/>
      <c r="M21" s="1638"/>
      <c r="N21" s="1638"/>
      <c r="O21" s="1638"/>
      <c r="P21" s="1638"/>
      <c r="Q21" s="1638"/>
      <c r="R21" s="1638"/>
      <c r="S21" s="670"/>
      <c r="T21" s="670"/>
      <c r="U21" s="670"/>
      <c r="V21" s="670"/>
      <c r="W21" s="1639"/>
      <c r="X21" s="1600"/>
      <c r="Y21" s="1600"/>
      <c r="Z21" s="1600"/>
      <c r="AA21" s="1600"/>
      <c r="AB21" s="1600"/>
      <c r="AC21" s="1600"/>
      <c r="AD21" s="1600"/>
      <c r="AE21" s="1600"/>
      <c r="AF21" s="1600"/>
      <c r="AG21" s="1600"/>
      <c r="AH21" s="1600"/>
      <c r="AI21" s="1600"/>
      <c r="AJ21" s="1600"/>
      <c r="AK21" s="1600"/>
      <c r="AL21" s="1600"/>
      <c r="AM21" s="1600"/>
      <c r="AN21" s="1600"/>
      <c r="AO21" s="1600"/>
      <c r="AP21" s="1600"/>
      <c r="AQ21" s="1600"/>
      <c r="AR21" s="1624">
        <v>0</v>
      </c>
    </row>
    <row s="17442" customFormat="1" customHeight="1" ht="17.25" hidden="1">
      <c r="A22" s="662"/>
      <c r="C22" s="661"/>
      <c r="D22" s="2477"/>
      <c r="E22" s="2506"/>
      <c r="F22" s="2488"/>
      <c r="G22" s="2485"/>
      <c r="H22" s="1640"/>
      <c r="I22" s="1641"/>
      <c r="J22" s="1641"/>
      <c r="K22" s="1641"/>
      <c r="L22" s="1641"/>
      <c r="M22" s="1641"/>
      <c r="N22" s="1641"/>
      <c r="O22" s="1641"/>
      <c r="P22" s="1641"/>
      <c r="Q22" s="1641"/>
      <c r="R22" s="1641"/>
      <c r="S22" s="1642"/>
      <c r="T22" s="1642"/>
      <c r="U22" s="1642"/>
      <c r="V22" s="1642"/>
      <c r="W22" s="1643"/>
      <c r="X22" s="1600"/>
      <c r="Y22" s="1600"/>
      <c r="Z22" s="1600"/>
      <c r="AA22" s="1600"/>
      <c r="AB22" s="1600"/>
      <c r="AC22" s="1600"/>
      <c r="AD22" s="1600"/>
      <c r="AE22" s="1600"/>
      <c r="AF22" s="1600"/>
      <c r="AG22" s="1600"/>
      <c r="AH22" s="1600"/>
      <c r="AI22" s="1600"/>
      <c r="AJ22" s="1600"/>
      <c r="AK22" s="1600"/>
      <c r="AL22" s="1600"/>
      <c r="AM22" s="1600"/>
      <c r="AN22" s="1600"/>
      <c r="AO22" s="1600"/>
      <c r="AP22" s="1600"/>
      <c r="AQ22" s="1600"/>
      <c r="AR22" s="1624">
        <v>0</v>
      </c>
    </row>
    <row s="17442" customFormat="1" customHeight="1" ht="17.25" hidden="1">
      <c r="A23" s="662"/>
      <c r="C23" s="550"/>
      <c r="D23" s="2476">
        <v>2</v>
      </c>
      <c r="E23" s="2484" t="s">
        <v>162</v>
      </c>
      <c r="F23" s="2486" t="s">
        <v>19</v>
      </c>
      <c r="G23" s="2484"/>
      <c r="H23" s="2489"/>
      <c r="I23" s="2491"/>
      <c r="J23" s="2493"/>
      <c r="K23" s="2478"/>
      <c r="L23" s="2478"/>
      <c r="M23" s="2478"/>
      <c r="N23" s="2480"/>
      <c r="O23" s="2478"/>
      <c r="P23" s="2478"/>
      <c r="Q23" s="2478"/>
      <c r="R23" s="2483"/>
      <c r="S23" s="2478"/>
      <c r="T23" s="2339"/>
      <c r="U23" s="2339"/>
      <c r="V23" s="2341"/>
      <c r="W23" s="1637"/>
      <c r="X23" s="1608"/>
      <c r="Y23" s="1608"/>
      <c r="Z23" s="1608"/>
      <c r="AA23" s="1608"/>
      <c r="AB23" s="1608"/>
      <c r="AC23" s="1608" t="s">
        <v>157</v>
      </c>
      <c r="AD23" s="1608" t="s">
        <v>158</v>
      </c>
      <c r="AE23" s="1608" t="s">
        <v>159</v>
      </c>
      <c r="AF23" s="1608" t="s">
        <v>160</v>
      </c>
      <c r="AG23" s="1608" t="s">
        <v>161</v>
      </c>
      <c r="AH23" s="1608" t="str">
        <f>IF($E$23=0,"",$E$23)</f>
        <v>Тарифы на тепловую энергию (мощность), поставляемую теплоснабжающими организациями потребителям, другим теплоснабжающим организациям</v>
      </c>
      <c r="AI23" s="1608" t="str">
        <f>IF($G$23=0,"",$G$23)</f>
        <v/>
      </c>
      <c r="AJ23" s="1608" t="str">
        <f>IF($J$23=0,"",$J$23)</f>
        <v/>
      </c>
      <c r="AK23" s="1608" t="str">
        <f>IF($K$23="нет","без дифференциации",IF($N$23=0,"",$N$23))</f>
        <v/>
      </c>
      <c r="AL23" s="1608" t="str">
        <f>IF($O$23="нет","без дифференциации",IF($R$23=0,"",$R$23))</f>
        <v/>
      </c>
      <c r="AM23" s="1608" t="str">
        <f>IF($S$23="нет","без дифференциации",IF($V$23=0,"",$V$23))</f>
        <v/>
      </c>
      <c r="AN23" s="2113">
        <f>$I$23</f>
        <v>0</v>
      </c>
      <c r="AO23" s="1608" t="str">
        <f>$I$23&amp;"."&amp;$M$23</f>
        <v>.</v>
      </c>
      <c r="AP23" s="1607" t="str">
        <f>$I$23&amp;"."&amp;$M$23&amp;"."&amp;$Q$23</f>
        <v>..</v>
      </c>
      <c r="AQ23" s="1607" t="str">
        <f>$I$23&amp;"."&amp;$M$23&amp;"."&amp;$Q$23&amp;"."&amp;$U$23</f>
        <v>...</v>
      </c>
      <c r="AR23" s="1808">
        <v>0</v>
      </c>
    </row>
    <row s="17442" customFormat="1" customHeight="1" ht="17.25" hidden="1">
      <c r="A24" s="662"/>
      <c r="C24" s="661"/>
      <c r="D24" s="2476"/>
      <c r="E24" s="2484"/>
      <c r="F24" s="2487"/>
      <c r="G24" s="2484"/>
      <c r="H24" s="2490"/>
      <c r="I24" s="2492"/>
      <c r="J24" s="2494"/>
      <c r="K24" s="2479"/>
      <c r="L24" s="2479"/>
      <c r="M24" s="2479"/>
      <c r="N24" s="2481"/>
      <c r="O24" s="2479"/>
      <c r="P24" s="2479"/>
      <c r="Q24" s="2479"/>
      <c r="R24" s="2482"/>
      <c r="S24" s="2479"/>
      <c r="T24" s="2344"/>
      <c r="U24" s="2344"/>
      <c r="V24" s="2344"/>
      <c r="W24" s="2345"/>
      <c r="X24" s="1607"/>
      <c r="Y24" s="1607"/>
      <c r="Z24" s="1607"/>
      <c r="AA24" s="1607"/>
      <c r="AB24" s="1607"/>
      <c r="AC24" s="1607"/>
      <c r="AD24" s="1607"/>
      <c r="AE24" s="1607"/>
      <c r="AF24" s="1607"/>
      <c r="AG24" s="1607"/>
      <c r="AH24" s="1607"/>
      <c r="AI24" s="1607"/>
      <c r="AJ24" s="1607"/>
      <c r="AK24" s="1607"/>
      <c r="AL24" s="1607"/>
      <c r="AM24" s="1607"/>
      <c r="AN24" s="1607"/>
      <c r="AO24" s="1607"/>
      <c r="AP24" s="1607"/>
      <c r="AQ24" s="1607"/>
      <c r="AR24" s="1808">
        <v>0</v>
      </c>
    </row>
    <row s="17442" customFormat="1" customHeight="1" ht="17.25" hidden="1">
      <c r="A25" s="662"/>
      <c r="C25" s="661"/>
      <c r="D25" s="2477"/>
      <c r="E25" s="2485"/>
      <c r="F25" s="2487"/>
      <c r="G25" s="2485"/>
      <c r="H25" s="2490"/>
      <c r="I25" s="2492"/>
      <c r="J25" s="2495"/>
      <c r="K25" s="2479"/>
      <c r="L25" s="2479"/>
      <c r="M25" s="2479"/>
      <c r="N25" s="2482"/>
      <c r="O25" s="2479"/>
      <c r="P25" s="2340"/>
      <c r="Q25" s="2344"/>
      <c r="R25" s="2344"/>
      <c r="S25" s="670"/>
      <c r="T25" s="670"/>
      <c r="U25" s="670"/>
      <c r="V25" s="670"/>
      <c r="W25" s="2345"/>
      <c r="X25" s="1607"/>
      <c r="Y25" s="1607"/>
      <c r="Z25" s="1607"/>
      <c r="AA25" s="1607"/>
      <c r="AB25" s="1607"/>
      <c r="AC25" s="1607"/>
      <c r="AD25" s="1607"/>
      <c r="AE25" s="1607"/>
      <c r="AF25" s="1607"/>
      <c r="AG25" s="1607"/>
      <c r="AH25" s="1607"/>
      <c r="AI25" s="1607"/>
      <c r="AJ25" s="1607"/>
      <c r="AK25" s="1607"/>
      <c r="AL25" s="1607"/>
      <c r="AM25" s="1607"/>
      <c r="AN25" s="1607"/>
      <c r="AO25" s="1607"/>
      <c r="AP25" s="1607"/>
      <c r="AQ25" s="1607"/>
      <c r="AR25" s="1808">
        <v>0</v>
      </c>
    </row>
    <row s="17442" customFormat="1" customHeight="1" ht="17.25" hidden="1">
      <c r="A26" s="662"/>
      <c r="C26" s="661"/>
      <c r="D26" s="2477"/>
      <c r="E26" s="2485"/>
      <c r="F26" s="2487"/>
      <c r="G26" s="2485"/>
      <c r="H26" s="2490"/>
      <c r="I26" s="2492"/>
      <c r="J26" s="2495"/>
      <c r="K26" s="2479"/>
      <c r="L26" s="2344"/>
      <c r="M26" s="2344"/>
      <c r="N26" s="2344"/>
      <c r="O26" s="2344"/>
      <c r="P26" s="2344"/>
      <c r="Q26" s="2344"/>
      <c r="R26" s="2344"/>
      <c r="S26" s="670"/>
      <c r="T26" s="670"/>
      <c r="U26" s="670"/>
      <c r="V26" s="670"/>
      <c r="W26" s="2345"/>
      <c r="X26" s="1607"/>
      <c r="Y26" s="1607"/>
      <c r="Z26" s="1607"/>
      <c r="AA26" s="1607"/>
      <c r="AB26" s="1607"/>
      <c r="AC26" s="1607"/>
      <c r="AD26" s="1607"/>
      <c r="AE26" s="1607"/>
      <c r="AF26" s="1607"/>
      <c r="AG26" s="1607"/>
      <c r="AH26" s="1607"/>
      <c r="AI26" s="1607"/>
      <c r="AJ26" s="1607"/>
      <c r="AK26" s="1607"/>
      <c r="AL26" s="1607"/>
      <c r="AM26" s="1607"/>
      <c r="AN26" s="1607"/>
      <c r="AO26" s="1607"/>
      <c r="AP26" s="1607"/>
      <c r="AQ26" s="1607"/>
      <c r="AR26" s="1808">
        <v>0</v>
      </c>
    </row>
    <row s="17442" customFormat="1" customHeight="1" ht="17.25" hidden="1">
      <c r="A27" s="662"/>
      <c r="C27" s="661"/>
      <c r="D27" s="2477"/>
      <c r="E27" s="2485"/>
      <c r="F27" s="2488"/>
      <c r="G27" s="2485"/>
      <c r="H27" s="1640"/>
      <c r="I27" s="2342"/>
      <c r="J27" s="2342"/>
      <c r="K27" s="2342"/>
      <c r="L27" s="2342"/>
      <c r="M27" s="2342"/>
      <c r="N27" s="2342"/>
      <c r="O27" s="2342"/>
      <c r="P27" s="2342"/>
      <c r="Q27" s="2342"/>
      <c r="R27" s="2342"/>
      <c r="S27" s="1642"/>
      <c r="T27" s="1642"/>
      <c r="U27" s="1642"/>
      <c r="V27" s="1642"/>
      <c r="W27" s="2343"/>
      <c r="X27" s="1607"/>
      <c r="Y27" s="1607"/>
      <c r="Z27" s="1607"/>
      <c r="AA27" s="1607"/>
      <c r="AB27" s="1607"/>
      <c r="AC27" s="1607"/>
      <c r="AD27" s="1607"/>
      <c r="AE27" s="1607"/>
      <c r="AF27" s="1607"/>
      <c r="AG27" s="1607"/>
      <c r="AH27" s="1607"/>
      <c r="AI27" s="1607"/>
      <c r="AJ27" s="1607"/>
      <c r="AK27" s="1607"/>
      <c r="AL27" s="1607"/>
      <c r="AM27" s="1607"/>
      <c r="AN27" s="1607"/>
      <c r="AO27" s="1607"/>
      <c r="AP27" s="1607"/>
      <c r="AQ27" s="1607"/>
      <c r="AR27" s="1808">
        <v>0</v>
      </c>
    </row>
    <row s="17442" customFormat="1" customHeight="1" ht="17.25" hidden="1">
      <c r="A28" s="662"/>
      <c r="C28" s="550"/>
      <c r="D28" s="2476">
        <v>3</v>
      </c>
      <c r="E28" s="2484" t="s">
        <v>163</v>
      </c>
      <c r="F28" s="2486" t="s">
        <v>19</v>
      </c>
      <c r="G28" s="2484"/>
      <c r="H28" s="2489"/>
      <c r="I28" s="2491"/>
      <c r="J28" s="2493"/>
      <c r="K28" s="2478"/>
      <c r="L28" s="2478"/>
      <c r="M28" s="2478"/>
      <c r="N28" s="2480"/>
      <c r="O28" s="2478"/>
      <c r="P28" s="2478"/>
      <c r="Q28" s="2478"/>
      <c r="R28" s="2483"/>
      <c r="S28" s="2478"/>
      <c r="T28" s="1761"/>
      <c r="U28" s="1761"/>
      <c r="V28" s="1760"/>
      <c r="W28" s="1637"/>
      <c r="X28" s="1608"/>
      <c r="Y28" s="1608"/>
      <c r="Z28" s="1608"/>
      <c r="AA28" s="1608"/>
      <c r="AB28" s="1608"/>
      <c r="AC28" s="1608" t="s">
        <v>164</v>
      </c>
      <c r="AD28" s="1608" t="s">
        <v>165</v>
      </c>
      <c r="AE28" s="1608" t="s">
        <v>166</v>
      </c>
      <c r="AF28" s="1608" t="s">
        <v>167</v>
      </c>
      <c r="AG28" s="1608" t="s">
        <v>168</v>
      </c>
      <c r="AH28" s="1608" t="str">
        <f>IF($E$28=0,"",$E$28)</f>
        <v>Тарифы на теплоноситель, поставляемый теплоснабжающими организациями потребителям, другим теплоснабжающим организациям</v>
      </c>
      <c r="AI28" s="1608" t="str">
        <f>IF($G$28=0,"",$G$28)</f>
        <v/>
      </c>
      <c r="AJ28" s="1608" t="str">
        <f>IF($J$28=0,"",$J$28)</f>
        <v/>
      </c>
      <c r="AK28" s="1608" t="str">
        <f>IF($K$28="нет","без дифференциации",IF($N$28=0,"",$N$28))</f>
        <v/>
      </c>
      <c r="AL28" s="1608" t="str">
        <f>IF($O$28="нет","без дифференциации",IF($R$28=0,"",$R$28))</f>
        <v/>
      </c>
      <c r="AM28" s="1608" t="str">
        <f>IF($S$28="нет","без дифференциации",IF($V$28=0,"",$V$28))</f>
        <v/>
      </c>
      <c r="AN28" s="2113">
        <f>$I$28</f>
        <v>0</v>
      </c>
      <c r="AO28" s="1608" t="str">
        <f>$I$28&amp;"."&amp;$M$28</f>
        <v>.</v>
      </c>
      <c r="AP28" s="1600" t="str">
        <f>$I$28&amp;"."&amp;$M$28&amp;"."&amp;$Q$28</f>
        <v>..</v>
      </c>
      <c r="AQ28" s="1600" t="str">
        <f>$I$28&amp;"."&amp;$M$28&amp;"."&amp;$Q$28&amp;"."&amp;$U$28</f>
        <v>...</v>
      </c>
      <c r="AR28" s="1624">
        <v>0</v>
      </c>
    </row>
    <row s="17442" customFormat="1" customHeight="1" ht="17.25" hidden="1">
      <c r="A29" s="662"/>
      <c r="C29" s="661"/>
      <c r="D29" s="2476"/>
      <c r="E29" s="2484"/>
      <c r="F29" s="2487"/>
      <c r="G29" s="2484"/>
      <c r="H29" s="2490"/>
      <c r="I29" s="2492"/>
      <c r="J29" s="2494"/>
      <c r="K29" s="2479"/>
      <c r="L29" s="2479"/>
      <c r="M29" s="2479"/>
      <c r="N29" s="2481"/>
      <c r="O29" s="2479"/>
      <c r="P29" s="2479"/>
      <c r="Q29" s="2479"/>
      <c r="R29" s="2482"/>
      <c r="S29" s="2479"/>
      <c r="T29" s="1638"/>
      <c r="U29" s="1638"/>
      <c r="V29" s="1638"/>
      <c r="W29" s="1639"/>
      <c r="X29" s="1600"/>
      <c r="Y29" s="1600"/>
      <c r="Z29" s="1600"/>
      <c r="AA29" s="1600"/>
      <c r="AB29" s="1600"/>
      <c r="AC29" s="1600"/>
      <c r="AD29" s="1600"/>
      <c r="AE29" s="1600"/>
      <c r="AF29" s="1600"/>
      <c r="AG29" s="1600"/>
      <c r="AH29" s="1600"/>
      <c r="AI29" s="1600"/>
      <c r="AJ29" s="1600"/>
      <c r="AK29" s="1600"/>
      <c r="AL29" s="1600"/>
      <c r="AM29" s="1600"/>
      <c r="AN29" s="1600"/>
      <c r="AO29" s="1600"/>
      <c r="AP29" s="1600"/>
      <c r="AQ29" s="1600"/>
      <c r="AR29" s="1624">
        <v>0</v>
      </c>
    </row>
    <row s="17442" customFormat="1" customHeight="1" ht="17.25" hidden="1">
      <c r="A30" s="662"/>
      <c r="C30" s="661"/>
      <c r="D30" s="2477"/>
      <c r="E30" s="2485"/>
      <c r="F30" s="2487"/>
      <c r="G30" s="2485"/>
      <c r="H30" s="2490"/>
      <c r="I30" s="2492"/>
      <c r="J30" s="2495"/>
      <c r="K30" s="2479"/>
      <c r="L30" s="2479"/>
      <c r="M30" s="2479"/>
      <c r="N30" s="2482"/>
      <c r="O30" s="2479"/>
      <c r="P30" s="1759"/>
      <c r="Q30" s="1638"/>
      <c r="R30" s="1638"/>
      <c r="S30" s="670"/>
      <c r="T30" s="670"/>
      <c r="U30" s="670"/>
      <c r="V30" s="670"/>
      <c r="W30" s="1639"/>
      <c r="X30" s="1600"/>
      <c r="Y30" s="1600"/>
      <c r="Z30" s="1600"/>
      <c r="AA30" s="1600"/>
      <c r="AB30" s="1600"/>
      <c r="AC30" s="1600"/>
      <c r="AD30" s="1600"/>
      <c r="AE30" s="1600"/>
      <c r="AF30" s="1600"/>
      <c r="AG30" s="1600"/>
      <c r="AH30" s="1600"/>
      <c r="AI30" s="1600"/>
      <c r="AJ30" s="1600"/>
      <c r="AK30" s="1600"/>
      <c r="AL30" s="1600"/>
      <c r="AM30" s="1600"/>
      <c r="AN30" s="1600"/>
      <c r="AO30" s="1600"/>
      <c r="AP30" s="1600"/>
      <c r="AQ30" s="1600"/>
      <c r="AR30" s="1624">
        <v>0</v>
      </c>
    </row>
    <row s="17442" customFormat="1" customHeight="1" ht="17.25" hidden="1">
      <c r="A31" s="662"/>
      <c r="C31" s="661"/>
      <c r="D31" s="2477"/>
      <c r="E31" s="2485"/>
      <c r="F31" s="2487"/>
      <c r="G31" s="2485"/>
      <c r="H31" s="2490"/>
      <c r="I31" s="2492"/>
      <c r="J31" s="2495"/>
      <c r="K31" s="2479"/>
      <c r="L31" s="1638"/>
      <c r="M31" s="1638"/>
      <c r="N31" s="1638"/>
      <c r="O31" s="1638"/>
      <c r="P31" s="1638"/>
      <c r="Q31" s="1638"/>
      <c r="R31" s="1638"/>
      <c r="S31" s="670"/>
      <c r="T31" s="670"/>
      <c r="U31" s="670"/>
      <c r="V31" s="670"/>
      <c r="W31" s="1639"/>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24">
        <v>0</v>
      </c>
    </row>
    <row s="17442" customFormat="1" customHeight="1" ht="17.25" hidden="1">
      <c r="A32" s="662"/>
      <c r="C32" s="661"/>
      <c r="D32" s="2477"/>
      <c r="E32" s="2485"/>
      <c r="F32" s="2488"/>
      <c r="G32" s="2485"/>
      <c r="H32" s="1640"/>
      <c r="I32" s="1641"/>
      <c r="J32" s="1641"/>
      <c r="K32" s="1641"/>
      <c r="L32" s="1641"/>
      <c r="M32" s="1641"/>
      <c r="N32" s="1641"/>
      <c r="O32" s="1641"/>
      <c r="P32" s="1641"/>
      <c r="Q32" s="1641"/>
      <c r="R32" s="1641"/>
      <c r="S32" s="1642"/>
      <c r="T32" s="1642"/>
      <c r="U32" s="1642"/>
      <c r="V32" s="1642"/>
      <c r="W32" s="1643"/>
      <c r="X32" s="1600"/>
      <c r="Y32" s="1600"/>
      <c r="Z32" s="1600"/>
      <c r="AA32" s="1600"/>
      <c r="AB32" s="1600"/>
      <c r="AC32" s="1600"/>
      <c r="AD32" s="1600"/>
      <c r="AE32" s="1600"/>
      <c r="AF32" s="1600"/>
      <c r="AG32" s="1600"/>
      <c r="AH32" s="1600"/>
      <c r="AI32" s="1600"/>
      <c r="AJ32" s="1600"/>
      <c r="AK32" s="1600"/>
      <c r="AL32" s="1600"/>
      <c r="AM32" s="1600"/>
      <c r="AN32" s="1600"/>
      <c r="AO32" s="1600"/>
      <c r="AP32" s="1600"/>
      <c r="AQ32" s="1600"/>
      <c r="AR32" s="1624">
        <v>0</v>
      </c>
    </row>
    <row s="17442" customFormat="1" customHeight="1" ht="17.25" hidden="1">
      <c r="A33" s="662"/>
      <c r="C33" s="550"/>
      <c r="D33" s="2476">
        <v>4</v>
      </c>
      <c r="E33" s="2484" t="s">
        <v>169</v>
      </c>
      <c r="F33" s="2486" t="s">
        <v>19</v>
      </c>
      <c r="G33" s="2484"/>
      <c r="H33" s="2489"/>
      <c r="I33" s="2491"/>
      <c r="J33" s="2493"/>
      <c r="K33" s="2478"/>
      <c r="L33" s="2478"/>
      <c r="M33" s="2478"/>
      <c r="N33" s="2480"/>
      <c r="O33" s="2478"/>
      <c r="P33" s="2478"/>
      <c r="Q33" s="2478"/>
      <c r="R33" s="2483"/>
      <c r="S33" s="2478"/>
      <c r="T33" s="1761"/>
      <c r="U33" s="1761"/>
      <c r="V33" s="1760"/>
      <c r="W33" s="1637"/>
      <c r="X33" s="1608"/>
      <c r="Y33" s="1608"/>
      <c r="Z33" s="1608"/>
      <c r="AA33" s="1608"/>
      <c r="AB33" s="1608"/>
      <c r="AC33" s="1608" t="s">
        <v>170</v>
      </c>
      <c r="AD33" s="1608" t="s">
        <v>171</v>
      </c>
      <c r="AE33" s="1608" t="s">
        <v>172</v>
      </c>
      <c r="AF33" s="1608" t="s">
        <v>173</v>
      </c>
      <c r="AG33" s="1608" t="s">
        <v>174</v>
      </c>
      <c r="AH33" s="1608"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608" t="str">
        <f>IF($G$33=0,"",$G$33)</f>
        <v/>
      </c>
      <c r="AJ33" s="1608" t="str">
        <f>IF($J$33=0,"",$J$33)</f>
        <v/>
      </c>
      <c r="AK33" s="1608" t="str">
        <f>IF($K$33="нет","без дифференциации",IF($N$33=0,"",$N$33))</f>
        <v/>
      </c>
      <c r="AL33" s="1608" t="str">
        <f>IF($O$33="нет","без дифференциации",IF($R$33=0,"",$R$33))</f>
        <v/>
      </c>
      <c r="AM33" s="1608" t="str">
        <f>IF($S$33="нет","без дифференциации",IF($V$33=0,"",$V$33))</f>
        <v/>
      </c>
      <c r="AN33" s="2113">
        <f>$I$33</f>
        <v>0</v>
      </c>
      <c r="AO33" s="1608" t="str">
        <f>$I$33&amp;"."&amp;$M$33</f>
        <v>.</v>
      </c>
      <c r="AP33" s="1600" t="str">
        <f>$I$33&amp;"."&amp;$M$33&amp;"."&amp;$Q$33</f>
        <v>..</v>
      </c>
      <c r="AQ33" s="1600" t="str">
        <f>$I$33&amp;"."&amp;$M$33&amp;"."&amp;$Q$33&amp;"."&amp;$U$33</f>
        <v>...</v>
      </c>
      <c r="AR33" s="1624">
        <v>0</v>
      </c>
    </row>
    <row s="17442" customFormat="1" customHeight="1" ht="17.25" hidden="1">
      <c r="A34" s="662"/>
      <c r="C34" s="661"/>
      <c r="D34" s="2476"/>
      <c r="E34" s="2484"/>
      <c r="F34" s="2487"/>
      <c r="G34" s="2484"/>
      <c r="H34" s="2490"/>
      <c r="I34" s="2492"/>
      <c r="J34" s="2494"/>
      <c r="K34" s="2479"/>
      <c r="L34" s="2479"/>
      <c r="M34" s="2479"/>
      <c r="N34" s="2481"/>
      <c r="O34" s="2479"/>
      <c r="P34" s="2479"/>
      <c r="Q34" s="2479"/>
      <c r="R34" s="2482"/>
      <c r="S34" s="2479"/>
      <c r="T34" s="1638"/>
      <c r="U34" s="1638"/>
      <c r="V34" s="1638"/>
      <c r="W34" s="1639"/>
      <c r="X34" s="1600"/>
      <c r="Y34" s="1600"/>
      <c r="Z34" s="1600"/>
      <c r="AA34" s="1600"/>
      <c r="AB34" s="1600"/>
      <c r="AC34" s="1600"/>
      <c r="AD34" s="1600"/>
      <c r="AE34" s="1600"/>
      <c r="AF34" s="1600"/>
      <c r="AG34" s="1600"/>
      <c r="AH34" s="1600"/>
      <c r="AI34" s="1600"/>
      <c r="AJ34" s="1600"/>
      <c r="AK34" s="1600"/>
      <c r="AL34" s="1600"/>
      <c r="AM34" s="1600"/>
      <c r="AN34" s="1600"/>
      <c r="AO34" s="1600"/>
      <c r="AP34" s="1600"/>
      <c r="AQ34" s="1600"/>
      <c r="AR34" s="1624">
        <v>0</v>
      </c>
    </row>
    <row s="17442" customFormat="1" customHeight="1" ht="17.25" hidden="1">
      <c r="A35" s="662"/>
      <c r="C35" s="661"/>
      <c r="D35" s="2477"/>
      <c r="E35" s="2485"/>
      <c r="F35" s="2487"/>
      <c r="G35" s="2485"/>
      <c r="H35" s="2490"/>
      <c r="I35" s="2492"/>
      <c r="J35" s="2495"/>
      <c r="K35" s="2479"/>
      <c r="L35" s="2479"/>
      <c r="M35" s="2479"/>
      <c r="N35" s="2482"/>
      <c r="O35" s="2479"/>
      <c r="P35" s="1759"/>
      <c r="Q35" s="1638"/>
      <c r="R35" s="1638"/>
      <c r="S35" s="670"/>
      <c r="T35" s="670"/>
      <c r="U35" s="670"/>
      <c r="V35" s="670"/>
      <c r="W35" s="1639"/>
      <c r="X35" s="1600"/>
      <c r="Y35" s="1600"/>
      <c r="Z35" s="1600"/>
      <c r="AA35" s="1600"/>
      <c r="AB35" s="1600"/>
      <c r="AC35" s="1600"/>
      <c r="AD35" s="1600"/>
      <c r="AE35" s="1600"/>
      <c r="AF35" s="1600"/>
      <c r="AG35" s="1600"/>
      <c r="AH35" s="1600"/>
      <c r="AI35" s="1600"/>
      <c r="AJ35" s="1600"/>
      <c r="AK35" s="1600"/>
      <c r="AL35" s="1600"/>
      <c r="AM35" s="1600"/>
      <c r="AN35" s="1600"/>
      <c r="AO35" s="1600"/>
      <c r="AP35" s="1600"/>
      <c r="AQ35" s="1600"/>
      <c r="AR35" s="1624">
        <v>0</v>
      </c>
    </row>
    <row s="17442" customFormat="1" customHeight="1" ht="17.25" hidden="1">
      <c r="A36" s="662"/>
      <c r="C36" s="661"/>
      <c r="D36" s="2477"/>
      <c r="E36" s="2485"/>
      <c r="F36" s="2487"/>
      <c r="G36" s="2485"/>
      <c r="H36" s="2490"/>
      <c r="I36" s="2492"/>
      <c r="J36" s="2495"/>
      <c r="K36" s="2479"/>
      <c r="L36" s="1638"/>
      <c r="M36" s="1638"/>
      <c r="N36" s="1638"/>
      <c r="O36" s="1638"/>
      <c r="P36" s="1638"/>
      <c r="Q36" s="1638"/>
      <c r="R36" s="1638"/>
      <c r="S36" s="670"/>
      <c r="T36" s="670"/>
      <c r="U36" s="670"/>
      <c r="V36" s="670"/>
      <c r="W36" s="1639"/>
      <c r="X36" s="1600"/>
      <c r="Y36" s="1600"/>
      <c r="Z36" s="1600"/>
      <c r="AA36" s="1600"/>
      <c r="AB36" s="1600"/>
      <c r="AC36" s="1600"/>
      <c r="AD36" s="1600"/>
      <c r="AE36" s="1600"/>
      <c r="AF36" s="1600"/>
      <c r="AG36" s="1600"/>
      <c r="AH36" s="1600"/>
      <c r="AI36" s="1600"/>
      <c r="AJ36" s="1600"/>
      <c r="AK36" s="1600"/>
      <c r="AL36" s="1600"/>
      <c r="AM36" s="1600"/>
      <c r="AN36" s="1600"/>
      <c r="AO36" s="1600"/>
      <c r="AP36" s="1600"/>
      <c r="AQ36" s="1600"/>
      <c r="AR36" s="1624">
        <v>0</v>
      </c>
    </row>
    <row s="17442" customFormat="1" customHeight="1" ht="17.25" hidden="1">
      <c r="A37" s="662"/>
      <c r="C37" s="661"/>
      <c r="D37" s="2477"/>
      <c r="E37" s="2485"/>
      <c r="F37" s="2488"/>
      <c r="G37" s="2485"/>
      <c r="H37" s="1640"/>
      <c r="I37" s="1641"/>
      <c r="J37" s="1641"/>
      <c r="K37" s="1641"/>
      <c r="L37" s="1641"/>
      <c r="M37" s="1641"/>
      <c r="N37" s="1641"/>
      <c r="O37" s="1641"/>
      <c r="P37" s="1641"/>
      <c r="Q37" s="1641"/>
      <c r="R37" s="1641"/>
      <c r="S37" s="1642"/>
      <c r="T37" s="1642"/>
      <c r="U37" s="1642"/>
      <c r="V37" s="1642"/>
      <c r="W37" s="1643"/>
      <c r="X37" s="1600"/>
      <c r="Y37" s="1600"/>
      <c r="Z37" s="1600"/>
      <c r="AA37" s="1600"/>
      <c r="AB37" s="1600"/>
      <c r="AC37" s="1600"/>
      <c r="AD37" s="1600"/>
      <c r="AE37" s="1600"/>
      <c r="AF37" s="1600"/>
      <c r="AG37" s="1600"/>
      <c r="AH37" s="1600"/>
      <c r="AI37" s="1600"/>
      <c r="AJ37" s="1600"/>
      <c r="AK37" s="1600"/>
      <c r="AL37" s="1600"/>
      <c r="AM37" s="1600"/>
      <c r="AN37" s="1600"/>
      <c r="AO37" s="1600"/>
      <c r="AP37" s="1600"/>
      <c r="AQ37" s="1600"/>
      <c r="AR37" s="1624">
        <v>0</v>
      </c>
    </row>
    <row s="17442" customFormat="1" customHeight="1" ht="17.25" hidden="1">
      <c r="A38" s="662"/>
      <c r="C38" s="550"/>
      <c r="D38" s="2476">
        <v>5</v>
      </c>
      <c r="E38" s="2484" t="s">
        <v>175</v>
      </c>
      <c r="F38" s="2486" t="s">
        <v>19</v>
      </c>
      <c r="G38" s="2484"/>
      <c r="H38" s="2489"/>
      <c r="I38" s="2491"/>
      <c r="J38" s="2493"/>
      <c r="K38" s="2478"/>
      <c r="L38" s="2478"/>
      <c r="M38" s="2478"/>
      <c r="N38" s="2480"/>
      <c r="O38" s="2478"/>
      <c r="P38" s="2478"/>
      <c r="Q38" s="2478"/>
      <c r="R38" s="2483"/>
      <c r="S38" s="2478"/>
      <c r="T38" s="1761"/>
      <c r="U38" s="1761"/>
      <c r="V38" s="1760"/>
      <c r="W38" s="1637"/>
      <c r="X38" s="1608"/>
      <c r="Y38" s="1608"/>
      <c r="Z38" s="1608"/>
      <c r="AA38" s="1608"/>
      <c r="AB38" s="1608"/>
      <c r="AC38" s="1608" t="s">
        <v>176</v>
      </c>
      <c r="AD38" s="1608" t="s">
        <v>177</v>
      </c>
      <c r="AE38" s="1608" t="s">
        <v>178</v>
      </c>
      <c r="AF38" s="1608" t="s">
        <v>179</v>
      </c>
      <c r="AG38" s="1608" t="s">
        <v>180</v>
      </c>
      <c r="AH38" s="1608" t="str">
        <f>IF($E$38=0,"",$E$38)</f>
        <v>Тарифы на услуги по передаче тепловой энергии</v>
      </c>
      <c r="AI38" s="1608" t="str">
        <f>IF($G$38=0,"",$G$38)</f>
        <v/>
      </c>
      <c r="AJ38" s="1608" t="str">
        <f>IF($J$38=0,"",$J$38)</f>
        <v/>
      </c>
      <c r="AK38" s="1608" t="str">
        <f>IF($K$38="нет","без дифференциации",IF($N$38=0,"",$N$38))</f>
        <v/>
      </c>
      <c r="AL38" s="1608" t="str">
        <f>IF($O$38="нет","без дифференциации",IF($R$38=0,"",$R$38))</f>
        <v/>
      </c>
      <c r="AM38" s="1608" t="str">
        <f>IF($S$38="нет","без дифференциации",IF($V$38=0,"",$V$38))</f>
        <v/>
      </c>
      <c r="AN38" s="2113">
        <f>$I$38</f>
        <v>0</v>
      </c>
      <c r="AO38" s="1608" t="str">
        <f>$I$38&amp;"."&amp;$M$38</f>
        <v>.</v>
      </c>
      <c r="AP38" s="1600" t="str">
        <f>$I$38&amp;"."&amp;$M$38&amp;"."&amp;$Q$38</f>
        <v>..</v>
      </c>
      <c r="AQ38" s="1600" t="str">
        <f>$I$38&amp;"."&amp;$M$38&amp;"."&amp;$Q$38&amp;"."&amp;$U$38</f>
        <v>...</v>
      </c>
      <c r="AR38" s="1624">
        <v>0</v>
      </c>
    </row>
    <row s="17442" customFormat="1" customHeight="1" ht="17.25" hidden="1">
      <c r="A39" s="662"/>
      <c r="C39" s="661"/>
      <c r="D39" s="2476"/>
      <c r="E39" s="2484"/>
      <c r="F39" s="2487"/>
      <c r="G39" s="2484"/>
      <c r="H39" s="2490"/>
      <c r="I39" s="2492"/>
      <c r="J39" s="2494"/>
      <c r="K39" s="2479"/>
      <c r="L39" s="2479"/>
      <c r="M39" s="2479"/>
      <c r="N39" s="2481"/>
      <c r="O39" s="2479"/>
      <c r="P39" s="2479"/>
      <c r="Q39" s="2479"/>
      <c r="R39" s="2482"/>
      <c r="S39" s="2479"/>
      <c r="T39" s="1638"/>
      <c r="U39" s="1638"/>
      <c r="V39" s="1638"/>
      <c r="W39" s="1639"/>
      <c r="X39" s="1600"/>
      <c r="Y39" s="1600"/>
      <c r="Z39" s="1600"/>
      <c r="AA39" s="1600"/>
      <c r="AB39" s="1600"/>
      <c r="AC39" s="1600"/>
      <c r="AD39" s="1600"/>
      <c r="AE39" s="1600"/>
      <c r="AF39" s="1600"/>
      <c r="AG39" s="1600"/>
      <c r="AH39" s="1600"/>
      <c r="AI39" s="1600"/>
      <c r="AJ39" s="1600"/>
      <c r="AK39" s="1600"/>
      <c r="AL39" s="1600"/>
      <c r="AM39" s="1600"/>
      <c r="AN39" s="1600"/>
      <c r="AO39" s="1600"/>
      <c r="AP39" s="1600"/>
      <c r="AQ39" s="1600"/>
      <c r="AR39" s="1624">
        <v>0</v>
      </c>
    </row>
    <row s="17442" customFormat="1" customHeight="1" ht="17.25" hidden="1">
      <c r="A40" s="662"/>
      <c r="C40" s="661"/>
      <c r="D40" s="2477"/>
      <c r="E40" s="2485"/>
      <c r="F40" s="2487"/>
      <c r="G40" s="2485"/>
      <c r="H40" s="2490"/>
      <c r="I40" s="2492"/>
      <c r="J40" s="2495"/>
      <c r="K40" s="2479"/>
      <c r="L40" s="2479"/>
      <c r="M40" s="2479"/>
      <c r="N40" s="2482"/>
      <c r="O40" s="2479"/>
      <c r="P40" s="1759"/>
      <c r="Q40" s="1638"/>
      <c r="R40" s="1638"/>
      <c r="S40" s="670"/>
      <c r="T40" s="670"/>
      <c r="U40" s="670"/>
      <c r="V40" s="670"/>
      <c r="W40" s="1639"/>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24">
        <v>0</v>
      </c>
    </row>
    <row s="17442" customFormat="1" customHeight="1" ht="17.25" hidden="1">
      <c r="A41" s="662"/>
      <c r="C41" s="661"/>
      <c r="D41" s="2477"/>
      <c r="E41" s="2485"/>
      <c r="F41" s="2487"/>
      <c r="G41" s="2485"/>
      <c r="H41" s="2490"/>
      <c r="I41" s="2492"/>
      <c r="J41" s="2495"/>
      <c r="K41" s="2479"/>
      <c r="L41" s="1638"/>
      <c r="M41" s="1638"/>
      <c r="N41" s="1638"/>
      <c r="O41" s="1638"/>
      <c r="P41" s="1638"/>
      <c r="Q41" s="1638"/>
      <c r="R41" s="1638"/>
      <c r="S41" s="670"/>
      <c r="T41" s="670"/>
      <c r="U41" s="670"/>
      <c r="V41" s="670"/>
      <c r="W41" s="1639"/>
      <c r="X41" s="1600"/>
      <c r="Y41" s="1600"/>
      <c r="Z41" s="1600"/>
      <c r="AA41" s="1600"/>
      <c r="AB41" s="1600"/>
      <c r="AC41" s="1600"/>
      <c r="AD41" s="1600"/>
      <c r="AE41" s="1600"/>
      <c r="AF41" s="1600"/>
      <c r="AG41" s="1600"/>
      <c r="AH41" s="1600"/>
      <c r="AI41" s="1600"/>
      <c r="AJ41" s="1600"/>
      <c r="AK41" s="1600"/>
      <c r="AL41" s="1600"/>
      <c r="AM41" s="1600"/>
      <c r="AN41" s="1600"/>
      <c r="AO41" s="1600"/>
      <c r="AP41" s="1600"/>
      <c r="AQ41" s="1600"/>
      <c r="AR41" s="1624">
        <v>0</v>
      </c>
    </row>
    <row s="17442" customFormat="1" customHeight="1" ht="17.25" hidden="1">
      <c r="A42" s="662"/>
      <c r="C42" s="661"/>
      <c r="D42" s="2477"/>
      <c r="E42" s="2485"/>
      <c r="F42" s="2488"/>
      <c r="G42" s="2485"/>
      <c r="H42" s="1640"/>
      <c r="I42" s="1641"/>
      <c r="J42" s="1641"/>
      <c r="K42" s="1641"/>
      <c r="L42" s="1641"/>
      <c r="M42" s="1641"/>
      <c r="N42" s="1641"/>
      <c r="O42" s="1641"/>
      <c r="P42" s="1641"/>
      <c r="Q42" s="1641"/>
      <c r="R42" s="1641"/>
      <c r="S42" s="1642"/>
      <c r="T42" s="1642"/>
      <c r="U42" s="1642"/>
      <c r="V42" s="1642"/>
      <c r="W42" s="1643"/>
      <c r="X42" s="1600"/>
      <c r="Y42" s="1600"/>
      <c r="Z42" s="1600"/>
      <c r="AA42" s="1600"/>
      <c r="AB42" s="1600"/>
      <c r="AC42" s="1600"/>
      <c r="AD42" s="1600"/>
      <c r="AE42" s="1600"/>
      <c r="AF42" s="1600"/>
      <c r="AG42" s="1600"/>
      <c r="AH42" s="1600"/>
      <c r="AI42" s="1600"/>
      <c r="AJ42" s="1600"/>
      <c r="AK42" s="1600"/>
      <c r="AL42" s="1600"/>
      <c r="AM42" s="1600"/>
      <c r="AN42" s="1600"/>
      <c r="AO42" s="1600"/>
      <c r="AP42" s="1600"/>
      <c r="AQ42" s="1600"/>
      <c r="AR42" s="1624">
        <v>0</v>
      </c>
    </row>
    <row s="17442" customFormat="1" customHeight="1" ht="17.25" hidden="1">
      <c r="A43" s="662"/>
      <c r="C43" s="550"/>
      <c r="D43" s="2476">
        <v>6</v>
      </c>
      <c r="E43" s="2484" t="s">
        <v>181</v>
      </c>
      <c r="F43" s="2486" t="s">
        <v>19</v>
      </c>
      <c r="G43" s="2484"/>
      <c r="H43" s="2489"/>
      <c r="I43" s="2491"/>
      <c r="J43" s="2493"/>
      <c r="K43" s="2478"/>
      <c r="L43" s="2478"/>
      <c r="M43" s="2478"/>
      <c r="N43" s="2480"/>
      <c r="O43" s="2478"/>
      <c r="P43" s="2478"/>
      <c r="Q43" s="2478"/>
      <c r="R43" s="2483"/>
      <c r="S43" s="2478"/>
      <c r="T43" s="1761"/>
      <c r="U43" s="1761"/>
      <c r="V43" s="1760"/>
      <c r="W43" s="1637"/>
      <c r="X43" s="1608"/>
      <c r="Y43" s="1608"/>
      <c r="Z43" s="1608"/>
      <c r="AA43" s="1608"/>
      <c r="AB43" s="1608"/>
      <c r="AC43" s="1608" t="s">
        <v>182</v>
      </c>
      <c r="AD43" s="1608" t="s">
        <v>183</v>
      </c>
      <c r="AE43" s="1608" t="s">
        <v>184</v>
      </c>
      <c r="AF43" s="1608" t="s">
        <v>185</v>
      </c>
      <c r="AG43" s="1608" t="s">
        <v>186</v>
      </c>
      <c r="AH43" s="1608" t="str">
        <f>IF($E$43=0,"",$E$43)</f>
        <v>Тарифы на услуги по передаче теплоносителя</v>
      </c>
      <c r="AI43" s="1608" t="str">
        <f>IF($G$43=0,"",$G$43)</f>
        <v/>
      </c>
      <c r="AJ43" s="1608" t="str">
        <f>IF($J$43=0,"",$J$43)</f>
        <v/>
      </c>
      <c r="AK43" s="1608" t="str">
        <f>IF($K$43="нет","без дифференциации",IF($N$43=0,"",$N$43))</f>
        <v/>
      </c>
      <c r="AL43" s="1608" t="str">
        <f>IF($O$43="нет","без дифференциации",IF($R$43=0,"",$R$43))</f>
        <v/>
      </c>
      <c r="AM43" s="1608" t="str">
        <f>IF($S$43="нет","без дифференциации",IF($V$43=0,"",$V$43))</f>
        <v/>
      </c>
      <c r="AN43" s="2113">
        <f>$I$43</f>
        <v>0</v>
      </c>
      <c r="AO43" s="1608" t="str">
        <f>$I$43&amp;"."&amp;$M$43</f>
        <v>.</v>
      </c>
      <c r="AP43" s="1600" t="str">
        <f>$I$43&amp;"."&amp;$M$43&amp;"."&amp;$Q$43</f>
        <v>..</v>
      </c>
      <c r="AQ43" s="1600" t="str">
        <f>$I$43&amp;"."&amp;$M$43&amp;"."&amp;$Q$43&amp;"."&amp;$U$43</f>
        <v>...</v>
      </c>
      <c r="AR43" s="1624">
        <v>0</v>
      </c>
    </row>
    <row s="17442" customFormat="1" customHeight="1" ht="17.25" hidden="1">
      <c r="A44" s="662"/>
      <c r="C44" s="661"/>
      <c r="D44" s="2476"/>
      <c r="E44" s="2484"/>
      <c r="F44" s="2487"/>
      <c r="G44" s="2484"/>
      <c r="H44" s="2490"/>
      <c r="I44" s="2492"/>
      <c r="J44" s="2494"/>
      <c r="K44" s="2479"/>
      <c r="L44" s="2479"/>
      <c r="M44" s="2479"/>
      <c r="N44" s="2481"/>
      <c r="O44" s="2479"/>
      <c r="P44" s="2479"/>
      <c r="Q44" s="2479"/>
      <c r="R44" s="2482"/>
      <c r="S44" s="2479"/>
      <c r="T44" s="1638"/>
      <c r="U44" s="1638"/>
      <c r="V44" s="1638"/>
      <c r="W44" s="1639"/>
      <c r="X44" s="1600"/>
      <c r="Y44" s="1600"/>
      <c r="Z44" s="1600"/>
      <c r="AA44" s="1600"/>
      <c r="AB44" s="1600"/>
      <c r="AC44" s="1600"/>
      <c r="AD44" s="1600"/>
      <c r="AE44" s="1600"/>
      <c r="AF44" s="1600"/>
      <c r="AG44" s="1600"/>
      <c r="AH44" s="1600"/>
      <c r="AI44" s="1600"/>
      <c r="AJ44" s="1600"/>
      <c r="AK44" s="1600"/>
      <c r="AL44" s="1600"/>
      <c r="AM44" s="1600"/>
      <c r="AN44" s="1600"/>
      <c r="AO44" s="1600"/>
      <c r="AP44" s="1600"/>
      <c r="AQ44" s="1600"/>
      <c r="AR44" s="1624">
        <v>0</v>
      </c>
    </row>
    <row s="17442" customFormat="1" customHeight="1" ht="17.25" hidden="1">
      <c r="A45" s="662"/>
      <c r="C45" s="661"/>
      <c r="D45" s="2477"/>
      <c r="E45" s="2485"/>
      <c r="F45" s="2487"/>
      <c r="G45" s="2485"/>
      <c r="H45" s="2490"/>
      <c r="I45" s="2492"/>
      <c r="J45" s="2495"/>
      <c r="K45" s="2479"/>
      <c r="L45" s="2479"/>
      <c r="M45" s="2479"/>
      <c r="N45" s="2482"/>
      <c r="O45" s="2479"/>
      <c r="P45" s="1759"/>
      <c r="Q45" s="1638"/>
      <c r="R45" s="1638"/>
      <c r="S45" s="670"/>
      <c r="T45" s="670"/>
      <c r="U45" s="670"/>
      <c r="V45" s="670"/>
      <c r="W45" s="1639"/>
      <c r="X45" s="1600"/>
      <c r="Y45" s="1600"/>
      <c r="Z45" s="1600"/>
      <c r="AA45" s="1600"/>
      <c r="AB45" s="1600"/>
      <c r="AC45" s="1600"/>
      <c r="AD45" s="1600"/>
      <c r="AE45" s="1600"/>
      <c r="AF45" s="1600"/>
      <c r="AG45" s="1600"/>
      <c r="AH45" s="1600"/>
      <c r="AI45" s="1600"/>
      <c r="AJ45" s="1600"/>
      <c r="AK45" s="1600"/>
      <c r="AL45" s="1600"/>
      <c r="AM45" s="1600"/>
      <c r="AN45" s="1600"/>
      <c r="AO45" s="1600"/>
      <c r="AP45" s="1600"/>
      <c r="AQ45" s="1600"/>
      <c r="AR45" s="1624">
        <v>0</v>
      </c>
    </row>
    <row s="17442" customFormat="1" customHeight="1" ht="17.25" hidden="1">
      <c r="A46" s="662"/>
      <c r="C46" s="550"/>
      <c r="D46" s="2477"/>
      <c r="E46" s="2485"/>
      <c r="F46" s="2487"/>
      <c r="G46" s="2485"/>
      <c r="H46" s="2490"/>
      <c r="I46" s="2492"/>
      <c r="J46" s="2495"/>
      <c r="K46" s="2479"/>
      <c r="L46" s="1638"/>
      <c r="M46" s="1638"/>
      <c r="N46" s="1638"/>
      <c r="O46" s="1638"/>
      <c r="P46" s="1638"/>
      <c r="Q46" s="1638"/>
      <c r="R46" s="1638"/>
      <c r="S46" s="670"/>
      <c r="T46" s="670"/>
      <c r="U46" s="670"/>
      <c r="V46" s="670"/>
      <c r="W46" s="1639"/>
      <c r="Y46" s="1608"/>
      <c r="Z46" s="1608"/>
      <c r="AA46" s="1608"/>
      <c r="AB46" s="1608"/>
      <c r="AC46" s="1608"/>
      <c r="AD46" s="1608"/>
      <c r="AE46" s="1608"/>
      <c r="AF46" s="1608"/>
      <c r="AG46" s="1608"/>
      <c r="AH46" s="1608"/>
      <c r="AI46" s="1608"/>
      <c r="AJ46" s="1608"/>
      <c r="AK46" s="1608"/>
      <c r="AL46" s="1608"/>
      <c r="AM46" s="1608"/>
      <c r="AN46" s="1608"/>
      <c r="AO46" s="1608"/>
      <c r="AP46" s="1608"/>
      <c r="AQ46" s="1608"/>
      <c r="AR46" s="1667">
        <v>0</v>
      </c>
    </row>
    <row s="17442" customFormat="1" customHeight="1" ht="17.25" hidden="1">
      <c r="A47" s="662"/>
      <c r="C47" s="661"/>
      <c r="D47" s="2477"/>
      <c r="E47" s="2485"/>
      <c r="F47" s="2488"/>
      <c r="G47" s="2485"/>
      <c r="H47" s="1640"/>
      <c r="I47" s="1641"/>
      <c r="J47" s="1641"/>
      <c r="K47" s="1641"/>
      <c r="L47" s="1641"/>
      <c r="M47" s="1641"/>
      <c r="N47" s="1641"/>
      <c r="O47" s="1641"/>
      <c r="P47" s="1641"/>
      <c r="Q47" s="1641"/>
      <c r="R47" s="1641"/>
      <c r="S47" s="1642"/>
      <c r="T47" s="1642"/>
      <c r="U47" s="1642"/>
      <c r="V47" s="1642"/>
      <c r="W47" s="1643"/>
      <c r="X47" s="1600"/>
      <c r="Y47" s="1600"/>
      <c r="Z47" s="1600"/>
      <c r="AA47" s="1600"/>
      <c r="AB47" s="1600"/>
      <c r="AC47" s="1600"/>
      <c r="AD47" s="1600"/>
      <c r="AE47" s="1600"/>
      <c r="AF47" s="1600"/>
      <c r="AG47" s="1600"/>
      <c r="AH47" s="1600"/>
      <c r="AI47" s="1600"/>
      <c r="AJ47" s="1600"/>
      <c r="AK47" s="1600"/>
      <c r="AL47" s="1600"/>
      <c r="AM47" s="1600"/>
      <c r="AN47" s="1600"/>
      <c r="AO47" s="1600"/>
      <c r="AP47" s="1600"/>
      <c r="AQ47" s="1600"/>
      <c r="AR47" s="1624">
        <v>0</v>
      </c>
    </row>
    <row s="17442" customFormat="1" customHeight="1" ht="17.25" hidden="1">
      <c r="A48" s="662"/>
      <c r="C48" s="550"/>
      <c r="D48" s="2507">
        <v>7</v>
      </c>
      <c r="E48" s="2510" t="s">
        <v>187</v>
      </c>
      <c r="F48" s="2486" t="s">
        <v>19</v>
      </c>
      <c r="G48" s="2510"/>
      <c r="H48" s="2489"/>
      <c r="I48" s="2491"/>
      <c r="J48" s="2493"/>
      <c r="K48" s="2478"/>
      <c r="L48" s="2478"/>
      <c r="M48" s="2478"/>
      <c r="N48" s="2480"/>
      <c r="O48" s="2478"/>
      <c r="P48" s="2478"/>
      <c r="Q48" s="2478"/>
      <c r="R48" s="2483"/>
      <c r="S48" s="2478"/>
      <c r="T48" s="1761"/>
      <c r="U48" s="1761"/>
      <c r="V48" s="1760"/>
      <c r="W48" s="1637"/>
      <c r="X48" s="1608"/>
      <c r="Y48" s="1608"/>
      <c r="Z48" s="1608"/>
      <c r="AA48" s="1608"/>
      <c r="AB48" s="1608"/>
      <c r="AC48" s="1608" t="s">
        <v>188</v>
      </c>
      <c r="AD48" s="1608" t="s">
        <v>189</v>
      </c>
      <c r="AE48" s="1608" t="s">
        <v>190</v>
      </c>
      <c r="AF48" s="1608" t="s">
        <v>191</v>
      </c>
      <c r="AG48" s="1608" t="s">
        <v>192</v>
      </c>
      <c r="AH48" s="1608" t="str">
        <f>IF($E$48=0,"",$E$48)</f>
        <v>Плата за услуги по поддержанию резервной тепловой мощности при отсутствии потребления тепловой энергии</v>
      </c>
      <c r="AI48" s="1608" t="str">
        <f>IF($G$48=0,"",$G$48)</f>
        <v/>
      </c>
      <c r="AJ48" s="1608" t="str">
        <f>IF($J$48=0,"",$J$48)</f>
        <v/>
      </c>
      <c r="AK48" s="1608" t="str">
        <f>IF($K$48="нет","без дифференциации",IF($N$48=0,"",$N$48))</f>
        <v/>
      </c>
      <c r="AL48" s="1608" t="str">
        <f>IF($O$48="нет","без дифференциации",IF($R$48=0,"",$R$48))</f>
        <v/>
      </c>
      <c r="AM48" s="1608" t="str">
        <f>IF($S$48="нет","без дифференциации",IF($V$48=0,"",$V$48))</f>
        <v/>
      </c>
      <c r="AN48" s="2113">
        <f>$I$48</f>
        <v>0</v>
      </c>
      <c r="AO48" s="1608" t="str">
        <f>$I$48&amp;"."&amp;$M$48</f>
        <v>.</v>
      </c>
      <c r="AP48" s="1600" t="str">
        <f>$I$48&amp;"."&amp;$M$48&amp;"."&amp;$Q$48</f>
        <v>..</v>
      </c>
      <c r="AQ48" s="1600" t="str">
        <f>$I$48&amp;"."&amp;$M$48&amp;"."&amp;$Q$48&amp;"."&amp;$U$48</f>
        <v>...</v>
      </c>
      <c r="AR48" s="1649">
        <v>0</v>
      </c>
    </row>
    <row s="17442" customFormat="1" customHeight="1" ht="17.25" hidden="1">
      <c r="A49" s="662"/>
      <c r="C49" s="661"/>
      <c r="D49" s="2508"/>
      <c r="E49" s="2511"/>
      <c r="F49" s="2487"/>
      <c r="G49" s="2511"/>
      <c r="H49" s="2490"/>
      <c r="I49" s="2492"/>
      <c r="J49" s="2494"/>
      <c r="K49" s="2479"/>
      <c r="L49" s="2479"/>
      <c r="M49" s="2479"/>
      <c r="N49" s="2481"/>
      <c r="O49" s="2479"/>
      <c r="P49" s="2479"/>
      <c r="Q49" s="2479"/>
      <c r="R49" s="2482"/>
      <c r="S49" s="2479"/>
      <c r="T49" s="1638"/>
      <c r="U49" s="1638"/>
      <c r="V49" s="1638"/>
      <c r="W49" s="1639"/>
      <c r="X49" s="1600"/>
      <c r="Y49" s="1600"/>
      <c r="Z49" s="1600"/>
      <c r="AA49" s="1600"/>
      <c r="AB49" s="1600"/>
      <c r="AC49" s="1600"/>
      <c r="AD49" s="1600"/>
      <c r="AE49" s="1600"/>
      <c r="AF49" s="1600"/>
      <c r="AG49" s="1600"/>
      <c r="AH49" s="1600"/>
      <c r="AI49" s="1600"/>
      <c r="AJ49" s="1600"/>
      <c r="AK49" s="1600"/>
      <c r="AL49" s="1600"/>
      <c r="AM49" s="1600"/>
      <c r="AN49" s="1600"/>
      <c r="AO49" s="1600"/>
      <c r="AP49" s="1600"/>
      <c r="AQ49" s="1600"/>
      <c r="AR49" s="1649">
        <v>0</v>
      </c>
    </row>
    <row s="17442" customFormat="1" customHeight="1" ht="17.25" hidden="1">
      <c r="A50" s="662"/>
      <c r="C50" s="661"/>
      <c r="D50" s="2508"/>
      <c r="E50" s="2511"/>
      <c r="F50" s="2487"/>
      <c r="G50" s="2511"/>
      <c r="H50" s="2490"/>
      <c r="I50" s="2492"/>
      <c r="J50" s="2495"/>
      <c r="K50" s="2479"/>
      <c r="L50" s="2479"/>
      <c r="M50" s="2479"/>
      <c r="N50" s="2482"/>
      <c r="O50" s="2479"/>
      <c r="P50" s="1759"/>
      <c r="Q50" s="1638"/>
      <c r="R50" s="1638"/>
      <c r="S50" s="670"/>
      <c r="T50" s="670"/>
      <c r="U50" s="670"/>
      <c r="V50" s="670"/>
      <c r="W50" s="1639"/>
      <c r="X50" s="1600"/>
      <c r="Y50" s="1600"/>
      <c r="Z50" s="1600"/>
      <c r="AA50" s="1600"/>
      <c r="AB50" s="1600"/>
      <c r="AC50" s="1600"/>
      <c r="AD50" s="1600"/>
      <c r="AE50" s="1600"/>
      <c r="AF50" s="1600"/>
      <c r="AG50" s="1600"/>
      <c r="AH50" s="1600"/>
      <c r="AI50" s="1600"/>
      <c r="AJ50" s="1600"/>
      <c r="AK50" s="1600"/>
      <c r="AL50" s="1600"/>
      <c r="AM50" s="1600"/>
      <c r="AN50" s="1600"/>
      <c r="AO50" s="1600"/>
      <c r="AP50" s="1600"/>
      <c r="AQ50" s="1600"/>
      <c r="AR50" s="1649">
        <v>0</v>
      </c>
    </row>
    <row s="17442" customFormat="1" customHeight="1" ht="17.25" hidden="1">
      <c r="A51" s="662"/>
      <c r="C51" s="550"/>
      <c r="D51" s="2508"/>
      <c r="E51" s="2511"/>
      <c r="F51" s="2487"/>
      <c r="G51" s="2511"/>
      <c r="H51" s="2490"/>
      <c r="I51" s="2492"/>
      <c r="J51" s="2495"/>
      <c r="K51" s="2479"/>
      <c r="L51" s="1638"/>
      <c r="M51" s="1638"/>
      <c r="N51" s="1638"/>
      <c r="O51" s="1638"/>
      <c r="P51" s="1638"/>
      <c r="Q51" s="1638"/>
      <c r="R51" s="1638"/>
      <c r="S51" s="670"/>
      <c r="T51" s="670"/>
      <c r="U51" s="670"/>
      <c r="V51" s="670"/>
      <c r="W51" s="1639"/>
      <c r="Y51" s="1608"/>
      <c r="Z51" s="1608"/>
      <c r="AA51" s="1608"/>
      <c r="AB51" s="1608"/>
      <c r="AC51" s="1608"/>
      <c r="AD51" s="1608"/>
      <c r="AE51" s="1608"/>
      <c r="AF51" s="1608"/>
      <c r="AG51" s="1608"/>
      <c r="AH51" s="1608"/>
      <c r="AI51" s="1608"/>
      <c r="AJ51" s="1608"/>
      <c r="AK51" s="1608"/>
      <c r="AL51" s="1608"/>
      <c r="AM51" s="1608"/>
      <c r="AN51" s="1608"/>
      <c r="AO51" s="1608"/>
      <c r="AP51" s="1608"/>
      <c r="AQ51" s="1608"/>
      <c r="AR51" s="1667">
        <v>0</v>
      </c>
    </row>
    <row s="17442" customFormat="1" customHeight="1" ht="17.25" hidden="1">
      <c r="A52" s="662"/>
      <c r="C52" s="661"/>
      <c r="D52" s="2509"/>
      <c r="E52" s="2512"/>
      <c r="F52" s="2488"/>
      <c r="G52" s="2512"/>
      <c r="H52" s="1640"/>
      <c r="I52" s="1641"/>
      <c r="J52" s="1641"/>
      <c r="K52" s="1641"/>
      <c r="L52" s="1641"/>
      <c r="M52" s="1641"/>
      <c r="N52" s="1641"/>
      <c r="O52" s="1641"/>
      <c r="P52" s="1641"/>
      <c r="Q52" s="1641"/>
      <c r="R52" s="1641"/>
      <c r="S52" s="1642"/>
      <c r="T52" s="1642"/>
      <c r="U52" s="1642"/>
      <c r="V52" s="1642"/>
      <c r="W52" s="1643"/>
      <c r="X52" s="1600"/>
      <c r="Y52" s="1600"/>
      <c r="Z52" s="1600"/>
      <c r="AA52" s="1600"/>
      <c r="AB52" s="1600"/>
      <c r="AC52" s="1600"/>
      <c r="AD52" s="1600"/>
      <c r="AE52" s="1600"/>
      <c r="AF52" s="1600"/>
      <c r="AG52" s="1600"/>
      <c r="AH52" s="1600"/>
      <c r="AI52" s="1600"/>
      <c r="AJ52" s="1600"/>
      <c r="AK52" s="1600"/>
      <c r="AL52" s="1600"/>
      <c r="AM52" s="1600"/>
      <c r="AN52" s="1600"/>
      <c r="AO52" s="1600"/>
      <c r="AP52" s="1600"/>
      <c r="AQ52" s="1600"/>
      <c r="AR52" s="1649">
        <v>0</v>
      </c>
    </row>
    <row s="17442" customFormat="1" customHeight="1" ht="17.25" hidden="1">
      <c r="A53" s="662"/>
      <c r="C53" s="550"/>
      <c r="D53" s="2476">
        <v>8</v>
      </c>
      <c r="E53" s="2484" t="s">
        <v>193</v>
      </c>
      <c r="F53" s="2486" t="s">
        <v>19</v>
      </c>
      <c r="G53" s="2484"/>
      <c r="H53" s="2489"/>
      <c r="I53" s="2491"/>
      <c r="J53" s="2493"/>
      <c r="K53" s="2478"/>
      <c r="L53" s="2478"/>
      <c r="M53" s="2478"/>
      <c r="N53" s="2480"/>
      <c r="O53" s="2478"/>
      <c r="P53" s="2478"/>
      <c r="Q53" s="2478"/>
      <c r="R53" s="2483"/>
      <c r="S53" s="2478"/>
      <c r="T53" s="1811"/>
      <c r="U53" s="1811"/>
      <c r="V53" s="1813"/>
      <c r="W53" s="1637"/>
      <c r="X53" s="1608"/>
      <c r="Y53" s="1608"/>
      <c r="Z53" s="1608"/>
      <c r="AA53" s="1608"/>
      <c r="AB53" s="1608"/>
      <c r="AC53" s="1608" t="s">
        <v>194</v>
      </c>
      <c r="AD53" s="1608" t="s">
        <v>195</v>
      </c>
      <c r="AE53" s="1608" t="s">
        <v>196</v>
      </c>
      <c r="AF53" s="1608" t="s">
        <v>197</v>
      </c>
      <c r="AG53" s="1608" t="s">
        <v>198</v>
      </c>
      <c r="AH53" s="1608" t="str">
        <f>IF($E$53=0,"",$E$53)</f>
        <v>Плата за подключение (технологическое присоединение) к системе теплоснабжения</v>
      </c>
      <c r="AI53" s="1608" t="str">
        <f>IF($G$53=0,"",$G$53)</f>
        <v/>
      </c>
      <c r="AJ53" s="1608" t="str">
        <f>IF($J$53=0,"",$J$53)</f>
        <v/>
      </c>
      <c r="AK53" s="1608" t="str">
        <f>IF($K$53="нет","без дифференциации",IF($N$53=0,"",$N$53))</f>
        <v/>
      </c>
      <c r="AL53" s="1608" t="str">
        <f>IF($O$53="нет","без дифференциации",IF($R$53=0,"",$R$53))</f>
        <v/>
      </c>
      <c r="AM53" s="1608" t="str">
        <f>IF($S$53="нет","без дифференциации",IF($V$53=0,"",$V$53))</f>
        <v/>
      </c>
      <c r="AN53" s="2113">
        <f>$I$53</f>
        <v>0</v>
      </c>
      <c r="AO53" s="1608" t="str">
        <f>$I$53&amp;"."&amp;$M$53</f>
        <v>.</v>
      </c>
      <c r="AP53" s="1600" t="str">
        <f>$I$53&amp;"."&amp;$M$53&amp;"."&amp;$Q$53</f>
        <v>..</v>
      </c>
      <c r="AQ53" s="1600" t="str">
        <f>$I$53&amp;"."&amp;$M$53&amp;"."&amp;$Q$53&amp;"."&amp;$U$53</f>
        <v>...</v>
      </c>
      <c r="AR53" s="1649">
        <v>0</v>
      </c>
    </row>
    <row s="17442" customFormat="1" customHeight="1" ht="17.25" hidden="1">
      <c r="A54" s="662"/>
      <c r="C54" s="661"/>
      <c r="D54" s="2476"/>
      <c r="E54" s="2484"/>
      <c r="F54" s="2487"/>
      <c r="G54" s="2484"/>
      <c r="H54" s="2490"/>
      <c r="I54" s="2492"/>
      <c r="J54" s="2494"/>
      <c r="K54" s="2479"/>
      <c r="L54" s="2479"/>
      <c r="M54" s="2479"/>
      <c r="N54" s="2481"/>
      <c r="O54" s="2479"/>
      <c r="P54" s="2479"/>
      <c r="Q54" s="2479"/>
      <c r="R54" s="2482"/>
      <c r="S54" s="2479"/>
      <c r="T54" s="1638"/>
      <c r="U54" s="1638"/>
      <c r="V54" s="1638"/>
      <c r="W54" s="1639"/>
      <c r="X54" s="1600"/>
      <c r="Y54" s="1600"/>
      <c r="Z54" s="1600"/>
      <c r="AA54" s="1600"/>
      <c r="AB54" s="1600"/>
      <c r="AC54" s="1600"/>
      <c r="AD54" s="1600"/>
      <c r="AE54" s="1600"/>
      <c r="AF54" s="1600"/>
      <c r="AG54" s="1600"/>
      <c r="AH54" s="1600"/>
      <c r="AI54" s="1600"/>
      <c r="AJ54" s="1600"/>
      <c r="AK54" s="1600"/>
      <c r="AL54" s="1600"/>
      <c r="AM54" s="1600"/>
      <c r="AN54" s="1600"/>
      <c r="AO54" s="1600"/>
      <c r="AP54" s="1600"/>
      <c r="AQ54" s="1600"/>
      <c r="AR54" s="1649">
        <v>0</v>
      </c>
    </row>
    <row s="17442" customFormat="1" customHeight="1" ht="17.25" hidden="1">
      <c r="A55" s="662"/>
      <c r="C55" s="661"/>
      <c r="D55" s="2477"/>
      <c r="E55" s="2485"/>
      <c r="F55" s="2487"/>
      <c r="G55" s="2485"/>
      <c r="H55" s="2490"/>
      <c r="I55" s="2492"/>
      <c r="J55" s="2495"/>
      <c r="K55" s="2479"/>
      <c r="L55" s="2479"/>
      <c r="M55" s="2479"/>
      <c r="N55" s="2482"/>
      <c r="O55" s="2479"/>
      <c r="P55" s="1812"/>
      <c r="Q55" s="1638"/>
      <c r="R55" s="1638"/>
      <c r="S55" s="670"/>
      <c r="T55" s="670"/>
      <c r="U55" s="670"/>
      <c r="V55" s="670"/>
      <c r="W55" s="1639"/>
      <c r="X55" s="1600"/>
      <c r="Y55" s="1600"/>
      <c r="Z55" s="1600"/>
      <c r="AA55" s="1600"/>
      <c r="AB55" s="1600"/>
      <c r="AC55" s="1600"/>
      <c r="AD55" s="1600"/>
      <c r="AE55" s="1600"/>
      <c r="AF55" s="1600"/>
      <c r="AG55" s="1600"/>
      <c r="AH55" s="1600"/>
      <c r="AI55" s="1600"/>
      <c r="AJ55" s="1600"/>
      <c r="AK55" s="1600"/>
      <c r="AL55" s="1600"/>
      <c r="AM55" s="1600"/>
      <c r="AN55" s="1600"/>
      <c r="AO55" s="1600"/>
      <c r="AP55" s="1600"/>
      <c r="AQ55" s="1600"/>
      <c r="AR55" s="1649">
        <v>0</v>
      </c>
    </row>
    <row s="17442" customFormat="1" customHeight="1" ht="17.25" hidden="1">
      <c r="A56" s="662"/>
      <c r="C56" s="550"/>
      <c r="D56" s="2477"/>
      <c r="E56" s="2485"/>
      <c r="F56" s="2487"/>
      <c r="G56" s="2485"/>
      <c r="H56" s="2490"/>
      <c r="I56" s="2492"/>
      <c r="J56" s="2495"/>
      <c r="K56" s="2479"/>
      <c r="L56" s="1638"/>
      <c r="M56" s="1638"/>
      <c r="N56" s="1638"/>
      <c r="O56" s="1638"/>
      <c r="P56" s="1638"/>
      <c r="Q56" s="1638"/>
      <c r="R56" s="1638"/>
      <c r="S56" s="670"/>
      <c r="T56" s="670"/>
      <c r="U56" s="670"/>
      <c r="V56" s="670"/>
      <c r="W56" s="1639"/>
      <c r="Y56" s="1608"/>
      <c r="Z56" s="1608"/>
      <c r="AA56" s="1608"/>
      <c r="AB56" s="1608"/>
      <c r="AC56" s="1608"/>
      <c r="AD56" s="1608"/>
      <c r="AE56" s="1608"/>
      <c r="AF56" s="1608"/>
      <c r="AG56" s="1608"/>
      <c r="AH56" s="1608"/>
      <c r="AI56" s="1608"/>
      <c r="AJ56" s="1608"/>
      <c r="AK56" s="1608"/>
      <c r="AL56" s="1608"/>
      <c r="AM56" s="1608"/>
      <c r="AN56" s="1608"/>
      <c r="AO56" s="1608"/>
      <c r="AP56" s="1608"/>
      <c r="AQ56" s="1608"/>
      <c r="AR56" s="1667">
        <v>0</v>
      </c>
    </row>
    <row s="17442" customFormat="1" customHeight="1" ht="17.25" hidden="1">
      <c r="A57" s="662"/>
      <c r="C57" s="661"/>
      <c r="D57" s="2477"/>
      <c r="E57" s="2485"/>
      <c r="F57" s="2488"/>
      <c r="G57" s="2485"/>
      <c r="H57" s="1640"/>
      <c r="I57" s="1641"/>
      <c r="J57" s="1641"/>
      <c r="K57" s="1641"/>
      <c r="L57" s="1641"/>
      <c r="M57" s="1641"/>
      <c r="N57" s="1641"/>
      <c r="O57" s="1641"/>
      <c r="P57" s="1641"/>
      <c r="Q57" s="1641"/>
      <c r="R57" s="1641"/>
      <c r="S57" s="1642"/>
      <c r="T57" s="1642"/>
      <c r="U57" s="1642"/>
      <c r="V57" s="1642"/>
      <c r="W57" s="1643"/>
      <c r="X57" s="1600"/>
      <c r="Y57" s="1600"/>
      <c r="Z57" s="1600"/>
      <c r="AA57" s="1600"/>
      <c r="AB57" s="1600"/>
      <c r="AC57" s="1600"/>
      <c r="AD57" s="1600"/>
      <c r="AE57" s="1600"/>
      <c r="AF57" s="1600"/>
      <c r="AG57" s="1600"/>
      <c r="AH57" s="1600"/>
      <c r="AI57" s="1600"/>
      <c r="AJ57" s="1600"/>
      <c r="AK57" s="1600"/>
      <c r="AL57" s="1600"/>
      <c r="AM57" s="1600"/>
      <c r="AN57" s="1600"/>
      <c r="AO57" s="1600"/>
      <c r="AP57" s="1600"/>
      <c r="AQ57" s="1600"/>
      <c r="AR57" s="1649">
        <v>0</v>
      </c>
    </row>
    <row s="17442" customFormat="1" customHeight="1" ht="17.25" hidden="1">
      <c r="A58" s="662"/>
      <c r="C58" s="550"/>
      <c r="D58" s="2476">
        <v>9</v>
      </c>
      <c r="E58" s="2484" t="s">
        <v>199</v>
      </c>
      <c r="F58" s="2486" t="s">
        <v>19</v>
      </c>
      <c r="G58" s="2484"/>
      <c r="H58" s="2489"/>
      <c r="I58" s="2491"/>
      <c r="J58" s="2493"/>
      <c r="K58" s="2478"/>
      <c r="L58" s="2478"/>
      <c r="M58" s="2478"/>
      <c r="N58" s="2480"/>
      <c r="O58" s="2478"/>
      <c r="P58" s="2478"/>
      <c r="Q58" s="2478"/>
      <c r="R58" s="2483"/>
      <c r="S58" s="2478"/>
      <c r="T58" s="2272"/>
      <c r="U58" s="2272"/>
      <c r="V58" s="2274"/>
      <c r="W58" s="1637"/>
      <c r="X58" s="1608"/>
      <c r="Y58" s="1608"/>
      <c r="Z58" s="1608"/>
      <c r="AA58" s="1608"/>
      <c r="AB58" s="1608"/>
      <c r="AC58" s="1608" t="s">
        <v>200</v>
      </c>
      <c r="AD58" s="1608" t="s">
        <v>201</v>
      </c>
      <c r="AE58" s="1608" t="s">
        <v>202</v>
      </c>
      <c r="AF58" s="1608" t="s">
        <v>203</v>
      </c>
      <c r="AG58" s="1608" t="s">
        <v>204</v>
      </c>
      <c r="AH58" s="1608" t="str">
        <f>IF($E$58=0,"",$E$58)</f>
        <v>Плата за подключение (технологическое присоединение) к системе теплоснабжения (индивидуальная)</v>
      </c>
      <c r="AI58" s="1608" t="str">
        <f>IF($G$58=0,"",$G$58)</f>
        <v/>
      </c>
      <c r="AJ58" s="1608" t="str">
        <f>IF($J$58=0,"",$J$58)</f>
        <v/>
      </c>
      <c r="AK58" s="1608" t="str">
        <f>IF($K$58="нет","без дифференциации",IF($N$58=0,"",$N$58))</f>
        <v/>
      </c>
      <c r="AL58" s="1608" t="str">
        <f>IF($O$58="нет","без дифференциации",IF($R$58=0,"",$R$58))</f>
        <v/>
      </c>
      <c r="AM58" s="1608" t="str">
        <f>IF($S$58="нет","без дифференциации",IF($V$58=0,"",$V$58))</f>
        <v/>
      </c>
      <c r="AN58" s="2113">
        <f>$I$58</f>
        <v>0</v>
      </c>
      <c r="AO58" s="1608" t="str">
        <f>$I$58&amp;"."&amp;$M$58</f>
        <v>.</v>
      </c>
      <c r="AP58" s="1607" t="str">
        <f>$I$58&amp;"."&amp;$M$58&amp;"."&amp;$Q$58</f>
        <v>..</v>
      </c>
      <c r="AQ58" s="1607" t="str">
        <f>$I$58&amp;"."&amp;$M$58&amp;"."&amp;$Q$58&amp;"."&amp;$U$58</f>
        <v>...</v>
      </c>
      <c r="AR58" s="1808">
        <v>0</v>
      </c>
    </row>
    <row s="17442" customFormat="1" customHeight="1" ht="17.25" hidden="1">
      <c r="A59" s="662"/>
      <c r="C59" s="661"/>
      <c r="D59" s="2476"/>
      <c r="E59" s="2484"/>
      <c r="F59" s="2487"/>
      <c r="G59" s="2484"/>
      <c r="H59" s="2490"/>
      <c r="I59" s="2492"/>
      <c r="J59" s="2494"/>
      <c r="K59" s="2479"/>
      <c r="L59" s="2479"/>
      <c r="M59" s="2479"/>
      <c r="N59" s="2481"/>
      <c r="O59" s="2479"/>
      <c r="P59" s="2479"/>
      <c r="Q59" s="2479"/>
      <c r="R59" s="2482"/>
      <c r="S59" s="2479"/>
      <c r="T59" s="2275"/>
      <c r="U59" s="2275"/>
      <c r="V59" s="2275"/>
      <c r="W59" s="2276"/>
      <c r="X59" s="1607"/>
      <c r="Y59" s="1607"/>
      <c r="Z59" s="1607"/>
      <c r="AA59" s="1607"/>
      <c r="AB59" s="1607"/>
      <c r="AC59" s="1607"/>
      <c r="AD59" s="1607"/>
      <c r="AE59" s="1607"/>
      <c r="AF59" s="1607"/>
      <c r="AG59" s="1607"/>
      <c r="AH59" s="1607"/>
      <c r="AI59" s="1607"/>
      <c r="AJ59" s="1607"/>
      <c r="AK59" s="1607"/>
      <c r="AL59" s="1607"/>
      <c r="AM59" s="1607"/>
      <c r="AN59" s="1607"/>
      <c r="AO59" s="1607"/>
      <c r="AP59" s="1607"/>
      <c r="AQ59" s="1607"/>
      <c r="AR59" s="1808">
        <v>0</v>
      </c>
    </row>
    <row s="17442" customFormat="1" customHeight="1" ht="17.25" hidden="1">
      <c r="A60" s="662"/>
      <c r="C60" s="661"/>
      <c r="D60" s="2477"/>
      <c r="E60" s="2485"/>
      <c r="F60" s="2487"/>
      <c r="G60" s="2485"/>
      <c r="H60" s="2490"/>
      <c r="I60" s="2492"/>
      <c r="J60" s="2495"/>
      <c r="K60" s="2479"/>
      <c r="L60" s="2479"/>
      <c r="M60" s="2479"/>
      <c r="N60" s="2482"/>
      <c r="O60" s="2479"/>
      <c r="P60" s="2273"/>
      <c r="Q60" s="2275"/>
      <c r="R60" s="2275"/>
      <c r="S60" s="670"/>
      <c r="T60" s="670"/>
      <c r="U60" s="670"/>
      <c r="V60" s="670"/>
      <c r="W60" s="2276"/>
      <c r="X60" s="1607"/>
      <c r="Y60" s="1607"/>
      <c r="Z60" s="1607"/>
      <c r="AA60" s="1607"/>
      <c r="AB60" s="1607"/>
      <c r="AC60" s="1607"/>
      <c r="AD60" s="1607"/>
      <c r="AE60" s="1607"/>
      <c r="AF60" s="1607"/>
      <c r="AG60" s="1607"/>
      <c r="AH60" s="1607"/>
      <c r="AI60" s="1607"/>
      <c r="AJ60" s="1607"/>
      <c r="AK60" s="1607"/>
      <c r="AL60" s="1607"/>
      <c r="AM60" s="1607"/>
      <c r="AN60" s="1607"/>
      <c r="AO60" s="1607"/>
      <c r="AP60" s="1607"/>
      <c r="AQ60" s="1607"/>
      <c r="AR60" s="1808">
        <v>0</v>
      </c>
    </row>
    <row s="17442" customFormat="1" customHeight="1" ht="17.25" hidden="1">
      <c r="A61" s="662"/>
      <c r="C61" s="550"/>
      <c r="D61" s="2477"/>
      <c r="E61" s="2485"/>
      <c r="F61" s="2487"/>
      <c r="G61" s="2485"/>
      <c r="H61" s="2490"/>
      <c r="I61" s="2492"/>
      <c r="J61" s="2495"/>
      <c r="K61" s="2479"/>
      <c r="L61" s="2275"/>
      <c r="M61" s="2275"/>
      <c r="N61" s="2275"/>
      <c r="O61" s="2275"/>
      <c r="P61" s="2275"/>
      <c r="Q61" s="2275"/>
      <c r="R61" s="2275"/>
      <c r="S61" s="670"/>
      <c r="T61" s="670"/>
      <c r="U61" s="670"/>
      <c r="V61" s="670"/>
      <c r="W61" s="2276"/>
      <c r="Y61" s="1608"/>
      <c r="Z61" s="1608"/>
      <c r="AA61" s="1608"/>
      <c r="AB61" s="1608"/>
      <c r="AC61" s="1608"/>
      <c r="AD61" s="1608"/>
      <c r="AE61" s="1608"/>
      <c r="AF61" s="1608"/>
      <c r="AG61" s="1608"/>
      <c r="AH61" s="1608"/>
      <c r="AI61" s="1608"/>
      <c r="AJ61" s="1608"/>
      <c r="AK61" s="1608"/>
      <c r="AL61" s="1608"/>
      <c r="AM61" s="1608"/>
      <c r="AN61" s="1608"/>
      <c r="AO61" s="1608"/>
      <c r="AP61" s="1608"/>
      <c r="AQ61" s="1608"/>
      <c r="AR61" s="1808">
        <v>0</v>
      </c>
    </row>
    <row s="17442" customFormat="1" customHeight="1" ht="17.25" hidden="1">
      <c r="A62" s="662"/>
      <c r="C62" s="661"/>
      <c r="D62" s="2477"/>
      <c r="E62" s="2485"/>
      <c r="F62" s="2488"/>
      <c r="G62" s="2485"/>
      <c r="H62" s="1640"/>
      <c r="I62" s="2277"/>
      <c r="J62" s="2277"/>
      <c r="K62" s="2277"/>
      <c r="L62" s="2277"/>
      <c r="M62" s="2277"/>
      <c r="N62" s="2277"/>
      <c r="O62" s="2277"/>
      <c r="P62" s="2277"/>
      <c r="Q62" s="2277"/>
      <c r="R62" s="2277"/>
      <c r="S62" s="1642"/>
      <c r="T62" s="1642"/>
      <c r="U62" s="1642"/>
      <c r="V62" s="1642"/>
      <c r="W62" s="2278"/>
      <c r="X62" s="1607"/>
      <c r="Y62" s="1607"/>
      <c r="Z62" s="1607"/>
      <c r="AA62" s="1607"/>
      <c r="AB62" s="1607"/>
      <c r="AC62" s="1607"/>
      <c r="AD62" s="1607"/>
      <c r="AE62" s="1607"/>
      <c r="AF62" s="1607"/>
      <c r="AG62" s="1607"/>
      <c r="AH62" s="1607"/>
      <c r="AI62" s="1607"/>
      <c r="AJ62" s="1607"/>
      <c r="AK62" s="1607"/>
      <c r="AL62" s="1607"/>
      <c r="AM62" s="1607"/>
      <c r="AN62" s="1607"/>
      <c r="AO62" s="1607"/>
      <c r="AP62" s="1607"/>
      <c r="AQ62" s="1607"/>
      <c r="AR62" s="1808">
        <v>0</v>
      </c>
    </row>
    <row s="17442" customFormat="1" customHeight="1" ht="17.25" hidden="1">
      <c r="A63" s="662"/>
      <c r="C63" s="550"/>
      <c r="D63" s="2476">
        <v>10</v>
      </c>
      <c r="E63" s="2484" t="s">
        <v>205</v>
      </c>
      <c r="F63" s="2486" t="s">
        <v>19</v>
      </c>
      <c r="G63" s="2484"/>
      <c r="H63" s="2489"/>
      <c r="I63" s="2491"/>
      <c r="J63" s="2493"/>
      <c r="K63" s="2478"/>
      <c r="L63" s="2478"/>
      <c r="M63" s="2478"/>
      <c r="N63" s="2480"/>
      <c r="O63" s="2478"/>
      <c r="P63" s="2478"/>
      <c r="Q63" s="2478"/>
      <c r="R63" s="2483"/>
      <c r="S63" s="2478"/>
      <c r="T63" s="2272"/>
      <c r="U63" s="2272"/>
      <c r="V63" s="2274"/>
      <c r="W63" s="1637"/>
      <c r="X63" s="1608"/>
      <c r="Y63" s="1608"/>
      <c r="Z63" s="1608"/>
      <c r="AA63" s="1608"/>
      <c r="AB63" s="1608"/>
      <c r="AC63" s="1608" t="s">
        <v>206</v>
      </c>
      <c r="AD63" s="1608" t="s">
        <v>207</v>
      </c>
      <c r="AE63" s="1608" t="s">
        <v>208</v>
      </c>
      <c r="AF63" s="1608" t="s">
        <v>209</v>
      </c>
      <c r="AG63" s="1608" t="s">
        <v>210</v>
      </c>
      <c r="AH63" s="1608" t="str">
        <f>IF($E$63=0,"",$E$63)</f>
        <v>Предельный уровень цены на тепловую энергию (мощность), поставляемую теплоснабжающими организациями потребителям</v>
      </c>
      <c r="AI63" s="1608" t="str">
        <f>IF($G$63=0,"",$G$63)</f>
        <v/>
      </c>
      <c r="AJ63" s="1608" t="str">
        <f>IF($J$63=0,"",$J$63)</f>
        <v/>
      </c>
      <c r="AK63" s="1608" t="str">
        <f>IF($K$63="нет","без дифференциации",IF($N$63=0,"",$N$63))</f>
        <v/>
      </c>
      <c r="AL63" s="1608" t="str">
        <f>IF($O$63="нет","без дифференциации",IF($R$63=0,"",$R$63))</f>
        <v/>
      </c>
      <c r="AM63" s="1608" t="str">
        <f>IF($S$63="нет","без дифференциации",IF($V$63=0,"",$V$63))</f>
        <v/>
      </c>
      <c r="AN63" s="2113">
        <f>$I$63</f>
        <v>0</v>
      </c>
      <c r="AO63" s="1608" t="str">
        <f>$I$63&amp;"."&amp;$M$63</f>
        <v>.</v>
      </c>
      <c r="AP63" s="1607" t="str">
        <f>$I$63&amp;"."&amp;$M$63&amp;"."&amp;$Q$63</f>
        <v>..</v>
      </c>
      <c r="AQ63" s="1607" t="str">
        <f>$I$63&amp;"."&amp;$M$63&amp;"."&amp;$Q$63&amp;"."&amp;$U$63</f>
        <v>...</v>
      </c>
      <c r="AR63" s="1808">
        <v>0</v>
      </c>
    </row>
    <row s="17442" customFormat="1" customHeight="1" ht="17.25" hidden="1">
      <c r="A64" s="662"/>
      <c r="C64" s="661"/>
      <c r="D64" s="2476"/>
      <c r="E64" s="2484"/>
      <c r="F64" s="2487"/>
      <c r="G64" s="2484"/>
      <c r="H64" s="2490"/>
      <c r="I64" s="2492"/>
      <c r="J64" s="2494"/>
      <c r="K64" s="2479"/>
      <c r="L64" s="2479"/>
      <c r="M64" s="2479"/>
      <c r="N64" s="2481"/>
      <c r="O64" s="2479"/>
      <c r="P64" s="2479"/>
      <c r="Q64" s="2479"/>
      <c r="R64" s="2482"/>
      <c r="S64" s="2479"/>
      <c r="T64" s="2275"/>
      <c r="U64" s="2275"/>
      <c r="V64" s="2275"/>
      <c r="W64" s="2276"/>
      <c r="X64" s="1607"/>
      <c r="Y64" s="1607"/>
      <c r="Z64" s="1607"/>
      <c r="AA64" s="1607"/>
      <c r="AB64" s="1607"/>
      <c r="AC64" s="1607"/>
      <c r="AD64" s="1607"/>
      <c r="AE64" s="1607"/>
      <c r="AF64" s="1607"/>
      <c r="AG64" s="1607"/>
      <c r="AH64" s="1607"/>
      <c r="AI64" s="1607"/>
      <c r="AJ64" s="1607"/>
      <c r="AK64" s="1607"/>
      <c r="AL64" s="1607"/>
      <c r="AM64" s="1607"/>
      <c r="AN64" s="1607"/>
      <c r="AO64" s="1607"/>
      <c r="AP64" s="1607"/>
      <c r="AQ64" s="1607"/>
      <c r="AR64" s="1808">
        <v>0</v>
      </c>
    </row>
    <row s="17442" customFormat="1" customHeight="1" ht="17.25" hidden="1">
      <c r="A65" s="662"/>
      <c r="C65" s="661"/>
      <c r="D65" s="2477"/>
      <c r="E65" s="2485"/>
      <c r="F65" s="2487"/>
      <c r="G65" s="2485"/>
      <c r="H65" s="2490"/>
      <c r="I65" s="2492"/>
      <c r="J65" s="2495"/>
      <c r="K65" s="2479"/>
      <c r="L65" s="2479"/>
      <c r="M65" s="2479"/>
      <c r="N65" s="2482"/>
      <c r="O65" s="2479"/>
      <c r="P65" s="2273"/>
      <c r="Q65" s="2275"/>
      <c r="R65" s="2275"/>
      <c r="S65" s="670"/>
      <c r="T65" s="670"/>
      <c r="U65" s="670"/>
      <c r="V65" s="670"/>
      <c r="W65" s="2276"/>
      <c r="X65" s="1607"/>
      <c r="Y65" s="1607"/>
      <c r="Z65" s="1607"/>
      <c r="AA65" s="1607"/>
      <c r="AB65" s="1607"/>
      <c r="AC65" s="1607"/>
      <c r="AD65" s="1607"/>
      <c r="AE65" s="1607"/>
      <c r="AF65" s="1607"/>
      <c r="AG65" s="1607"/>
      <c r="AH65" s="1607"/>
      <c r="AI65" s="1607"/>
      <c r="AJ65" s="1607"/>
      <c r="AK65" s="1607"/>
      <c r="AL65" s="1607"/>
      <c r="AM65" s="1607"/>
      <c r="AN65" s="1607"/>
      <c r="AO65" s="1607"/>
      <c r="AP65" s="1607"/>
      <c r="AQ65" s="1607"/>
      <c r="AR65" s="1808">
        <v>0</v>
      </c>
    </row>
    <row s="17442" customFormat="1" customHeight="1" ht="17.25" hidden="1">
      <c r="A66" s="662"/>
      <c r="C66" s="550"/>
      <c r="D66" s="2477"/>
      <c r="E66" s="2485"/>
      <c r="F66" s="2487"/>
      <c r="G66" s="2485"/>
      <c r="H66" s="2490"/>
      <c r="I66" s="2492"/>
      <c r="J66" s="2495"/>
      <c r="K66" s="2479"/>
      <c r="L66" s="2275"/>
      <c r="M66" s="2275"/>
      <c r="N66" s="2275"/>
      <c r="O66" s="2275"/>
      <c r="P66" s="2275"/>
      <c r="Q66" s="2275"/>
      <c r="R66" s="2275"/>
      <c r="S66" s="670"/>
      <c r="T66" s="670"/>
      <c r="U66" s="670"/>
      <c r="V66" s="670"/>
      <c r="W66" s="2276"/>
      <c r="Y66" s="1608"/>
      <c r="Z66" s="1608"/>
      <c r="AA66" s="1608"/>
      <c r="AB66" s="1608"/>
      <c r="AC66" s="1608"/>
      <c r="AD66" s="1608"/>
      <c r="AE66" s="1608"/>
      <c r="AF66" s="1608"/>
      <c r="AG66" s="1608"/>
      <c r="AH66" s="1608"/>
      <c r="AI66" s="1608"/>
      <c r="AJ66" s="1608"/>
      <c r="AK66" s="1608"/>
      <c r="AL66" s="1608"/>
      <c r="AM66" s="1608"/>
      <c r="AN66" s="1608"/>
      <c r="AO66" s="1608"/>
      <c r="AP66" s="1608"/>
      <c r="AQ66" s="1608"/>
      <c r="AR66" s="1808">
        <v>0</v>
      </c>
    </row>
    <row s="17442" customFormat="1" customHeight="1" ht="17.25" hidden="1">
      <c r="A67" s="662"/>
      <c r="C67" s="661"/>
      <c r="D67" s="2477"/>
      <c r="E67" s="2485"/>
      <c r="F67" s="2488"/>
      <c r="G67" s="2485"/>
      <c r="H67" s="1640"/>
      <c r="I67" s="2277"/>
      <c r="J67" s="2277"/>
      <c r="K67" s="2277"/>
      <c r="L67" s="2277"/>
      <c r="M67" s="2277"/>
      <c r="N67" s="2277"/>
      <c r="O67" s="2277"/>
      <c r="P67" s="2277"/>
      <c r="Q67" s="2277"/>
      <c r="R67" s="2277"/>
      <c r="S67" s="1642"/>
      <c r="T67" s="1642"/>
      <c r="U67" s="1642"/>
      <c r="V67" s="1642"/>
      <c r="W67" s="2278"/>
      <c r="X67" s="1607"/>
      <c r="Y67" s="1607"/>
      <c r="Z67" s="1607"/>
      <c r="AA67" s="1607"/>
      <c r="AB67" s="1607"/>
      <c r="AC67" s="1607"/>
      <c r="AD67" s="1607"/>
      <c r="AE67" s="1607"/>
      <c r="AF67" s="1607"/>
      <c r="AG67" s="1607"/>
      <c r="AH67" s="1607"/>
      <c r="AI67" s="1607"/>
      <c r="AJ67" s="1607"/>
      <c r="AK67" s="1607"/>
      <c r="AL67" s="1607"/>
      <c r="AM67" s="1607"/>
      <c r="AN67" s="1607"/>
      <c r="AO67" s="1607"/>
      <c r="AP67" s="1607"/>
      <c r="AQ67" s="1607"/>
      <c r="AR67" s="1808">
        <v>0</v>
      </c>
    </row>
    <row customHeight="1" ht="11.25" hidden="1">
      <c r="AR68" s="445">
        <v>0</v>
      </c>
    </row>
    <row customHeight="1" ht="11.25" hidden="1">
      <c r="E69" s="2515" t="s">
        <v>211</v>
      </c>
      <c r="F69" s="2515"/>
      <c r="G69" s="2515"/>
      <c r="H69" s="2515"/>
      <c r="I69" s="2515"/>
      <c r="J69" s="2515"/>
      <c r="K69" s="2515"/>
      <c r="L69" s="2515"/>
      <c r="M69" s="2515"/>
      <c r="N69" s="2515"/>
      <c r="O69" s="2515"/>
      <c r="P69" s="2515"/>
      <c r="Q69" s="2515"/>
      <c r="R69" s="2515"/>
      <c r="S69" s="2515"/>
      <c r="T69" s="2515"/>
      <c r="U69" s="2515"/>
      <c r="V69" s="2515"/>
      <c r="W69" s="2515"/>
      <c r="AR69" s="445">
        <v>0</v>
      </c>
    </row>
    <row customHeight="1" ht="36.75" hidden="1">
      <c r="E70" s="2513" t="s">
        <v>212</v>
      </c>
      <c r="F70" s="2513"/>
      <c r="G70" s="2514"/>
      <c r="H70" s="2514"/>
      <c r="I70" s="2514"/>
      <c r="J70" s="2514"/>
      <c r="K70" s="2514"/>
      <c r="L70" s="2514"/>
      <c r="M70" s="2514"/>
      <c r="N70" s="2514"/>
      <c r="O70" s="2514"/>
      <c r="P70" s="2514"/>
      <c r="Q70" s="2514"/>
      <c r="R70" s="2514"/>
      <c r="S70" s="2514"/>
      <c r="T70" s="2514"/>
      <c r="U70" s="2514"/>
      <c r="V70" s="2514"/>
      <c r="W70" s="2514"/>
      <c r="AR70" s="445">
        <v>0</v>
      </c>
    </row>
    <row customHeight="1" ht="28.5" hidden="1">
      <c r="E71" s="2513" t="s">
        <v>213</v>
      </c>
      <c r="F71" s="2513"/>
      <c r="G71" s="2514"/>
      <c r="H71" s="2514"/>
      <c r="I71" s="2514"/>
      <c r="J71" s="2514"/>
      <c r="K71" s="2514"/>
      <c r="L71" s="2514"/>
      <c r="M71" s="2514"/>
      <c r="N71" s="2514"/>
      <c r="O71" s="2514"/>
      <c r="P71" s="2514"/>
      <c r="Q71" s="2514"/>
      <c r="R71" s="2514"/>
      <c r="S71" s="2514"/>
      <c r="T71" s="2514"/>
      <c r="U71" s="2514"/>
      <c r="V71" s="2514"/>
      <c r="W71" s="2514"/>
      <c r="AR71" s="445">
        <v>0</v>
      </c>
    </row>
    <row customHeight="1" ht="27" hidden="1">
      <c r="E72" s="2513" t="s">
        <v>214</v>
      </c>
      <c r="F72" s="2513"/>
      <c r="G72" s="2514"/>
      <c r="H72" s="2514"/>
      <c r="I72" s="2514"/>
      <c r="J72" s="2514"/>
      <c r="K72" s="2514"/>
      <c r="L72" s="2514"/>
      <c r="M72" s="2514"/>
      <c r="N72" s="2514"/>
      <c r="O72" s="2514"/>
      <c r="P72" s="2514"/>
      <c r="Q72" s="2514"/>
      <c r="R72" s="2514"/>
      <c r="S72" s="2514"/>
      <c r="T72" s="2514"/>
      <c r="U72" s="2514"/>
      <c r="V72" s="2514"/>
      <c r="W72" s="2514"/>
      <c r="AR72" s="445">
        <v>0</v>
      </c>
    </row>
    <row customHeight="1" ht="17.25" hidden="1">
      <c r="E73" s="2513" t="s">
        <v>215</v>
      </c>
      <c r="F73" s="2513"/>
      <c r="G73" s="2514"/>
      <c r="H73" s="2514"/>
      <c r="I73" s="2514"/>
      <c r="J73" s="2514"/>
      <c r="K73" s="2514"/>
      <c r="L73" s="2514"/>
      <c r="M73" s="2514"/>
      <c r="N73" s="2514"/>
      <c r="O73" s="2514"/>
      <c r="P73" s="2514"/>
      <c r="Q73" s="2514"/>
      <c r="R73" s="2514"/>
      <c r="S73" s="2514"/>
      <c r="T73" s="2514"/>
      <c r="U73" s="2514"/>
      <c r="V73" s="2514"/>
      <c r="W73" s="2514"/>
      <c r="AR73" s="445">
        <v>0</v>
      </c>
    </row>
    <row customHeight="1" ht="15" hidden="1">
      <c r="E74" s="681"/>
      <c r="F74" s="1626"/>
      <c r="G74" s="498"/>
      <c r="H74" s="498"/>
      <c r="I74" s="498"/>
      <c r="J74" s="498"/>
      <c r="K74" s="498"/>
      <c r="L74" s="498"/>
      <c r="M74" s="498"/>
      <c r="N74" s="498"/>
      <c r="O74" s="498"/>
      <c r="P74" s="498"/>
      <c r="Q74" s="498"/>
      <c r="R74" s="498"/>
      <c r="S74" s="498"/>
      <c r="T74" s="498"/>
      <c r="U74" s="498"/>
      <c r="V74" s="498"/>
      <c r="W74" s="498"/>
      <c r="AR74" s="445">
        <v>0</v>
      </c>
    </row>
    <row customHeight="1" ht="15" hidden="1">
      <c r="E75" s="2515" t="s">
        <v>216</v>
      </c>
      <c r="F75" s="2515"/>
      <c r="G75" s="2515"/>
      <c r="H75" s="2515"/>
      <c r="I75" s="2515"/>
      <c r="J75" s="2515"/>
      <c r="K75" s="2515"/>
      <c r="L75" s="2515"/>
      <c r="M75" s="2515"/>
      <c r="N75" s="2515"/>
      <c r="O75" s="2515"/>
      <c r="P75" s="2515"/>
      <c r="Q75" s="2515"/>
      <c r="R75" s="2515"/>
      <c r="S75" s="2515"/>
      <c r="T75" s="2515"/>
      <c r="U75" s="2515"/>
      <c r="V75" s="2515"/>
      <c r="W75" s="2515"/>
      <c r="AR75" s="445">
        <v>0</v>
      </c>
    </row>
    <row customHeight="1" ht="17.25" hidden="1">
      <c r="E76" s="2513" t="s">
        <v>217</v>
      </c>
      <c r="F76" s="2513"/>
      <c r="G76" s="2514"/>
      <c r="H76" s="2514"/>
      <c r="I76" s="2514"/>
      <c r="J76" s="2514"/>
      <c r="K76" s="2514"/>
      <c r="L76" s="2514"/>
      <c r="M76" s="2514"/>
      <c r="N76" s="2514"/>
      <c r="O76" s="2514"/>
      <c r="P76" s="2514"/>
      <c r="Q76" s="2514"/>
      <c r="R76" s="2514"/>
      <c r="S76" s="2514"/>
      <c r="T76" s="2514"/>
      <c r="U76" s="2514"/>
      <c r="V76" s="2514"/>
      <c r="W76" s="2514"/>
      <c r="AR76" s="445">
        <v>0</v>
      </c>
    </row>
    <row customHeight="1" ht="17.25" hidden="1">
      <c r="E77" s="2513" t="s">
        <v>218</v>
      </c>
      <c r="F77" s="2513"/>
      <c r="G77" s="2514"/>
      <c r="H77" s="2514"/>
      <c r="I77" s="2514"/>
      <c r="J77" s="2514"/>
      <c r="K77" s="2514"/>
      <c r="L77" s="2514"/>
      <c r="M77" s="2514"/>
      <c r="N77" s="2514"/>
      <c r="O77" s="2514"/>
      <c r="P77" s="2514"/>
      <c r="Q77" s="2514"/>
      <c r="R77" s="2514"/>
      <c r="S77" s="2514"/>
      <c r="T77" s="2514"/>
      <c r="U77" s="2514"/>
      <c r="V77" s="2514"/>
      <c r="W77" s="2514"/>
      <c r="AR77" s="445">
        <v>0</v>
      </c>
    </row>
    <row s="17442" customFormat="1" customHeight="1" ht="11.25" hidden="1">
      <c r="A78" s="618"/>
      <c r="B78" s="618"/>
      <c r="Y78" s="1600"/>
      <c r="Z78" s="1600"/>
      <c r="AA78" s="1600"/>
      <c r="AB78" s="1600"/>
      <c r="AC78" s="1600"/>
      <c r="AD78" s="1600"/>
      <c r="AE78" s="1600"/>
      <c r="AF78" s="1600"/>
      <c r="AG78" s="1600"/>
      <c r="AH78" s="1600"/>
      <c r="AI78" s="1600"/>
      <c r="AJ78" s="1600"/>
      <c r="AK78" s="1600"/>
      <c r="AL78" s="1600"/>
      <c r="AM78" s="1600"/>
      <c r="AN78" s="1600"/>
      <c r="AO78" s="1600"/>
      <c r="AP78" s="1600"/>
      <c r="AQ78" s="1600"/>
      <c r="AR78" s="1691">
        <v>0</v>
      </c>
    </row>
    <row s="17442" customFormat="1" customHeight="1" ht="17.25" hidden="1">
      <c r="A79" s="662"/>
      <c r="C79" s="550"/>
      <c r="D79" s="2476">
        <v>1</v>
      </c>
      <c r="E79" s="2484" t="s">
        <v>219</v>
      </c>
      <c r="F79" s="2486" t="s">
        <v>19</v>
      </c>
      <c r="G79" s="2484"/>
      <c r="H79" s="2489"/>
      <c r="I79" s="2491"/>
      <c r="J79" s="2493"/>
      <c r="K79" s="2478"/>
      <c r="L79" s="2478"/>
      <c r="M79" s="2478"/>
      <c r="N79" s="2480"/>
      <c r="O79" s="2478"/>
      <c r="P79" s="2478"/>
      <c r="Q79" s="2478"/>
      <c r="R79" s="2483"/>
      <c r="S79" s="2478"/>
      <c r="T79" s="1811"/>
      <c r="U79" s="1811"/>
      <c r="V79" s="1813"/>
      <c r="W79" s="1637"/>
      <c r="Y79" s="1608"/>
      <c r="Z79" s="1608"/>
      <c r="AA79" s="1608"/>
      <c r="AB79" s="1608"/>
      <c r="AC79" s="1608" t="s">
        <v>220</v>
      </c>
      <c r="AD79" s="1608" t="s">
        <v>221</v>
      </c>
      <c r="AE79" s="1608" t="s">
        <v>222</v>
      </c>
      <c r="AF79" s="1608" t="s">
        <v>223</v>
      </c>
      <c r="AG79" s="1608"/>
      <c r="AH79" s="1608" t="str">
        <f>IF($E$79=0,"",$E$79)</f>
        <v>Тариф на питьевую воду (питьевое водоснабжение)</v>
      </c>
      <c r="AI79" s="1608" t="str">
        <f>IF($G$79=0,"",$G$79)</f>
        <v/>
      </c>
      <c r="AJ79" s="1608" t="str">
        <f>IF($J$79=0,"",$J$79)</f>
        <v/>
      </c>
      <c r="AK79" s="1608" t="str">
        <f>IF($K$79="нет","без дифференциации",IF($N$79=0,"",$N$79))</f>
        <v/>
      </c>
      <c r="AL79" s="1608" t="str">
        <f>IF($O$79="нет","без дифференциации",IF($R$79=0,"",$R$79))</f>
        <v/>
      </c>
      <c r="AM79" s="1608" t="str">
        <f>IF($S$79="нет","без дифференциации",IF($V$79=0,"",$V$79))</f>
        <v/>
      </c>
      <c r="AN79" s="1608">
        <f>$I$79</f>
        <v>0</v>
      </c>
      <c r="AO79" s="1608" t="str">
        <f>$I$79&amp;"."&amp;$M$79</f>
        <v>.</v>
      </c>
      <c r="AP79" s="1608" t="str">
        <f>$I$79&amp;"."&amp;$M$79&amp;"."&amp;$Q$79</f>
        <v>..</v>
      </c>
      <c r="AQ79" s="1608" t="str">
        <f>$I$79&amp;"."&amp;$M$79&amp;"."&amp;$Q$79&amp;"."&amp;$U$79</f>
        <v>...</v>
      </c>
      <c r="AR79" s="1691">
        <v>0</v>
      </c>
    </row>
    <row s="17442" customFormat="1" customHeight="1" ht="17.25" hidden="1">
      <c r="A80" s="662"/>
      <c r="C80" s="661"/>
      <c r="D80" s="2476"/>
      <c r="E80" s="2484"/>
      <c r="F80" s="2487"/>
      <c r="G80" s="2484"/>
      <c r="H80" s="2490"/>
      <c r="I80" s="2492"/>
      <c r="J80" s="2494"/>
      <c r="K80" s="2479"/>
      <c r="L80" s="2479"/>
      <c r="M80" s="2479"/>
      <c r="N80" s="2481"/>
      <c r="O80" s="2479"/>
      <c r="P80" s="2479"/>
      <c r="Q80" s="2479"/>
      <c r="R80" s="2482"/>
      <c r="S80" s="2479"/>
      <c r="T80" s="1638"/>
      <c r="U80" s="1638"/>
      <c r="V80" s="1638"/>
      <c r="W80" s="1639"/>
      <c r="Y80" s="1600"/>
      <c r="Z80" s="1600"/>
      <c r="AA80" s="1600"/>
      <c r="AB80" s="1600"/>
      <c r="AC80" s="1600"/>
      <c r="AD80" s="1600"/>
      <c r="AE80" s="1600"/>
      <c r="AF80" s="1600"/>
      <c r="AG80" s="1600"/>
      <c r="AH80" s="1600"/>
      <c r="AI80" s="1600"/>
      <c r="AJ80" s="1600"/>
      <c r="AK80" s="1600"/>
      <c r="AL80" s="1600"/>
      <c r="AM80" s="1600"/>
      <c r="AN80" s="1600"/>
      <c r="AO80" s="1600"/>
      <c r="AP80" s="1600"/>
      <c r="AQ80" s="1600"/>
      <c r="AR80" s="1691">
        <v>0</v>
      </c>
    </row>
    <row s="17442" customFormat="1" customHeight="1" ht="17.25" hidden="1">
      <c r="A81" s="662"/>
      <c r="C81" s="550"/>
      <c r="D81" s="2476"/>
      <c r="E81" s="2484"/>
      <c r="F81" s="2487"/>
      <c r="G81" s="2484"/>
      <c r="H81" s="2490"/>
      <c r="I81" s="2492"/>
      <c r="J81" s="2495"/>
      <c r="K81" s="2479"/>
      <c r="L81" s="2479"/>
      <c r="M81" s="2479"/>
      <c r="N81" s="2482"/>
      <c r="O81" s="2479"/>
      <c r="P81" s="1812"/>
      <c r="Q81" s="1638"/>
      <c r="R81" s="1638"/>
      <c r="S81" s="670"/>
      <c r="T81" s="670"/>
      <c r="U81" s="670"/>
      <c r="V81" s="670"/>
      <c r="W81" s="1639"/>
      <c r="Y81" s="1608"/>
      <c r="Z81" s="1608"/>
      <c r="AA81" s="1608"/>
      <c r="AB81" s="1608"/>
      <c r="AC81" s="1608"/>
      <c r="AD81" s="1608"/>
      <c r="AE81" s="1608"/>
      <c r="AF81" s="1608"/>
      <c r="AG81" s="1608"/>
      <c r="AH81" s="1608"/>
      <c r="AI81" s="1608"/>
      <c r="AJ81" s="1608"/>
      <c r="AK81" s="1608"/>
      <c r="AL81" s="1608"/>
      <c r="AM81" s="1608"/>
      <c r="AN81" s="1608"/>
      <c r="AO81" s="1608"/>
      <c r="AP81" s="1608"/>
      <c r="AQ81" s="1608"/>
      <c r="AR81" s="1782">
        <v>0</v>
      </c>
    </row>
    <row s="17442" customFormat="1" customHeight="1" ht="17.25" hidden="1">
      <c r="A82" s="662"/>
      <c r="C82" s="661"/>
      <c r="D82" s="2476"/>
      <c r="E82" s="2484"/>
      <c r="F82" s="2487"/>
      <c r="G82" s="2484"/>
      <c r="H82" s="2490"/>
      <c r="I82" s="2492"/>
      <c r="J82" s="2495"/>
      <c r="K82" s="2479"/>
      <c r="L82" s="1638"/>
      <c r="M82" s="1638"/>
      <c r="N82" s="1638"/>
      <c r="O82" s="1638"/>
      <c r="P82" s="1638"/>
      <c r="Q82" s="1638"/>
      <c r="R82" s="1638"/>
      <c r="S82" s="670"/>
      <c r="T82" s="670"/>
      <c r="U82" s="670"/>
      <c r="V82" s="670"/>
      <c r="W82" s="1639"/>
      <c r="Y82" s="1600"/>
      <c r="Z82" s="1600"/>
      <c r="AA82" s="1600"/>
      <c r="AB82" s="1600"/>
      <c r="AC82" s="1600"/>
      <c r="AD82" s="1600"/>
      <c r="AE82" s="1600"/>
      <c r="AF82" s="1600"/>
      <c r="AG82" s="1600"/>
      <c r="AH82" s="1600"/>
      <c r="AI82" s="1600"/>
      <c r="AJ82" s="1600"/>
      <c r="AK82" s="1600"/>
      <c r="AL82" s="1600"/>
      <c r="AM82" s="1600"/>
      <c r="AN82" s="1600"/>
      <c r="AO82" s="1600"/>
      <c r="AP82" s="1600"/>
      <c r="AQ82" s="1600"/>
      <c r="AR82" s="1782">
        <v>0</v>
      </c>
    </row>
    <row s="17442" customFormat="1" customHeight="1" ht="17.25" hidden="1">
      <c r="A83" s="662"/>
      <c r="C83" s="661"/>
      <c r="D83" s="2477"/>
      <c r="E83" s="2485"/>
      <c r="F83" s="2488"/>
      <c r="G83" s="2485"/>
      <c r="H83" s="1640"/>
      <c r="I83" s="1641"/>
      <c r="J83" s="1641"/>
      <c r="K83" s="1641"/>
      <c r="L83" s="1641"/>
      <c r="M83" s="1641"/>
      <c r="N83" s="1641"/>
      <c r="O83" s="1641"/>
      <c r="P83" s="1641"/>
      <c r="Q83" s="1641"/>
      <c r="R83" s="1641"/>
      <c r="S83" s="1642"/>
      <c r="T83" s="1642"/>
      <c r="U83" s="1642"/>
      <c r="V83" s="1642"/>
      <c r="W83" s="1643"/>
      <c r="Y83" s="1600"/>
      <c r="Z83" s="1600"/>
      <c r="AA83" s="1600"/>
      <c r="AB83" s="1600"/>
      <c r="AC83" s="1600"/>
      <c r="AD83" s="1600"/>
      <c r="AE83" s="1600"/>
      <c r="AF83" s="1600"/>
      <c r="AG83" s="1600"/>
      <c r="AH83" s="1600"/>
      <c r="AI83" s="1600"/>
      <c r="AJ83" s="1600"/>
      <c r="AK83" s="1600"/>
      <c r="AL83" s="1600"/>
      <c r="AM83" s="1600"/>
      <c r="AN83" s="1600"/>
      <c r="AO83" s="1600"/>
      <c r="AP83" s="1600"/>
      <c r="AQ83" s="1600"/>
      <c r="AR83" s="1691">
        <v>0</v>
      </c>
    </row>
    <row s="17442" customFormat="1" customHeight="1" ht="17.25" hidden="1">
      <c r="A84" s="662"/>
      <c r="C84" s="550"/>
      <c r="D84" s="2476">
        <v>2</v>
      </c>
      <c r="E84" s="2484" t="s">
        <v>224</v>
      </c>
      <c r="F84" s="2486" t="s">
        <v>19</v>
      </c>
      <c r="G84" s="2484"/>
      <c r="H84" s="2489"/>
      <c r="I84" s="2491"/>
      <c r="J84" s="2493"/>
      <c r="K84" s="2478"/>
      <c r="L84" s="2478"/>
      <c r="M84" s="2478"/>
      <c r="N84" s="2480"/>
      <c r="O84" s="2478"/>
      <c r="P84" s="2478"/>
      <c r="Q84" s="2478"/>
      <c r="R84" s="2483"/>
      <c r="S84" s="2478"/>
      <c r="T84" s="1784"/>
      <c r="U84" s="1784"/>
      <c r="V84" s="1786"/>
      <c r="W84" s="1637"/>
      <c r="X84" s="1608"/>
      <c r="Y84" s="1608"/>
      <c r="Z84" s="1608"/>
      <c r="AA84" s="1608"/>
      <c r="AB84" s="1608"/>
      <c r="AC84" s="1608" t="s">
        <v>225</v>
      </c>
      <c r="AD84" s="1608" t="s">
        <v>226</v>
      </c>
      <c r="AE84" s="1608" t="s">
        <v>227</v>
      </c>
      <c r="AF84" s="1608" t="s">
        <v>228</v>
      </c>
      <c r="AG84" s="1608"/>
      <c r="AH84" s="1608" t="str">
        <f>IF($E$84=0,"",$E$84)</f>
        <v>Тариф на техническую воду</v>
      </c>
      <c r="AI84" s="1608" t="str">
        <f>IF($G$84=0,"",$G$84)</f>
        <v/>
      </c>
      <c r="AJ84" s="1608" t="str">
        <f>IF($J$84=0,"",$J$84)</f>
        <v/>
      </c>
      <c r="AK84" s="1608" t="str">
        <f>IF($K$84="нет","без дифференциации",IF($N$84=0,"",$N$84))</f>
        <v/>
      </c>
      <c r="AL84" s="1608" t="str">
        <f>IF($O$84="нет","без дифференциации",IF($R$84=0,"",$R$84))</f>
        <v/>
      </c>
      <c r="AM84" s="1608" t="str">
        <f>IF($S$84="нет","без дифференциации",IF($V$84=0,"",$V$84))</f>
        <v/>
      </c>
      <c r="AN84" s="2113">
        <f>$I$84</f>
        <v>0</v>
      </c>
      <c r="AO84" s="1608" t="str">
        <f>$I$84&amp;"."&amp;$M$84</f>
        <v>.</v>
      </c>
      <c r="AP84" s="1600" t="str">
        <f>$I$84&amp;"."&amp;$M$84&amp;"."&amp;$Q$84</f>
        <v>..</v>
      </c>
      <c r="AQ84" s="1600" t="str">
        <f>$I$84&amp;"."&amp;$M$84&amp;"."&amp;$Q$84&amp;"."&amp;$U$84</f>
        <v>...</v>
      </c>
      <c r="AR84" s="1691">
        <v>0</v>
      </c>
    </row>
    <row s="17442" customFormat="1" customHeight="1" ht="17.25" hidden="1">
      <c r="A85" s="662"/>
      <c r="C85" s="661"/>
      <c r="D85" s="2476"/>
      <c r="E85" s="2484"/>
      <c r="F85" s="2487"/>
      <c r="G85" s="2484"/>
      <c r="H85" s="2490"/>
      <c r="I85" s="2492"/>
      <c r="J85" s="2494"/>
      <c r="K85" s="2479"/>
      <c r="L85" s="2479"/>
      <c r="M85" s="2479"/>
      <c r="N85" s="2481"/>
      <c r="O85" s="2479"/>
      <c r="P85" s="2479"/>
      <c r="Q85" s="2479"/>
      <c r="R85" s="2482"/>
      <c r="S85" s="2479"/>
      <c r="T85" s="1638"/>
      <c r="U85" s="1638"/>
      <c r="V85" s="1638"/>
      <c r="W85" s="1639"/>
      <c r="X85" s="1600"/>
      <c r="Y85" s="1600"/>
      <c r="Z85" s="1600"/>
      <c r="AA85" s="1600"/>
      <c r="AB85" s="1600"/>
      <c r="AC85" s="1600"/>
      <c r="AD85" s="1600"/>
      <c r="AE85" s="1600"/>
      <c r="AF85" s="1600"/>
      <c r="AG85" s="1600"/>
      <c r="AH85" s="1600"/>
      <c r="AI85" s="1600"/>
      <c r="AJ85" s="1600"/>
      <c r="AK85" s="1600"/>
      <c r="AL85" s="1600"/>
      <c r="AM85" s="1600"/>
      <c r="AN85" s="1600"/>
      <c r="AO85" s="1600"/>
      <c r="AP85" s="1600"/>
      <c r="AQ85" s="1600"/>
      <c r="AR85" s="1691">
        <v>0</v>
      </c>
    </row>
    <row s="17442" customFormat="1" customHeight="1" ht="17.25" hidden="1">
      <c r="A86" s="662"/>
      <c r="C86" s="661"/>
      <c r="D86" s="2477"/>
      <c r="E86" s="2485"/>
      <c r="F86" s="2487"/>
      <c r="G86" s="2485"/>
      <c r="H86" s="2490"/>
      <c r="I86" s="2492"/>
      <c r="J86" s="2495"/>
      <c r="K86" s="2479"/>
      <c r="L86" s="2479"/>
      <c r="M86" s="2479"/>
      <c r="N86" s="2482"/>
      <c r="O86" s="2479"/>
      <c r="P86" s="1785"/>
      <c r="Q86" s="1638"/>
      <c r="R86" s="1638"/>
      <c r="S86" s="670"/>
      <c r="T86" s="670"/>
      <c r="U86" s="670"/>
      <c r="V86" s="670"/>
      <c r="W86" s="1639"/>
      <c r="X86" s="1600"/>
      <c r="Y86" s="1600"/>
      <c r="Z86" s="1600"/>
      <c r="AA86" s="1600"/>
      <c r="AB86" s="1600"/>
      <c r="AC86" s="1600"/>
      <c r="AD86" s="1600"/>
      <c r="AE86" s="1600"/>
      <c r="AF86" s="1600"/>
      <c r="AG86" s="1600"/>
      <c r="AH86" s="1600"/>
      <c r="AI86" s="1600"/>
      <c r="AJ86" s="1600"/>
      <c r="AK86" s="1600"/>
      <c r="AL86" s="1600"/>
      <c r="AM86" s="1600"/>
      <c r="AN86" s="1600"/>
      <c r="AO86" s="1600"/>
      <c r="AP86" s="1600"/>
      <c r="AQ86" s="1600"/>
      <c r="AR86" s="1691">
        <v>0</v>
      </c>
    </row>
    <row s="17442" customFormat="1" customHeight="1" ht="17.25" hidden="1">
      <c r="A87" s="662"/>
      <c r="C87" s="661"/>
      <c r="D87" s="2477"/>
      <c r="E87" s="2485"/>
      <c r="F87" s="2487"/>
      <c r="G87" s="2485"/>
      <c r="H87" s="2490"/>
      <c r="I87" s="2492"/>
      <c r="J87" s="2495"/>
      <c r="K87" s="2479"/>
      <c r="L87" s="1638"/>
      <c r="M87" s="1638"/>
      <c r="N87" s="1638"/>
      <c r="O87" s="1638"/>
      <c r="P87" s="1638"/>
      <c r="Q87" s="1638"/>
      <c r="R87" s="1638"/>
      <c r="S87" s="670"/>
      <c r="T87" s="670"/>
      <c r="U87" s="670"/>
      <c r="V87" s="670"/>
      <c r="W87" s="1639"/>
      <c r="X87" s="1600"/>
      <c r="Y87" s="1600"/>
      <c r="Z87" s="1600"/>
      <c r="AA87" s="1600"/>
      <c r="AB87" s="1600"/>
      <c r="AC87" s="1600"/>
      <c r="AD87" s="1600"/>
      <c r="AE87" s="1600"/>
      <c r="AF87" s="1600"/>
      <c r="AG87" s="1600"/>
      <c r="AH87" s="1600"/>
      <c r="AI87" s="1600"/>
      <c r="AJ87" s="1600"/>
      <c r="AK87" s="1600"/>
      <c r="AL87" s="1600"/>
      <c r="AM87" s="1600"/>
      <c r="AN87" s="1600"/>
      <c r="AO87" s="1600"/>
      <c r="AP87" s="1600"/>
      <c r="AQ87" s="1600"/>
      <c r="AR87" s="1691">
        <v>0</v>
      </c>
    </row>
    <row s="17442" customFormat="1" customHeight="1" ht="17.25" hidden="1">
      <c r="A88" s="662"/>
      <c r="C88" s="661"/>
      <c r="D88" s="2477"/>
      <c r="E88" s="2485"/>
      <c r="F88" s="2488"/>
      <c r="G88" s="2485"/>
      <c r="H88" s="1640"/>
      <c r="I88" s="1641"/>
      <c r="J88" s="1641"/>
      <c r="K88" s="1641"/>
      <c r="L88" s="1641"/>
      <c r="M88" s="1641"/>
      <c r="N88" s="1641"/>
      <c r="O88" s="1641"/>
      <c r="P88" s="1641"/>
      <c r="Q88" s="1641"/>
      <c r="R88" s="1641"/>
      <c r="S88" s="1642"/>
      <c r="T88" s="1642"/>
      <c r="U88" s="1642"/>
      <c r="V88" s="1642"/>
      <c r="W88" s="1643"/>
      <c r="X88" s="1600"/>
      <c r="Y88" s="1600"/>
      <c r="Z88" s="1600"/>
      <c r="AA88" s="1600"/>
      <c r="AB88" s="1600"/>
      <c r="AC88" s="1600"/>
      <c r="AD88" s="1600"/>
      <c r="AE88" s="1600"/>
      <c r="AF88" s="1600"/>
      <c r="AG88" s="1600"/>
      <c r="AH88" s="1600"/>
      <c r="AI88" s="1600"/>
      <c r="AJ88" s="1600"/>
      <c r="AK88" s="1600"/>
      <c r="AL88" s="1600"/>
      <c r="AM88" s="1600"/>
      <c r="AN88" s="1600"/>
      <c r="AO88" s="1600"/>
      <c r="AP88" s="1600"/>
      <c r="AQ88" s="1600"/>
      <c r="AR88" s="1691">
        <v>0</v>
      </c>
    </row>
    <row s="17442" customFormat="1" customHeight="1" ht="17.25" hidden="1">
      <c r="A89" s="662"/>
      <c r="C89" s="550"/>
      <c r="D89" s="2476">
        <v>3</v>
      </c>
      <c r="E89" s="2484" t="s">
        <v>229</v>
      </c>
      <c r="F89" s="2486" t="s">
        <v>19</v>
      </c>
      <c r="G89" s="2484"/>
      <c r="H89" s="2489"/>
      <c r="I89" s="2491"/>
      <c r="J89" s="2493"/>
      <c r="K89" s="2478"/>
      <c r="L89" s="2478"/>
      <c r="M89" s="2478"/>
      <c r="N89" s="2480"/>
      <c r="O89" s="2478"/>
      <c r="P89" s="2478"/>
      <c r="Q89" s="2478"/>
      <c r="R89" s="2483"/>
      <c r="S89" s="2478"/>
      <c r="T89" s="1784"/>
      <c r="U89" s="1784"/>
      <c r="V89" s="1786"/>
      <c r="W89" s="1637"/>
      <c r="X89" s="1608"/>
      <c r="Y89" s="1608"/>
      <c r="Z89" s="1608"/>
      <c r="AA89" s="1608"/>
      <c r="AB89" s="1608"/>
      <c r="AC89" s="1608" t="s">
        <v>230</v>
      </c>
      <c r="AD89" s="1608" t="s">
        <v>231</v>
      </c>
      <c r="AE89" s="1608" t="s">
        <v>232</v>
      </c>
      <c r="AF89" s="1608" t="s">
        <v>233</v>
      </c>
      <c r="AG89" s="1608"/>
      <c r="AH89" s="1608" t="str">
        <f>IF($E$89=0,"",$E$89)</f>
        <v>Тариф на транспортировку воды</v>
      </c>
      <c r="AI89" s="1608" t="str">
        <f>IF($G$89=0,"",$G$89)</f>
        <v/>
      </c>
      <c r="AJ89" s="1608" t="str">
        <f>IF($J$89=0,"",$J$89)</f>
        <v/>
      </c>
      <c r="AK89" s="1608" t="str">
        <f>IF($K$89="нет","без дифференциации",IF($N$89=0,"",$N$89))</f>
        <v/>
      </c>
      <c r="AL89" s="1608" t="str">
        <f>IF($O$89="нет","без дифференциации",IF($R$89=0,"",$R$89))</f>
        <v/>
      </c>
      <c r="AM89" s="1608" t="str">
        <f>IF($S$89="нет","без дифференциации",IF($V$89=0,"",$V$89))</f>
        <v/>
      </c>
      <c r="AN89" s="2113">
        <f>$I$89</f>
        <v>0</v>
      </c>
      <c r="AO89" s="1608" t="str">
        <f>$I$89&amp;"."&amp;$M$89</f>
        <v>.</v>
      </c>
      <c r="AP89" s="1600" t="str">
        <f>$I$89&amp;"."&amp;$M$89&amp;"."&amp;$Q$89</f>
        <v>..</v>
      </c>
      <c r="AQ89" s="1600" t="str">
        <f>$I$89&amp;"."&amp;$M$89&amp;"."&amp;$Q$89&amp;"."&amp;$U$89</f>
        <v>...</v>
      </c>
      <c r="AR89" s="1691">
        <v>0</v>
      </c>
    </row>
    <row s="17442" customFormat="1" customHeight="1" ht="17.25" hidden="1">
      <c r="A90" s="662"/>
      <c r="C90" s="661"/>
      <c r="D90" s="2476"/>
      <c r="E90" s="2484"/>
      <c r="F90" s="2487"/>
      <c r="G90" s="2484"/>
      <c r="H90" s="2490"/>
      <c r="I90" s="2492"/>
      <c r="J90" s="2494"/>
      <c r="K90" s="2479"/>
      <c r="L90" s="2479"/>
      <c r="M90" s="2479"/>
      <c r="N90" s="2481"/>
      <c r="O90" s="2479"/>
      <c r="P90" s="2479"/>
      <c r="Q90" s="2479"/>
      <c r="R90" s="2482"/>
      <c r="S90" s="2479"/>
      <c r="T90" s="1638"/>
      <c r="U90" s="1638"/>
      <c r="V90" s="1638"/>
      <c r="W90" s="1639"/>
      <c r="X90" s="1600"/>
      <c r="Y90" s="1600"/>
      <c r="Z90" s="1600"/>
      <c r="AA90" s="1600"/>
      <c r="AB90" s="1600"/>
      <c r="AC90" s="1600"/>
      <c r="AD90" s="1600"/>
      <c r="AE90" s="1600"/>
      <c r="AF90" s="1600"/>
      <c r="AG90" s="1600"/>
      <c r="AH90" s="1600"/>
      <c r="AI90" s="1600"/>
      <c r="AJ90" s="1600"/>
      <c r="AK90" s="1600"/>
      <c r="AL90" s="1600"/>
      <c r="AM90" s="1600"/>
      <c r="AN90" s="1600"/>
      <c r="AO90" s="1600"/>
      <c r="AP90" s="1600"/>
      <c r="AQ90" s="1600"/>
      <c r="AR90" s="1691">
        <v>0</v>
      </c>
    </row>
    <row s="17442" customFormat="1" customHeight="1" ht="17.25" hidden="1">
      <c r="A91" s="662"/>
      <c r="C91" s="661"/>
      <c r="D91" s="2477"/>
      <c r="E91" s="2485"/>
      <c r="F91" s="2487"/>
      <c r="G91" s="2485"/>
      <c r="H91" s="2490"/>
      <c r="I91" s="2492"/>
      <c r="J91" s="2495"/>
      <c r="K91" s="2479"/>
      <c r="L91" s="2479"/>
      <c r="M91" s="2479"/>
      <c r="N91" s="2482"/>
      <c r="O91" s="2479"/>
      <c r="P91" s="1785"/>
      <c r="Q91" s="1638"/>
      <c r="R91" s="1638"/>
      <c r="S91" s="670"/>
      <c r="T91" s="670"/>
      <c r="U91" s="670"/>
      <c r="V91" s="670"/>
      <c r="W91" s="1639"/>
      <c r="X91" s="1600"/>
      <c r="Y91" s="1600"/>
      <c r="Z91" s="1600"/>
      <c r="AA91" s="1600"/>
      <c r="AB91" s="1600"/>
      <c r="AC91" s="1600"/>
      <c r="AD91" s="1600"/>
      <c r="AE91" s="1600"/>
      <c r="AF91" s="1600"/>
      <c r="AG91" s="1600"/>
      <c r="AH91" s="1600"/>
      <c r="AI91" s="1600"/>
      <c r="AJ91" s="1600"/>
      <c r="AK91" s="1600"/>
      <c r="AL91" s="1600"/>
      <c r="AM91" s="1600"/>
      <c r="AN91" s="1600"/>
      <c r="AO91" s="1600"/>
      <c r="AP91" s="1600"/>
      <c r="AQ91" s="1600"/>
      <c r="AR91" s="1691">
        <v>0</v>
      </c>
    </row>
    <row s="17442" customFormat="1" customHeight="1" ht="17.25" hidden="1">
      <c r="A92" s="662"/>
      <c r="C92" s="661"/>
      <c r="D92" s="2477"/>
      <c r="E92" s="2485"/>
      <c r="F92" s="2487"/>
      <c r="G92" s="2485"/>
      <c r="H92" s="2490"/>
      <c r="I92" s="2492"/>
      <c r="J92" s="2495"/>
      <c r="K92" s="2479"/>
      <c r="L92" s="1638"/>
      <c r="M92" s="1638"/>
      <c r="N92" s="1638"/>
      <c r="O92" s="1638"/>
      <c r="P92" s="1638"/>
      <c r="Q92" s="1638"/>
      <c r="R92" s="1638"/>
      <c r="S92" s="670"/>
      <c r="T92" s="670"/>
      <c r="U92" s="670"/>
      <c r="V92" s="670"/>
      <c r="W92" s="1639"/>
      <c r="X92" s="1600"/>
      <c r="Y92" s="1600"/>
      <c r="Z92" s="1600"/>
      <c r="AA92" s="1600"/>
      <c r="AB92" s="1600"/>
      <c r="AC92" s="1600"/>
      <c r="AD92" s="1600"/>
      <c r="AE92" s="1600"/>
      <c r="AF92" s="1600"/>
      <c r="AG92" s="1600"/>
      <c r="AH92" s="1600"/>
      <c r="AI92" s="1600"/>
      <c r="AJ92" s="1600"/>
      <c r="AK92" s="1600"/>
      <c r="AL92" s="1600"/>
      <c r="AM92" s="1600"/>
      <c r="AN92" s="1600"/>
      <c r="AO92" s="1600"/>
      <c r="AP92" s="1600"/>
      <c r="AQ92" s="1600"/>
      <c r="AR92" s="1691">
        <v>0</v>
      </c>
    </row>
    <row s="17442" customFormat="1" customHeight="1" ht="17.25" hidden="1">
      <c r="A93" s="662"/>
      <c r="C93" s="661"/>
      <c r="D93" s="2477"/>
      <c r="E93" s="2485"/>
      <c r="F93" s="2488"/>
      <c r="G93" s="2485"/>
      <c r="H93" s="1640"/>
      <c r="I93" s="1641"/>
      <c r="J93" s="1641"/>
      <c r="K93" s="1641"/>
      <c r="L93" s="1641"/>
      <c r="M93" s="1641"/>
      <c r="N93" s="1641"/>
      <c r="O93" s="1641"/>
      <c r="P93" s="1641"/>
      <c r="Q93" s="1641"/>
      <c r="R93" s="1641"/>
      <c r="S93" s="1642"/>
      <c r="T93" s="1642"/>
      <c r="U93" s="1642"/>
      <c r="V93" s="1642"/>
      <c r="W93" s="1643"/>
      <c r="X93" s="1600"/>
      <c r="Y93" s="1600"/>
      <c r="Z93" s="1600"/>
      <c r="AA93" s="1600"/>
      <c r="AB93" s="1600"/>
      <c r="AC93" s="1600"/>
      <c r="AD93" s="1600"/>
      <c r="AE93" s="1600"/>
      <c r="AF93" s="1600"/>
      <c r="AG93" s="1600"/>
      <c r="AH93" s="1600"/>
      <c r="AI93" s="1600"/>
      <c r="AJ93" s="1600"/>
      <c r="AK93" s="1600"/>
      <c r="AL93" s="1600"/>
      <c r="AM93" s="1600"/>
      <c r="AN93" s="1600"/>
      <c r="AO93" s="1600"/>
      <c r="AP93" s="1600"/>
      <c r="AQ93" s="1600"/>
      <c r="AR93" s="1691">
        <v>0</v>
      </c>
    </row>
    <row s="17442" customFormat="1" customHeight="1" ht="17.25" hidden="1">
      <c r="A94" s="662"/>
      <c r="C94" s="550"/>
      <c r="D94" s="2476">
        <v>4</v>
      </c>
      <c r="E94" s="2484" t="s">
        <v>234</v>
      </c>
      <c r="F94" s="2486" t="s">
        <v>19</v>
      </c>
      <c r="G94" s="2484"/>
      <c r="H94" s="2489"/>
      <c r="I94" s="2491"/>
      <c r="J94" s="2493"/>
      <c r="K94" s="2478"/>
      <c r="L94" s="2478"/>
      <c r="M94" s="2478"/>
      <c r="N94" s="2480"/>
      <c r="O94" s="2478"/>
      <c r="P94" s="2478"/>
      <c r="Q94" s="2478"/>
      <c r="R94" s="2483"/>
      <c r="S94" s="2478"/>
      <c r="T94" s="1784"/>
      <c r="U94" s="1784"/>
      <c r="V94" s="1786"/>
      <c r="W94" s="1637"/>
      <c r="X94" s="1608"/>
      <c r="Y94" s="1608"/>
      <c r="Z94" s="1608"/>
      <c r="AA94" s="1608"/>
      <c r="AB94" s="1608"/>
      <c r="AC94" s="1608" t="s">
        <v>235</v>
      </c>
      <c r="AD94" s="1608" t="s">
        <v>236</v>
      </c>
      <c r="AE94" s="1608" t="s">
        <v>237</v>
      </c>
      <c r="AF94" s="1608" t="s">
        <v>238</v>
      </c>
      <c r="AG94" s="1608"/>
      <c r="AH94" s="1608" t="str">
        <f>IF($E$94=0,"",$E$94)</f>
        <v>Тариф на подвоз воды</v>
      </c>
      <c r="AI94" s="1608" t="str">
        <f>IF($G$94=0,"",$G$94)</f>
        <v/>
      </c>
      <c r="AJ94" s="1608" t="str">
        <f>IF($J$94=0,"",$J$94)</f>
        <v/>
      </c>
      <c r="AK94" s="1608" t="str">
        <f>IF($K$94="нет","без дифференциации",IF($N$94=0,"",$N$94))</f>
        <v/>
      </c>
      <c r="AL94" s="1608" t="str">
        <f>IF($O$94="нет","без дифференциации",IF($R$94=0,"",$R$94))</f>
        <v/>
      </c>
      <c r="AM94" s="1608" t="str">
        <f>IF($S$94="нет","без дифференциации",IF($V$94=0,"",$V$94))</f>
        <v/>
      </c>
      <c r="AN94" s="2113">
        <f>$I$94</f>
        <v>0</v>
      </c>
      <c r="AO94" s="1608" t="str">
        <f>$I$94&amp;"."&amp;$M$94</f>
        <v>.</v>
      </c>
      <c r="AP94" s="1600" t="str">
        <f>$I$94&amp;"."&amp;$M$94&amp;"."&amp;$Q$94</f>
        <v>..</v>
      </c>
      <c r="AQ94" s="1600" t="str">
        <f>$I$94&amp;"."&amp;$M$94&amp;"."&amp;$Q$94&amp;"."&amp;$U$94</f>
        <v>...</v>
      </c>
      <c r="AR94" s="1691">
        <v>0</v>
      </c>
    </row>
    <row s="17442" customFormat="1" customHeight="1" ht="17.25" hidden="1">
      <c r="A95" s="662"/>
      <c r="C95" s="661"/>
      <c r="D95" s="2476"/>
      <c r="E95" s="2484"/>
      <c r="F95" s="2487"/>
      <c r="G95" s="2484"/>
      <c r="H95" s="2490"/>
      <c r="I95" s="2492"/>
      <c r="J95" s="2494"/>
      <c r="K95" s="2479"/>
      <c r="L95" s="2479"/>
      <c r="M95" s="2479"/>
      <c r="N95" s="2481"/>
      <c r="O95" s="2479"/>
      <c r="P95" s="2479"/>
      <c r="Q95" s="2479"/>
      <c r="R95" s="2482"/>
      <c r="S95" s="2479"/>
      <c r="T95" s="1638"/>
      <c r="U95" s="1638"/>
      <c r="V95" s="1638"/>
      <c r="W95" s="1639"/>
      <c r="X95" s="1600"/>
      <c r="Y95" s="1600"/>
      <c r="Z95" s="1600"/>
      <c r="AA95" s="1600"/>
      <c r="AB95" s="1600"/>
      <c r="AC95" s="1600"/>
      <c r="AD95" s="1600"/>
      <c r="AE95" s="1600"/>
      <c r="AF95" s="1600"/>
      <c r="AG95" s="1600"/>
      <c r="AH95" s="1600"/>
      <c r="AI95" s="1600"/>
      <c r="AJ95" s="1600"/>
      <c r="AK95" s="1600"/>
      <c r="AL95" s="1600"/>
      <c r="AM95" s="1600"/>
      <c r="AN95" s="1600"/>
      <c r="AO95" s="1600"/>
      <c r="AP95" s="1600"/>
      <c r="AQ95" s="1600"/>
      <c r="AR95" s="1691">
        <v>0</v>
      </c>
    </row>
    <row s="17442" customFormat="1" customHeight="1" ht="17.25" hidden="1">
      <c r="A96" s="662"/>
      <c r="C96" s="661"/>
      <c r="D96" s="2477"/>
      <c r="E96" s="2485"/>
      <c r="F96" s="2487"/>
      <c r="G96" s="2485"/>
      <c r="H96" s="2490"/>
      <c r="I96" s="2492"/>
      <c r="J96" s="2495"/>
      <c r="K96" s="2479"/>
      <c r="L96" s="2479"/>
      <c r="M96" s="2479"/>
      <c r="N96" s="2482"/>
      <c r="O96" s="2479"/>
      <c r="P96" s="1785"/>
      <c r="Q96" s="1638"/>
      <c r="R96" s="1638"/>
      <c r="S96" s="670"/>
      <c r="T96" s="670"/>
      <c r="U96" s="670"/>
      <c r="V96" s="670"/>
      <c r="W96" s="1639"/>
      <c r="X96" s="1600"/>
      <c r="Y96" s="1600"/>
      <c r="Z96" s="1600"/>
      <c r="AA96" s="1600"/>
      <c r="AB96" s="1600"/>
      <c r="AC96" s="1600"/>
      <c r="AD96" s="1600"/>
      <c r="AE96" s="1600"/>
      <c r="AF96" s="1600"/>
      <c r="AG96" s="1600"/>
      <c r="AH96" s="1600"/>
      <c r="AI96" s="1600"/>
      <c r="AJ96" s="1600"/>
      <c r="AK96" s="1600"/>
      <c r="AL96" s="1600"/>
      <c r="AM96" s="1600"/>
      <c r="AN96" s="1600"/>
      <c r="AO96" s="1600"/>
      <c r="AP96" s="1600"/>
      <c r="AQ96" s="1600"/>
      <c r="AR96" s="1691">
        <v>0</v>
      </c>
    </row>
    <row s="17442" customFormat="1" customHeight="1" ht="17.25" hidden="1">
      <c r="A97" s="662"/>
      <c r="C97" s="661"/>
      <c r="D97" s="2477"/>
      <c r="E97" s="2485"/>
      <c r="F97" s="2487"/>
      <c r="G97" s="2485"/>
      <c r="H97" s="2490"/>
      <c r="I97" s="2492"/>
      <c r="J97" s="2495"/>
      <c r="K97" s="2479"/>
      <c r="L97" s="1638"/>
      <c r="M97" s="1638"/>
      <c r="N97" s="1638"/>
      <c r="O97" s="1638"/>
      <c r="P97" s="1638"/>
      <c r="Q97" s="1638"/>
      <c r="R97" s="1638"/>
      <c r="S97" s="670"/>
      <c r="T97" s="670"/>
      <c r="U97" s="670"/>
      <c r="V97" s="670"/>
      <c r="W97" s="1639"/>
      <c r="X97" s="1600"/>
      <c r="Y97" s="1600"/>
      <c r="Z97" s="1600"/>
      <c r="AA97" s="1600"/>
      <c r="AB97" s="1600"/>
      <c r="AC97" s="1600"/>
      <c r="AD97" s="1600"/>
      <c r="AE97" s="1600"/>
      <c r="AF97" s="1600"/>
      <c r="AG97" s="1600"/>
      <c r="AH97" s="1600"/>
      <c r="AI97" s="1600"/>
      <c r="AJ97" s="1600"/>
      <c r="AK97" s="1600"/>
      <c r="AL97" s="1600"/>
      <c r="AM97" s="1600"/>
      <c r="AN97" s="1600"/>
      <c r="AO97" s="1600"/>
      <c r="AP97" s="1600"/>
      <c r="AQ97" s="1600"/>
      <c r="AR97" s="1691">
        <v>0</v>
      </c>
    </row>
    <row s="17442" customFormat="1" customHeight="1" ht="17.25" hidden="1">
      <c r="A98" s="662"/>
      <c r="C98" s="661"/>
      <c r="D98" s="2477"/>
      <c r="E98" s="2485"/>
      <c r="F98" s="2488"/>
      <c r="G98" s="2485"/>
      <c r="H98" s="1640"/>
      <c r="I98" s="1641"/>
      <c r="J98" s="1641"/>
      <c r="K98" s="1641"/>
      <c r="L98" s="1641"/>
      <c r="M98" s="1641"/>
      <c r="N98" s="1641"/>
      <c r="O98" s="1641"/>
      <c r="P98" s="1641"/>
      <c r="Q98" s="1641"/>
      <c r="R98" s="1641"/>
      <c r="S98" s="1642"/>
      <c r="T98" s="1642"/>
      <c r="U98" s="1642"/>
      <c r="V98" s="1642"/>
      <c r="W98" s="1643"/>
      <c r="X98" s="1600"/>
      <c r="Y98" s="1600"/>
      <c r="Z98" s="1600"/>
      <c r="AA98" s="1600"/>
      <c r="AB98" s="1600"/>
      <c r="AC98" s="1600"/>
      <c r="AD98" s="1600"/>
      <c r="AE98" s="1600"/>
      <c r="AF98" s="1600"/>
      <c r="AG98" s="1600"/>
      <c r="AH98" s="1600"/>
      <c r="AI98" s="1600"/>
      <c r="AJ98" s="1600"/>
      <c r="AK98" s="1600"/>
      <c r="AL98" s="1600"/>
      <c r="AM98" s="1600"/>
      <c r="AN98" s="1600"/>
      <c r="AO98" s="1600"/>
      <c r="AP98" s="1600"/>
      <c r="AQ98" s="1600"/>
      <c r="AR98" s="1691">
        <v>0</v>
      </c>
    </row>
    <row s="17442" customFormat="1" customHeight="1" ht="17.25" hidden="1">
      <c r="A99" s="662"/>
      <c r="C99" s="550"/>
      <c r="D99" s="2476">
        <v>5</v>
      </c>
      <c r="E99" s="2484" t="s">
        <v>239</v>
      </c>
      <c r="F99" s="2486" t="s">
        <v>19</v>
      </c>
      <c r="G99" s="2484"/>
      <c r="H99" s="2489"/>
      <c r="I99" s="2491"/>
      <c r="J99" s="2493"/>
      <c r="K99" s="2478"/>
      <c r="L99" s="2478"/>
      <c r="M99" s="2478"/>
      <c r="N99" s="2480"/>
      <c r="O99" s="2478"/>
      <c r="P99" s="2478"/>
      <c r="Q99" s="2478"/>
      <c r="R99" s="2483"/>
      <c r="S99" s="2478"/>
      <c r="T99" s="2284"/>
      <c r="U99" s="2284"/>
      <c r="V99" s="2286"/>
      <c r="W99" s="1637"/>
      <c r="X99" s="1608"/>
      <c r="Y99" s="1608"/>
      <c r="Z99" s="1608"/>
      <c r="AA99" s="1608"/>
      <c r="AB99" s="1608"/>
      <c r="AC99" s="1608" t="s">
        <v>240</v>
      </c>
      <c r="AD99" s="1608" t="s">
        <v>241</v>
      </c>
      <c r="AE99" s="1608" t="s">
        <v>242</v>
      </c>
      <c r="AF99" s="1608" t="s">
        <v>243</v>
      </c>
      <c r="AG99" s="1608"/>
      <c r="AH99" s="1608" t="str">
        <f>IF($E$99=0,"",$E$99)</f>
        <v>Тариф на подключение (технологическое присоединение) к централизованной системе холодного водоснабжения</v>
      </c>
      <c r="AI99" s="1608" t="str">
        <f>IF($G$99=0,"",$G$99)</f>
        <v/>
      </c>
      <c r="AJ99" s="1608" t="str">
        <f>IF($J$99=0,"",$J$99)</f>
        <v/>
      </c>
      <c r="AK99" s="1608" t="str">
        <f>IF($K$99="нет","без дифференциации",IF($N$99=0,"",$N$99))</f>
        <v/>
      </c>
      <c r="AL99" s="1608" t="str">
        <f>IF($O$99="нет","без дифференциации",IF($R$99=0,"",$R$99))</f>
        <v/>
      </c>
      <c r="AM99" s="1608" t="str">
        <f>IF($S$99="нет","без дифференциации",IF($V$99=0,"",$V$99))</f>
        <v/>
      </c>
      <c r="AN99" s="2113">
        <f>$I$99</f>
        <v>0</v>
      </c>
      <c r="AO99" s="1608" t="str">
        <f>$I$99&amp;"."&amp;$M$99</f>
        <v>.</v>
      </c>
      <c r="AP99" s="1607" t="str">
        <f>$I$99&amp;"."&amp;$M$99&amp;"."&amp;$Q$99</f>
        <v>..</v>
      </c>
      <c r="AQ99" s="1607" t="str">
        <f>$I$99&amp;"."&amp;$M$99&amp;"."&amp;$Q$99&amp;"."&amp;$U$99</f>
        <v>...</v>
      </c>
      <c r="AR99" s="1808">
        <v>0</v>
      </c>
    </row>
    <row s="17442" customFormat="1" customHeight="1" ht="17.25" hidden="1">
      <c r="A100" s="662"/>
      <c r="C100" s="661"/>
      <c r="D100" s="2476"/>
      <c r="E100" s="2484"/>
      <c r="F100" s="2487"/>
      <c r="G100" s="2484"/>
      <c r="H100" s="2490"/>
      <c r="I100" s="2492"/>
      <c r="J100" s="2494"/>
      <c r="K100" s="2479"/>
      <c r="L100" s="2479"/>
      <c r="M100" s="2479"/>
      <c r="N100" s="2481"/>
      <c r="O100" s="2479"/>
      <c r="P100" s="2479"/>
      <c r="Q100" s="2479"/>
      <c r="R100" s="2482"/>
      <c r="S100" s="2479"/>
      <c r="T100" s="2289"/>
      <c r="U100" s="2289"/>
      <c r="V100" s="2289"/>
      <c r="W100" s="2290"/>
      <c r="X100" s="1607"/>
      <c r="Y100" s="1607"/>
      <c r="Z100" s="1607"/>
      <c r="AA100" s="1607"/>
      <c r="AB100" s="1607"/>
      <c r="AC100" s="1607"/>
      <c r="AD100" s="1607"/>
      <c r="AE100" s="1607"/>
      <c r="AF100" s="1607"/>
      <c r="AG100" s="1607"/>
      <c r="AH100" s="1607"/>
      <c r="AI100" s="1607"/>
      <c r="AJ100" s="1607"/>
      <c r="AK100" s="1607"/>
      <c r="AL100" s="1607"/>
      <c r="AM100" s="1607"/>
      <c r="AN100" s="1607"/>
      <c r="AO100" s="1607"/>
      <c r="AP100" s="1607"/>
      <c r="AQ100" s="1607"/>
      <c r="AR100" s="1808">
        <v>0</v>
      </c>
    </row>
    <row s="17442" customFormat="1" customHeight="1" ht="17.25" hidden="1">
      <c r="A101" s="662"/>
      <c r="C101" s="661"/>
      <c r="D101" s="2477"/>
      <c r="E101" s="2485"/>
      <c r="F101" s="2487"/>
      <c r="G101" s="2485"/>
      <c r="H101" s="2490"/>
      <c r="I101" s="2492"/>
      <c r="J101" s="2495"/>
      <c r="K101" s="2479"/>
      <c r="L101" s="2479"/>
      <c r="M101" s="2479"/>
      <c r="N101" s="2482"/>
      <c r="O101" s="2479"/>
      <c r="P101" s="2285"/>
      <c r="Q101" s="2289"/>
      <c r="R101" s="2289"/>
      <c r="S101" s="670"/>
      <c r="T101" s="670"/>
      <c r="U101" s="670"/>
      <c r="V101" s="670"/>
      <c r="W101" s="2290"/>
      <c r="X101" s="1607"/>
      <c r="Y101" s="1607"/>
      <c r="Z101" s="1607"/>
      <c r="AA101" s="1607"/>
      <c r="AB101" s="1607"/>
      <c r="AC101" s="1607"/>
      <c r="AD101" s="1607"/>
      <c r="AE101" s="1607"/>
      <c r="AF101" s="1607"/>
      <c r="AG101" s="1607"/>
      <c r="AH101" s="1607"/>
      <c r="AI101" s="1607"/>
      <c r="AJ101" s="1607"/>
      <c r="AK101" s="1607"/>
      <c r="AL101" s="1607"/>
      <c r="AM101" s="1607"/>
      <c r="AN101" s="1607"/>
      <c r="AO101" s="1607"/>
      <c r="AP101" s="1607"/>
      <c r="AQ101" s="1607"/>
      <c r="AR101" s="1808">
        <v>0</v>
      </c>
    </row>
    <row s="17442" customFormat="1" customHeight="1" ht="17.25" hidden="1">
      <c r="A102" s="662"/>
      <c r="C102" s="661"/>
      <c r="D102" s="2477"/>
      <c r="E102" s="2485"/>
      <c r="F102" s="2487"/>
      <c r="G102" s="2485"/>
      <c r="H102" s="2490"/>
      <c r="I102" s="2492"/>
      <c r="J102" s="2495"/>
      <c r="K102" s="2479"/>
      <c r="L102" s="2289"/>
      <c r="M102" s="2289"/>
      <c r="N102" s="2289"/>
      <c r="O102" s="2289"/>
      <c r="P102" s="2289"/>
      <c r="Q102" s="2289"/>
      <c r="R102" s="2289"/>
      <c r="S102" s="670"/>
      <c r="T102" s="670"/>
      <c r="U102" s="670"/>
      <c r="V102" s="670"/>
      <c r="W102" s="2290"/>
      <c r="X102" s="1607"/>
      <c r="Y102" s="1607"/>
      <c r="Z102" s="1607"/>
      <c r="AA102" s="1607"/>
      <c r="AB102" s="1607"/>
      <c r="AC102" s="1607"/>
      <c r="AD102" s="1607"/>
      <c r="AE102" s="1607"/>
      <c r="AF102" s="1607"/>
      <c r="AG102" s="1607"/>
      <c r="AH102" s="1607"/>
      <c r="AI102" s="1607"/>
      <c r="AJ102" s="1607"/>
      <c r="AK102" s="1607"/>
      <c r="AL102" s="1607"/>
      <c r="AM102" s="1607"/>
      <c r="AN102" s="1607"/>
      <c r="AO102" s="1607"/>
      <c r="AP102" s="1607"/>
      <c r="AQ102" s="1607"/>
      <c r="AR102" s="1808">
        <v>0</v>
      </c>
    </row>
    <row s="17442" customFormat="1" customHeight="1" ht="17.25" hidden="1">
      <c r="A103" s="662"/>
      <c r="C103" s="661"/>
      <c r="D103" s="2477"/>
      <c r="E103" s="2485"/>
      <c r="F103" s="2488"/>
      <c r="G103" s="2485"/>
      <c r="H103" s="1640"/>
      <c r="I103" s="2287"/>
      <c r="J103" s="2287"/>
      <c r="K103" s="2287"/>
      <c r="L103" s="2287"/>
      <c r="M103" s="2287"/>
      <c r="N103" s="2287"/>
      <c r="O103" s="2287"/>
      <c r="P103" s="2287"/>
      <c r="Q103" s="2287"/>
      <c r="R103" s="2287"/>
      <c r="S103" s="1642"/>
      <c r="T103" s="1642"/>
      <c r="U103" s="1642"/>
      <c r="V103" s="1642"/>
      <c r="W103" s="2288"/>
      <c r="X103" s="1607"/>
      <c r="Y103" s="1607"/>
      <c r="Z103" s="1607"/>
      <c r="AA103" s="1607"/>
      <c r="AB103" s="1607"/>
      <c r="AC103" s="1607"/>
      <c r="AD103" s="1607"/>
      <c r="AE103" s="1607"/>
      <c r="AF103" s="1607"/>
      <c r="AG103" s="1607"/>
      <c r="AH103" s="1607"/>
      <c r="AI103" s="1607"/>
      <c r="AJ103" s="1607"/>
      <c r="AK103" s="1607"/>
      <c r="AL103" s="1607"/>
      <c r="AM103" s="1607"/>
      <c r="AN103" s="1607"/>
      <c r="AO103" s="1607"/>
      <c r="AP103" s="1607"/>
      <c r="AQ103" s="1607"/>
      <c r="AR103" s="1808">
        <v>0</v>
      </c>
    </row>
    <row s="17442" customFormat="1" customHeight="1" ht="11.25" hidden="1">
      <c r="A104" s="618"/>
      <c r="B104" s="618"/>
      <c r="Y104" s="1600"/>
      <c r="Z104" s="1600"/>
      <c r="AA104" s="1600"/>
      <c r="AB104" s="1600"/>
      <c r="AC104" s="1600"/>
      <c r="AD104" s="1600"/>
      <c r="AE104" s="1600"/>
      <c r="AF104" s="1600"/>
      <c r="AG104" s="1600"/>
      <c r="AH104" s="1600"/>
      <c r="AI104" s="1600"/>
      <c r="AJ104" s="1600"/>
      <c r="AK104" s="1600"/>
      <c r="AL104" s="1600"/>
      <c r="AM104" s="1600"/>
      <c r="AN104" s="1600"/>
      <c r="AO104" s="1600"/>
      <c r="AP104" s="1600"/>
      <c r="AQ104" s="1600"/>
      <c r="AR104" s="1808">
        <v>0</v>
      </c>
    </row>
    <row s="17442" customFormat="1" customHeight="1" ht="17.25" hidden="1">
      <c r="A105" s="662"/>
      <c r="C105" s="550"/>
      <c r="D105" s="2476">
        <v>1</v>
      </c>
      <c r="E105" s="2484" t="s">
        <v>244</v>
      </c>
      <c r="F105" s="2486" t="s">
        <v>19</v>
      </c>
      <c r="G105" s="2484"/>
      <c r="H105" s="2489"/>
      <c r="I105" s="2491"/>
      <c r="J105" s="2493"/>
      <c r="K105" s="2478"/>
      <c r="L105" s="2478"/>
      <c r="M105" s="2478"/>
      <c r="N105" s="2480"/>
      <c r="O105" s="2478"/>
      <c r="P105" s="2478"/>
      <c r="Q105" s="2478"/>
      <c r="R105" s="2483"/>
      <c r="S105" s="2478"/>
      <c r="T105" s="1811"/>
      <c r="U105" s="1811"/>
      <c r="V105" s="1813"/>
      <c r="W105" s="1637"/>
      <c r="Y105" s="1608"/>
      <c r="Z105" s="1608"/>
      <c r="AA105" s="1608"/>
      <c r="AB105" s="1608"/>
      <c r="AC105" s="1608" t="s">
        <v>245</v>
      </c>
      <c r="AD105" s="1608" t="s">
        <v>246</v>
      </c>
      <c r="AE105" s="1608" t="s">
        <v>247</v>
      </c>
      <c r="AF105" s="1608" t="s">
        <v>248</v>
      </c>
      <c r="AG105" s="1608"/>
      <c r="AH105" s="1608" t="str">
        <f>IF($E$105=0,"",$E$105)</f>
        <v>Тариф на горячую воду (горячее водоснабжение)</v>
      </c>
      <c r="AI105" s="1608" t="str">
        <f>IF($G$105=0,"",$G$105)</f>
        <v/>
      </c>
      <c r="AJ105" s="1608" t="str">
        <f>IF($J$105=0,"",$J$105)</f>
        <v/>
      </c>
      <c r="AK105" s="1608" t="str">
        <f>IF($K$105="нет","без дифференциации",IF($N$105=0,"",$N$105))</f>
        <v/>
      </c>
      <c r="AL105" s="1608" t="str">
        <f>IF($O$105="нет","без дифференциации",IF($R$105=0,"",$R$105))</f>
        <v/>
      </c>
      <c r="AM105" s="1608" t="str">
        <f>IF($S$105="нет","без дифференциации",IF($V$105=0,"",$V$105))</f>
        <v/>
      </c>
      <c r="AN105" s="1608">
        <f>$I$105</f>
        <v>0</v>
      </c>
      <c r="AO105" s="1608" t="str">
        <f>$I$105&amp;"."&amp;$M$105</f>
        <v>.</v>
      </c>
      <c r="AP105" s="1608" t="str">
        <f>$I$105&amp;"."&amp;$M$105&amp;"."&amp;$Q$105</f>
        <v>..</v>
      </c>
      <c r="AQ105" s="1608" t="str">
        <f>$I$105&amp;"."&amp;$M$105&amp;"."&amp;$Q$105&amp;"."&amp;$U$105</f>
        <v>...</v>
      </c>
      <c r="AR105" s="1808">
        <v>0</v>
      </c>
    </row>
    <row s="17442" customFormat="1" customHeight="1" ht="17.25" hidden="1">
      <c r="A106" s="662"/>
      <c r="C106" s="661"/>
      <c r="D106" s="2476"/>
      <c r="E106" s="2484"/>
      <c r="F106" s="2487"/>
      <c r="G106" s="2484"/>
      <c r="H106" s="2490"/>
      <c r="I106" s="2492"/>
      <c r="J106" s="2494"/>
      <c r="K106" s="2479"/>
      <c r="L106" s="2479"/>
      <c r="M106" s="2479"/>
      <c r="N106" s="2481"/>
      <c r="O106" s="2479"/>
      <c r="P106" s="2479"/>
      <c r="Q106" s="2479"/>
      <c r="R106" s="2482"/>
      <c r="S106" s="2479"/>
      <c r="T106" s="1638"/>
      <c r="U106" s="1638"/>
      <c r="V106" s="1638"/>
      <c r="W106" s="1639"/>
      <c r="Y106" s="1600"/>
      <c r="Z106" s="1600"/>
      <c r="AA106" s="1600"/>
      <c r="AB106" s="1600"/>
      <c r="AC106" s="1600"/>
      <c r="AD106" s="1600"/>
      <c r="AE106" s="1600"/>
      <c r="AF106" s="1600"/>
      <c r="AG106" s="1600"/>
      <c r="AH106" s="1600"/>
      <c r="AI106" s="1600"/>
      <c r="AJ106" s="1600"/>
      <c r="AK106" s="1600"/>
      <c r="AL106" s="1600"/>
      <c r="AM106" s="1600"/>
      <c r="AN106" s="1600"/>
      <c r="AO106" s="1600"/>
      <c r="AP106" s="1600"/>
      <c r="AQ106" s="1600"/>
      <c r="AR106" s="1808">
        <v>0</v>
      </c>
    </row>
    <row s="17442" customFormat="1" customHeight="1" ht="17.25" hidden="1">
      <c r="A107" s="662"/>
      <c r="C107" s="550"/>
      <c r="D107" s="2476"/>
      <c r="E107" s="2484"/>
      <c r="F107" s="2487"/>
      <c r="G107" s="2484"/>
      <c r="H107" s="2490"/>
      <c r="I107" s="2492"/>
      <c r="J107" s="2495"/>
      <c r="K107" s="2479"/>
      <c r="L107" s="2479"/>
      <c r="M107" s="2479"/>
      <c r="N107" s="2482"/>
      <c r="O107" s="2479"/>
      <c r="P107" s="1812"/>
      <c r="Q107" s="1638"/>
      <c r="R107" s="1638"/>
      <c r="S107" s="670"/>
      <c r="T107" s="670"/>
      <c r="U107" s="670"/>
      <c r="V107" s="670"/>
      <c r="W107" s="1639"/>
      <c r="Y107" s="1608"/>
      <c r="Z107" s="1608"/>
      <c r="AA107" s="1608"/>
      <c r="AB107" s="1608"/>
      <c r="AC107" s="1608"/>
      <c r="AD107" s="1608"/>
      <c r="AE107" s="1608"/>
      <c r="AF107" s="1608"/>
      <c r="AG107" s="1608"/>
      <c r="AH107" s="1608"/>
      <c r="AI107" s="1608"/>
      <c r="AJ107" s="1608"/>
      <c r="AK107" s="1608"/>
      <c r="AL107" s="1608"/>
      <c r="AM107" s="1608"/>
      <c r="AN107" s="1608"/>
      <c r="AO107" s="1608"/>
      <c r="AP107" s="1608"/>
      <c r="AQ107" s="1608"/>
      <c r="AR107" s="1808">
        <v>0</v>
      </c>
    </row>
    <row s="17442" customFormat="1" customHeight="1" ht="17.25" hidden="1">
      <c r="A108" s="662"/>
      <c r="C108" s="661"/>
      <c r="D108" s="2476"/>
      <c r="E108" s="2484"/>
      <c r="F108" s="2487"/>
      <c r="G108" s="2484"/>
      <c r="H108" s="2490"/>
      <c r="I108" s="2492"/>
      <c r="J108" s="2495"/>
      <c r="K108" s="2479"/>
      <c r="L108" s="1638"/>
      <c r="M108" s="1638"/>
      <c r="N108" s="1638"/>
      <c r="O108" s="1638"/>
      <c r="P108" s="1638"/>
      <c r="Q108" s="1638"/>
      <c r="R108" s="1638"/>
      <c r="S108" s="670"/>
      <c r="T108" s="670"/>
      <c r="U108" s="670"/>
      <c r="V108" s="670"/>
      <c r="W108" s="1639"/>
      <c r="Y108" s="1600"/>
      <c r="Z108" s="1600"/>
      <c r="AA108" s="1600"/>
      <c r="AB108" s="1600"/>
      <c r="AC108" s="1600"/>
      <c r="AD108" s="1600"/>
      <c r="AE108" s="1600"/>
      <c r="AF108" s="1600"/>
      <c r="AG108" s="1600"/>
      <c r="AH108" s="1600"/>
      <c r="AI108" s="1600"/>
      <c r="AJ108" s="1600"/>
      <c r="AK108" s="1600"/>
      <c r="AL108" s="1600"/>
      <c r="AM108" s="1600"/>
      <c r="AN108" s="1600"/>
      <c r="AO108" s="1600"/>
      <c r="AP108" s="1600"/>
      <c r="AQ108" s="1600"/>
      <c r="AR108" s="1808">
        <v>0</v>
      </c>
    </row>
    <row s="17442" customFormat="1" customHeight="1" ht="17.25" hidden="1">
      <c r="A109" s="662"/>
      <c r="C109" s="661"/>
      <c r="D109" s="2477"/>
      <c r="E109" s="2485"/>
      <c r="F109" s="2488"/>
      <c r="G109" s="2485"/>
      <c r="H109" s="1640"/>
      <c r="I109" s="1641"/>
      <c r="J109" s="1641"/>
      <c r="K109" s="1641"/>
      <c r="L109" s="1641"/>
      <c r="M109" s="1641"/>
      <c r="N109" s="1641"/>
      <c r="O109" s="1641"/>
      <c r="P109" s="1641"/>
      <c r="Q109" s="1641"/>
      <c r="R109" s="1641"/>
      <c r="S109" s="1642"/>
      <c r="T109" s="1642"/>
      <c r="U109" s="1642"/>
      <c r="V109" s="1642"/>
      <c r="W109" s="1643"/>
      <c r="Y109" s="1600"/>
      <c r="Z109" s="1600"/>
      <c r="AA109" s="1600"/>
      <c r="AB109" s="1600"/>
      <c r="AC109" s="1600"/>
      <c r="AD109" s="1600"/>
      <c r="AE109" s="1600"/>
      <c r="AF109" s="1600"/>
      <c r="AG109" s="1600"/>
      <c r="AH109" s="1600"/>
      <c r="AI109" s="1600"/>
      <c r="AJ109" s="1600"/>
      <c r="AK109" s="1600"/>
      <c r="AL109" s="1600"/>
      <c r="AM109" s="1600"/>
      <c r="AN109" s="1600"/>
      <c r="AO109" s="1600"/>
      <c r="AP109" s="1600"/>
      <c r="AQ109" s="1600"/>
      <c r="AR109" s="1808">
        <v>0</v>
      </c>
    </row>
    <row s="17442" customFormat="1" customHeight="1" ht="17.25" hidden="1">
      <c r="A110" s="662"/>
      <c r="C110" s="550"/>
      <c r="D110" s="2476">
        <v>2</v>
      </c>
      <c r="E110" s="2484" t="s">
        <v>249</v>
      </c>
      <c r="F110" s="2486" t="s">
        <v>19</v>
      </c>
      <c r="G110" s="2484"/>
      <c r="H110" s="2489"/>
      <c r="I110" s="2491"/>
      <c r="J110" s="2493"/>
      <c r="K110" s="2478"/>
      <c r="L110" s="2478"/>
      <c r="M110" s="2478"/>
      <c r="N110" s="2480"/>
      <c r="O110" s="2478"/>
      <c r="P110" s="2478"/>
      <c r="Q110" s="2478"/>
      <c r="R110" s="2483"/>
      <c r="S110" s="2478"/>
      <c r="T110" s="1811"/>
      <c r="U110" s="1811"/>
      <c r="V110" s="1813"/>
      <c r="W110" s="1637"/>
      <c r="X110" s="1608"/>
      <c r="Y110" s="1608"/>
      <c r="Z110" s="1608"/>
      <c r="AA110" s="1608"/>
      <c r="AB110" s="1608"/>
      <c r="AC110" s="1608" t="s">
        <v>250</v>
      </c>
      <c r="AD110" s="1608" t="s">
        <v>251</v>
      </c>
      <c r="AE110" s="1608" t="s">
        <v>252</v>
      </c>
      <c r="AF110" s="1608" t="s">
        <v>253</v>
      </c>
      <c r="AG110" s="1608"/>
      <c r="AH110" s="1608" t="str">
        <f>IF($E$110=0,"",$E$110)</f>
        <v>Тариф на транспортировку горячей воды</v>
      </c>
      <c r="AI110" s="1608" t="str">
        <f>IF($G$110=0,"",$G$110)</f>
        <v/>
      </c>
      <c r="AJ110" s="1608" t="str">
        <f>IF($J$110=0,"",$J$110)</f>
        <v/>
      </c>
      <c r="AK110" s="1608" t="str">
        <f>IF($K$110="нет","без дифференциации",IF($N$110=0,"",$N$110))</f>
        <v/>
      </c>
      <c r="AL110" s="1608" t="str">
        <f>IF($O$110="нет","без дифференциации",IF($R$110=0,"",$R$110))</f>
        <v/>
      </c>
      <c r="AM110" s="1608" t="str">
        <f>IF($S$110="нет","без дифференциации",IF($V$110=0,"",$V$110))</f>
        <v/>
      </c>
      <c r="AN110" s="2113">
        <f>$I$110</f>
        <v>0</v>
      </c>
      <c r="AO110" s="1608" t="str">
        <f>$I$110&amp;"."&amp;$M$110</f>
        <v>.</v>
      </c>
      <c r="AP110" s="1600" t="str">
        <f>$I$110&amp;"."&amp;$M$110&amp;"."&amp;$Q$110</f>
        <v>..</v>
      </c>
      <c r="AQ110" s="1600" t="str">
        <f>$I$110&amp;"."&amp;$M$110&amp;"."&amp;$Q$110&amp;"."&amp;$U$110</f>
        <v>...</v>
      </c>
      <c r="AR110" s="1808">
        <v>0</v>
      </c>
    </row>
    <row s="17442" customFormat="1" customHeight="1" ht="17.25" hidden="1">
      <c r="A111" s="662"/>
      <c r="C111" s="661"/>
      <c r="D111" s="2476"/>
      <c r="E111" s="2484"/>
      <c r="F111" s="2487"/>
      <c r="G111" s="2484"/>
      <c r="H111" s="2490"/>
      <c r="I111" s="2492"/>
      <c r="J111" s="2494"/>
      <c r="K111" s="2479"/>
      <c r="L111" s="2479"/>
      <c r="M111" s="2479"/>
      <c r="N111" s="2481"/>
      <c r="O111" s="2479"/>
      <c r="P111" s="2479"/>
      <c r="Q111" s="2479"/>
      <c r="R111" s="2482"/>
      <c r="S111" s="2479"/>
      <c r="T111" s="1638"/>
      <c r="U111" s="1638"/>
      <c r="V111" s="1638"/>
      <c r="W111" s="1639"/>
      <c r="X111" s="1600"/>
      <c r="Y111" s="1600"/>
      <c r="Z111" s="1600"/>
      <c r="AA111" s="1600"/>
      <c r="AB111" s="1600"/>
      <c r="AC111" s="1600"/>
      <c r="AD111" s="1600"/>
      <c r="AE111" s="1600"/>
      <c r="AF111" s="1600"/>
      <c r="AG111" s="1600"/>
      <c r="AH111" s="1600"/>
      <c r="AI111" s="1600"/>
      <c r="AJ111" s="1600"/>
      <c r="AK111" s="1600"/>
      <c r="AL111" s="1600"/>
      <c r="AM111" s="1600"/>
      <c r="AN111" s="1600"/>
      <c r="AO111" s="1600"/>
      <c r="AP111" s="1600"/>
      <c r="AQ111" s="1600"/>
      <c r="AR111" s="1808">
        <v>0</v>
      </c>
    </row>
    <row s="17442" customFormat="1" customHeight="1" ht="17.25" hidden="1">
      <c r="A112" s="662"/>
      <c r="C112" s="661"/>
      <c r="D112" s="2477"/>
      <c r="E112" s="2485"/>
      <c r="F112" s="2487"/>
      <c r="G112" s="2485"/>
      <c r="H112" s="2490"/>
      <c r="I112" s="2492"/>
      <c r="J112" s="2495"/>
      <c r="K112" s="2479"/>
      <c r="L112" s="2479"/>
      <c r="M112" s="2479"/>
      <c r="N112" s="2482"/>
      <c r="O112" s="2479"/>
      <c r="P112" s="1812"/>
      <c r="Q112" s="1638"/>
      <c r="R112" s="1638"/>
      <c r="S112" s="670"/>
      <c r="T112" s="670"/>
      <c r="U112" s="670"/>
      <c r="V112" s="670"/>
      <c r="W112" s="1639"/>
      <c r="X112" s="1600"/>
      <c r="Y112" s="1600"/>
      <c r="Z112" s="1600"/>
      <c r="AA112" s="1600"/>
      <c r="AB112" s="1600"/>
      <c r="AC112" s="1600"/>
      <c r="AD112" s="1600"/>
      <c r="AE112" s="1600"/>
      <c r="AF112" s="1600"/>
      <c r="AG112" s="1600"/>
      <c r="AH112" s="1600"/>
      <c r="AI112" s="1600"/>
      <c r="AJ112" s="1600"/>
      <c r="AK112" s="1600"/>
      <c r="AL112" s="1600"/>
      <c r="AM112" s="1600"/>
      <c r="AN112" s="1600"/>
      <c r="AO112" s="1600"/>
      <c r="AP112" s="1600"/>
      <c r="AQ112" s="1600"/>
      <c r="AR112" s="1808">
        <v>0</v>
      </c>
    </row>
    <row s="17442" customFormat="1" customHeight="1" ht="17.25" hidden="1">
      <c r="A113" s="662"/>
      <c r="C113" s="661"/>
      <c r="D113" s="2477"/>
      <c r="E113" s="2485"/>
      <c r="F113" s="2487"/>
      <c r="G113" s="2485"/>
      <c r="H113" s="2490"/>
      <c r="I113" s="2492"/>
      <c r="J113" s="2495"/>
      <c r="K113" s="2479"/>
      <c r="L113" s="1638"/>
      <c r="M113" s="1638"/>
      <c r="N113" s="1638"/>
      <c r="O113" s="1638"/>
      <c r="P113" s="1638"/>
      <c r="Q113" s="1638"/>
      <c r="R113" s="1638"/>
      <c r="S113" s="670"/>
      <c r="T113" s="670"/>
      <c r="U113" s="670"/>
      <c r="V113" s="670"/>
      <c r="W113" s="1639"/>
      <c r="X113" s="1600"/>
      <c r="Y113" s="1600"/>
      <c r="Z113" s="1600"/>
      <c r="AA113" s="1600"/>
      <c r="AB113" s="1600"/>
      <c r="AC113" s="1600"/>
      <c r="AD113" s="1600"/>
      <c r="AE113" s="1600"/>
      <c r="AF113" s="1600"/>
      <c r="AG113" s="1600"/>
      <c r="AH113" s="1600"/>
      <c r="AI113" s="1600"/>
      <c r="AJ113" s="1600"/>
      <c r="AK113" s="1600"/>
      <c r="AL113" s="1600"/>
      <c r="AM113" s="1600"/>
      <c r="AN113" s="1600"/>
      <c r="AO113" s="1600"/>
      <c r="AP113" s="1600"/>
      <c r="AQ113" s="1600"/>
      <c r="AR113" s="1808">
        <v>0</v>
      </c>
    </row>
    <row s="17442" customFormat="1" customHeight="1" ht="17.25" hidden="1">
      <c r="A114" s="662"/>
      <c r="C114" s="661"/>
      <c r="D114" s="2477"/>
      <c r="E114" s="2485"/>
      <c r="F114" s="2488"/>
      <c r="G114" s="2485"/>
      <c r="H114" s="1640"/>
      <c r="I114" s="1641"/>
      <c r="J114" s="1641"/>
      <c r="K114" s="1641"/>
      <c r="L114" s="1641"/>
      <c r="M114" s="1641"/>
      <c r="N114" s="1641"/>
      <c r="O114" s="1641"/>
      <c r="P114" s="1641"/>
      <c r="Q114" s="1641"/>
      <c r="R114" s="1641"/>
      <c r="S114" s="1642"/>
      <c r="T114" s="1642"/>
      <c r="U114" s="1642"/>
      <c r="V114" s="1642"/>
      <c r="W114" s="1643"/>
      <c r="X114" s="1600"/>
      <c r="Y114" s="1600"/>
      <c r="Z114" s="1600"/>
      <c r="AA114" s="1600"/>
      <c r="AB114" s="1600"/>
      <c r="AC114" s="1600"/>
      <c r="AD114" s="1600"/>
      <c r="AE114" s="1600"/>
      <c r="AF114" s="1600"/>
      <c r="AG114" s="1600"/>
      <c r="AH114" s="1600"/>
      <c r="AI114" s="1600"/>
      <c r="AJ114" s="1600"/>
      <c r="AK114" s="1600"/>
      <c r="AL114" s="1600"/>
      <c r="AM114" s="1600"/>
      <c r="AN114" s="1600"/>
      <c r="AO114" s="1600"/>
      <c r="AP114" s="1600"/>
      <c r="AQ114" s="1600"/>
      <c r="AR114" s="1808">
        <v>0</v>
      </c>
    </row>
    <row s="17442" customFormat="1" customHeight="1" ht="17.25" hidden="1">
      <c r="A115" s="662"/>
      <c r="C115" s="550"/>
      <c r="D115" s="2476">
        <v>3</v>
      </c>
      <c r="E115" s="2484" t="s">
        <v>254</v>
      </c>
      <c r="F115" s="2486" t="s">
        <v>19</v>
      </c>
      <c r="G115" s="2484"/>
      <c r="H115" s="2489"/>
      <c r="I115" s="2491"/>
      <c r="J115" s="2493"/>
      <c r="K115" s="2478"/>
      <c r="L115" s="2478"/>
      <c r="M115" s="2478"/>
      <c r="N115" s="2480"/>
      <c r="O115" s="2478"/>
      <c r="P115" s="2478"/>
      <c r="Q115" s="2478"/>
      <c r="R115" s="2483"/>
      <c r="S115" s="2478"/>
      <c r="T115" s="2284"/>
      <c r="U115" s="2284"/>
      <c r="V115" s="2286"/>
      <c r="W115" s="1637"/>
      <c r="X115" s="1608"/>
      <c r="Y115" s="1608"/>
      <c r="Z115" s="1608"/>
      <c r="AA115" s="1608"/>
      <c r="AB115" s="1608"/>
      <c r="AC115" s="1608" t="s">
        <v>255</v>
      </c>
      <c r="AD115" s="1608" t="s">
        <v>256</v>
      </c>
      <c r="AE115" s="1608" t="s">
        <v>257</v>
      </c>
      <c r="AF115" s="1608" t="s">
        <v>258</v>
      </c>
      <c r="AG115" s="1608"/>
      <c r="AH115" s="1608" t="str">
        <f>IF($E$115=0,"",$E$115)</f>
        <v>Тариф на подключение (технологическое присоединение) к централизованной системе горячего водоснабжения</v>
      </c>
      <c r="AI115" s="1608" t="str">
        <f>IF($G$115=0,"",$G$115)</f>
        <v/>
      </c>
      <c r="AJ115" s="1608" t="str">
        <f>IF($J$115=0,"",$J$115)</f>
        <v/>
      </c>
      <c r="AK115" s="1608" t="str">
        <f>IF($K$115="нет","без дифференциации",IF($N$115=0,"",$N$115))</f>
        <v/>
      </c>
      <c r="AL115" s="1608" t="str">
        <f>IF($O$115="нет","без дифференциации",IF($R$115=0,"",$R$115))</f>
        <v/>
      </c>
      <c r="AM115" s="1608" t="str">
        <f>IF($S$115="нет","без дифференциации",IF($V$115=0,"",$V$115))</f>
        <v/>
      </c>
      <c r="AN115" s="2113">
        <f>$I$115</f>
        <v>0</v>
      </c>
      <c r="AO115" s="1608" t="str">
        <f>$I$115&amp;"."&amp;$M$115</f>
        <v>.</v>
      </c>
      <c r="AP115" s="1607" t="str">
        <f>$I$115&amp;"."&amp;$M$115&amp;"."&amp;$Q$115</f>
        <v>..</v>
      </c>
      <c r="AQ115" s="1607" t="str">
        <f>$I$115&amp;"."&amp;$M$115&amp;"."&amp;$Q$115&amp;"."&amp;$U$115</f>
        <v>...</v>
      </c>
      <c r="AR115" s="1808">
        <v>0</v>
      </c>
    </row>
    <row s="17442" customFormat="1" customHeight="1" ht="17.25" hidden="1">
      <c r="A116" s="662"/>
      <c r="C116" s="661"/>
      <c r="D116" s="2476"/>
      <c r="E116" s="2484"/>
      <c r="F116" s="2487"/>
      <c r="G116" s="2484"/>
      <c r="H116" s="2490"/>
      <c r="I116" s="2492"/>
      <c r="J116" s="2494"/>
      <c r="K116" s="2479"/>
      <c r="L116" s="2479"/>
      <c r="M116" s="2479"/>
      <c r="N116" s="2481"/>
      <c r="O116" s="2479"/>
      <c r="P116" s="2479"/>
      <c r="Q116" s="2479"/>
      <c r="R116" s="2482"/>
      <c r="S116" s="2479"/>
      <c r="T116" s="2289"/>
      <c r="U116" s="2289"/>
      <c r="V116" s="2289"/>
      <c r="W116" s="2290"/>
      <c r="X116" s="1607"/>
      <c r="Y116" s="1607"/>
      <c r="Z116" s="1607"/>
      <c r="AA116" s="1607"/>
      <c r="AB116" s="1607"/>
      <c r="AC116" s="1607"/>
      <c r="AD116" s="1607"/>
      <c r="AE116" s="1607"/>
      <c r="AF116" s="1607"/>
      <c r="AG116" s="1607"/>
      <c r="AH116" s="1607"/>
      <c r="AI116" s="1607"/>
      <c r="AJ116" s="1607"/>
      <c r="AK116" s="1607"/>
      <c r="AL116" s="1607"/>
      <c r="AM116" s="1607"/>
      <c r="AN116" s="1607"/>
      <c r="AO116" s="1607"/>
      <c r="AP116" s="1607"/>
      <c r="AQ116" s="1607"/>
      <c r="AR116" s="1808">
        <v>0</v>
      </c>
    </row>
    <row s="17442" customFormat="1" customHeight="1" ht="17.25" hidden="1">
      <c r="A117" s="662"/>
      <c r="C117" s="661"/>
      <c r="D117" s="2477"/>
      <c r="E117" s="2485"/>
      <c r="F117" s="2487"/>
      <c r="G117" s="2485"/>
      <c r="H117" s="2490"/>
      <c r="I117" s="2492"/>
      <c r="J117" s="2495"/>
      <c r="K117" s="2479"/>
      <c r="L117" s="2479"/>
      <c r="M117" s="2479"/>
      <c r="N117" s="2482"/>
      <c r="O117" s="2479"/>
      <c r="P117" s="2285"/>
      <c r="Q117" s="2289"/>
      <c r="R117" s="2289"/>
      <c r="S117" s="670"/>
      <c r="T117" s="670"/>
      <c r="U117" s="670"/>
      <c r="V117" s="670"/>
      <c r="W117" s="2290"/>
      <c r="X117" s="1607"/>
      <c r="Y117" s="1607"/>
      <c r="Z117" s="1607"/>
      <c r="AA117" s="1607"/>
      <c r="AB117" s="1607"/>
      <c r="AC117" s="1607"/>
      <c r="AD117" s="1607"/>
      <c r="AE117" s="1607"/>
      <c r="AF117" s="1607"/>
      <c r="AG117" s="1607"/>
      <c r="AH117" s="1607"/>
      <c r="AI117" s="1607"/>
      <c r="AJ117" s="1607"/>
      <c r="AK117" s="1607"/>
      <c r="AL117" s="1607"/>
      <c r="AM117" s="1607"/>
      <c r="AN117" s="1607"/>
      <c r="AO117" s="1607"/>
      <c r="AP117" s="1607"/>
      <c r="AQ117" s="1607"/>
      <c r="AR117" s="1808">
        <v>0</v>
      </c>
    </row>
    <row s="17442" customFormat="1" customHeight="1" ht="17.25" hidden="1">
      <c r="A118" s="662"/>
      <c r="C118" s="661"/>
      <c r="D118" s="2477"/>
      <c r="E118" s="2485"/>
      <c r="F118" s="2487"/>
      <c r="G118" s="2485"/>
      <c r="H118" s="2490"/>
      <c r="I118" s="2492"/>
      <c r="J118" s="2495"/>
      <c r="K118" s="2479"/>
      <c r="L118" s="2289"/>
      <c r="M118" s="2289"/>
      <c r="N118" s="2289"/>
      <c r="O118" s="2289"/>
      <c r="P118" s="2289"/>
      <c r="Q118" s="2289"/>
      <c r="R118" s="2289"/>
      <c r="S118" s="670"/>
      <c r="T118" s="670"/>
      <c r="U118" s="670"/>
      <c r="V118" s="670"/>
      <c r="W118" s="2290"/>
      <c r="X118" s="1607"/>
      <c r="Y118" s="1607"/>
      <c r="Z118" s="1607"/>
      <c r="AA118" s="1607"/>
      <c r="AB118" s="1607"/>
      <c r="AC118" s="1607"/>
      <c r="AD118" s="1607"/>
      <c r="AE118" s="1607"/>
      <c r="AF118" s="1607"/>
      <c r="AG118" s="1607"/>
      <c r="AH118" s="1607"/>
      <c r="AI118" s="1607"/>
      <c r="AJ118" s="1607"/>
      <c r="AK118" s="1607"/>
      <c r="AL118" s="1607"/>
      <c r="AM118" s="1607"/>
      <c r="AN118" s="1607"/>
      <c r="AO118" s="1607"/>
      <c r="AP118" s="1607"/>
      <c r="AQ118" s="1607"/>
      <c r="AR118" s="1808">
        <v>0</v>
      </c>
    </row>
    <row s="17442" customFormat="1" customHeight="1" ht="17.25" hidden="1">
      <c r="A119" s="662"/>
      <c r="C119" s="661"/>
      <c r="D119" s="2477"/>
      <c r="E119" s="2485"/>
      <c r="F119" s="2488"/>
      <c r="G119" s="2485"/>
      <c r="H119" s="1640"/>
      <c r="I119" s="2287"/>
      <c r="J119" s="2287"/>
      <c r="K119" s="2287"/>
      <c r="L119" s="2287"/>
      <c r="M119" s="2287"/>
      <c r="N119" s="2287"/>
      <c r="O119" s="2287"/>
      <c r="P119" s="2287"/>
      <c r="Q119" s="2287"/>
      <c r="R119" s="2287"/>
      <c r="S119" s="1642"/>
      <c r="T119" s="1642"/>
      <c r="U119" s="1642"/>
      <c r="V119" s="1642"/>
      <c r="W119" s="2288"/>
      <c r="X119" s="1607"/>
      <c r="Y119" s="1607"/>
      <c r="Z119" s="1607"/>
      <c r="AA119" s="1607"/>
      <c r="AB119" s="1607"/>
      <c r="AC119" s="1607"/>
      <c r="AD119" s="1607"/>
      <c r="AE119" s="1607"/>
      <c r="AF119" s="1607"/>
      <c r="AG119" s="1607"/>
      <c r="AH119" s="1607"/>
      <c r="AI119" s="1607"/>
      <c r="AJ119" s="1607"/>
      <c r="AK119" s="1607"/>
      <c r="AL119" s="1607"/>
      <c r="AM119" s="1607"/>
      <c r="AN119" s="1607"/>
      <c r="AO119" s="1607"/>
      <c r="AP119" s="1607"/>
      <c r="AQ119" s="1607"/>
      <c r="AR119" s="1808">
        <v>0</v>
      </c>
    </row>
    <row s="17442" customFormat="1" customHeight="1" ht="11.25" hidden="1">
      <c r="A120" s="618"/>
      <c r="B120" s="618"/>
      <c r="Y120" s="1600"/>
      <c r="Z120" s="1600"/>
      <c r="AA120" s="1600"/>
      <c r="AB120" s="1600"/>
      <c r="AC120" s="1600"/>
      <c r="AD120" s="1600"/>
      <c r="AE120" s="1600"/>
      <c r="AF120" s="1600"/>
      <c r="AG120" s="1600"/>
      <c r="AH120" s="1600"/>
      <c r="AI120" s="1600"/>
      <c r="AJ120" s="1600"/>
      <c r="AK120" s="1600"/>
      <c r="AL120" s="1600"/>
      <c r="AM120" s="1600"/>
      <c r="AN120" s="1600"/>
      <c r="AO120" s="1600"/>
      <c r="AP120" s="1600"/>
      <c r="AQ120" s="1600"/>
      <c r="AR120" s="1808">
        <v>0</v>
      </c>
    </row>
    <row s="17442" customFormat="1" customHeight="1" ht="17.25" hidden="1">
      <c r="A121" s="662"/>
      <c r="C121" s="550"/>
      <c r="D121" s="2476">
        <v>1</v>
      </c>
      <c r="E121" s="2484" t="s">
        <v>259</v>
      </c>
      <c r="F121" s="2486" t="s">
        <v>19</v>
      </c>
      <c r="G121" s="2484"/>
      <c r="H121" s="2489"/>
      <c r="I121" s="2491"/>
      <c r="J121" s="2493"/>
      <c r="K121" s="2478"/>
      <c r="L121" s="2478"/>
      <c r="M121" s="2478"/>
      <c r="N121" s="2480"/>
      <c r="O121" s="2478"/>
      <c r="P121" s="2478"/>
      <c r="Q121" s="2478"/>
      <c r="R121" s="2483"/>
      <c r="S121" s="2478"/>
      <c r="T121" s="1811"/>
      <c r="U121" s="1811"/>
      <c r="V121" s="1813"/>
      <c r="W121" s="1637"/>
      <c r="Y121" s="1608"/>
      <c r="Z121" s="1608"/>
      <c r="AA121" s="1608"/>
      <c r="AB121" s="1608"/>
      <c r="AC121" s="1608" t="s">
        <v>260</v>
      </c>
      <c r="AD121" s="1608" t="s">
        <v>261</v>
      </c>
      <c r="AE121" s="1608" t="s">
        <v>262</v>
      </c>
      <c r="AF121" s="1608" t="s">
        <v>263</v>
      </c>
      <c r="AG121" s="1608"/>
      <c r="AH121" s="1608" t="str">
        <f>IF($E$121=0,"",$E$121)</f>
        <v>Тариф на водоотведение</v>
      </c>
      <c r="AI121" s="1608" t="str">
        <f>IF($G$121=0,"",$G$121)</f>
        <v/>
      </c>
      <c r="AJ121" s="1608" t="str">
        <f>IF($J$121=0,"",$J$121)</f>
        <v/>
      </c>
      <c r="AK121" s="1608" t="str">
        <f>IF($K$121="нет","без дифференциации",IF($N$121=0,"",$N$121))</f>
        <v/>
      </c>
      <c r="AL121" s="1608" t="str">
        <f>IF($O$121="нет","без дифференциации",IF($R$121=0,"",$R$121))</f>
        <v/>
      </c>
      <c r="AM121" s="1608" t="str">
        <f>IF($S$121="нет","без дифференциации",IF($V$121=0,"",$V$121))</f>
        <v/>
      </c>
      <c r="AN121" s="1608">
        <f>$I$121</f>
        <v>0</v>
      </c>
      <c r="AO121" s="1608" t="str">
        <f>$I$121&amp;"."&amp;$M$121</f>
        <v>.</v>
      </c>
      <c r="AP121" s="1608" t="str">
        <f>$I$121&amp;"."&amp;$M$121&amp;"."&amp;$Q$121</f>
        <v>..</v>
      </c>
      <c r="AQ121" s="1608" t="str">
        <f>$I$121&amp;"."&amp;$M$121&amp;"."&amp;$Q$121&amp;"."&amp;$U$121</f>
        <v>...</v>
      </c>
      <c r="AR121" s="1808">
        <v>0</v>
      </c>
    </row>
    <row s="17442" customFormat="1" customHeight="1" ht="17.25" hidden="1">
      <c r="A122" s="662"/>
      <c r="C122" s="661"/>
      <c r="D122" s="2476"/>
      <c r="E122" s="2484"/>
      <c r="F122" s="2487"/>
      <c r="G122" s="2484"/>
      <c r="H122" s="2490"/>
      <c r="I122" s="2492"/>
      <c r="J122" s="2494"/>
      <c r="K122" s="2479"/>
      <c r="L122" s="2479"/>
      <c r="M122" s="2479"/>
      <c r="N122" s="2481"/>
      <c r="O122" s="2479"/>
      <c r="P122" s="2479"/>
      <c r="Q122" s="2479"/>
      <c r="R122" s="2482"/>
      <c r="S122" s="2479"/>
      <c r="T122" s="1638"/>
      <c r="U122" s="1638"/>
      <c r="V122" s="1638"/>
      <c r="W122" s="1639"/>
      <c r="Y122" s="1600"/>
      <c r="Z122" s="1600"/>
      <c r="AA122" s="1600"/>
      <c r="AB122" s="1600"/>
      <c r="AC122" s="1600"/>
      <c r="AD122" s="1600"/>
      <c r="AE122" s="1600"/>
      <c r="AF122" s="1600"/>
      <c r="AG122" s="1600"/>
      <c r="AH122" s="1600"/>
      <c r="AI122" s="1600"/>
      <c r="AJ122" s="1600"/>
      <c r="AK122" s="1600"/>
      <c r="AL122" s="1600"/>
      <c r="AM122" s="1600"/>
      <c r="AN122" s="1600"/>
      <c r="AO122" s="1600"/>
      <c r="AP122" s="1600"/>
      <c r="AQ122" s="1600"/>
      <c r="AR122" s="1808">
        <v>0</v>
      </c>
    </row>
    <row s="17442" customFormat="1" customHeight="1" ht="17.25" hidden="1">
      <c r="A123" s="662"/>
      <c r="C123" s="550"/>
      <c r="D123" s="2476"/>
      <c r="E123" s="2484"/>
      <c r="F123" s="2487"/>
      <c r="G123" s="2484"/>
      <c r="H123" s="2490"/>
      <c r="I123" s="2492"/>
      <c r="J123" s="2495"/>
      <c r="K123" s="2479"/>
      <c r="L123" s="2479"/>
      <c r="M123" s="2479"/>
      <c r="N123" s="2482"/>
      <c r="O123" s="2479"/>
      <c r="P123" s="1812"/>
      <c r="Q123" s="1638"/>
      <c r="R123" s="1638"/>
      <c r="S123" s="670"/>
      <c r="T123" s="670"/>
      <c r="U123" s="670"/>
      <c r="V123" s="670"/>
      <c r="W123" s="1639"/>
      <c r="Y123" s="1608"/>
      <c r="Z123" s="1608"/>
      <c r="AA123" s="1608"/>
      <c r="AB123" s="1608"/>
      <c r="AC123" s="1608"/>
      <c r="AD123" s="1608"/>
      <c r="AE123" s="1608"/>
      <c r="AF123" s="1608"/>
      <c r="AG123" s="1608"/>
      <c r="AH123" s="1608"/>
      <c r="AI123" s="1608"/>
      <c r="AJ123" s="1608"/>
      <c r="AK123" s="1608"/>
      <c r="AL123" s="1608"/>
      <c r="AM123" s="1608"/>
      <c r="AN123" s="1608"/>
      <c r="AO123" s="1608"/>
      <c r="AP123" s="1608"/>
      <c r="AQ123" s="1608"/>
      <c r="AR123" s="1808">
        <v>0</v>
      </c>
    </row>
    <row s="17442" customFormat="1" customHeight="1" ht="17.25" hidden="1">
      <c r="A124" s="662"/>
      <c r="C124" s="661"/>
      <c r="D124" s="2476"/>
      <c r="E124" s="2484"/>
      <c r="F124" s="2487"/>
      <c r="G124" s="2484"/>
      <c r="H124" s="2490"/>
      <c r="I124" s="2492"/>
      <c r="J124" s="2495"/>
      <c r="K124" s="2479"/>
      <c r="L124" s="1638"/>
      <c r="M124" s="1638"/>
      <c r="N124" s="1638"/>
      <c r="O124" s="1638"/>
      <c r="P124" s="1638"/>
      <c r="Q124" s="1638"/>
      <c r="R124" s="1638"/>
      <c r="S124" s="670"/>
      <c r="T124" s="670"/>
      <c r="U124" s="670"/>
      <c r="V124" s="670"/>
      <c r="W124" s="1639"/>
      <c r="Y124" s="1600"/>
      <c r="Z124" s="1600"/>
      <c r="AA124" s="1600"/>
      <c r="AB124" s="1600"/>
      <c r="AC124" s="1600"/>
      <c r="AD124" s="1600"/>
      <c r="AE124" s="1600"/>
      <c r="AF124" s="1600"/>
      <c r="AG124" s="1600"/>
      <c r="AH124" s="1600"/>
      <c r="AI124" s="1600"/>
      <c r="AJ124" s="1600"/>
      <c r="AK124" s="1600"/>
      <c r="AL124" s="1600"/>
      <c r="AM124" s="1600"/>
      <c r="AN124" s="1600"/>
      <c r="AO124" s="1600"/>
      <c r="AP124" s="1600"/>
      <c r="AQ124" s="1600"/>
      <c r="AR124" s="1808">
        <v>0</v>
      </c>
    </row>
    <row s="17442" customFormat="1" customHeight="1" ht="17.25" hidden="1">
      <c r="A125" s="662"/>
      <c r="C125" s="661"/>
      <c r="D125" s="2477"/>
      <c r="E125" s="2485"/>
      <c r="F125" s="2488"/>
      <c r="G125" s="2485"/>
      <c r="H125" s="1640"/>
      <c r="I125" s="1641"/>
      <c r="J125" s="1641"/>
      <c r="K125" s="1641"/>
      <c r="L125" s="1641"/>
      <c r="M125" s="1641"/>
      <c r="N125" s="1641"/>
      <c r="O125" s="1641"/>
      <c r="P125" s="1641"/>
      <c r="Q125" s="1641"/>
      <c r="R125" s="1641"/>
      <c r="S125" s="1642"/>
      <c r="T125" s="1642"/>
      <c r="U125" s="1642"/>
      <c r="V125" s="1642"/>
      <c r="W125" s="1643"/>
      <c r="Y125" s="1600"/>
      <c r="Z125" s="1600"/>
      <c r="AA125" s="1600"/>
      <c r="AB125" s="1600"/>
      <c r="AC125" s="1600"/>
      <c r="AD125" s="1600"/>
      <c r="AE125" s="1600"/>
      <c r="AF125" s="1600"/>
      <c r="AG125" s="1600"/>
      <c r="AH125" s="1600"/>
      <c r="AI125" s="1600"/>
      <c r="AJ125" s="1600"/>
      <c r="AK125" s="1600"/>
      <c r="AL125" s="1600"/>
      <c r="AM125" s="1600"/>
      <c r="AN125" s="1600"/>
      <c r="AO125" s="1600"/>
      <c r="AP125" s="1600"/>
      <c r="AQ125" s="1600"/>
      <c r="AR125" s="1808">
        <v>0</v>
      </c>
    </row>
    <row s="17442" customFormat="1" customHeight="1" ht="17.25" hidden="1">
      <c r="A126" s="662"/>
      <c r="C126" s="550"/>
      <c r="D126" s="2476">
        <v>2</v>
      </c>
      <c r="E126" s="2484" t="s">
        <v>264</v>
      </c>
      <c r="F126" s="2486" t="s">
        <v>19</v>
      </c>
      <c r="G126" s="2484"/>
      <c r="H126" s="2489"/>
      <c r="I126" s="2491"/>
      <c r="J126" s="2493"/>
      <c r="K126" s="2478"/>
      <c r="L126" s="2478"/>
      <c r="M126" s="2478"/>
      <c r="N126" s="2480"/>
      <c r="O126" s="2478"/>
      <c r="P126" s="2478"/>
      <c r="Q126" s="2478"/>
      <c r="R126" s="2483"/>
      <c r="S126" s="2478"/>
      <c r="T126" s="1811"/>
      <c r="U126" s="1811"/>
      <c r="V126" s="1813"/>
      <c r="W126" s="1637"/>
      <c r="X126" s="1608"/>
      <c r="Y126" s="1608"/>
      <c r="Z126" s="1608"/>
      <c r="AA126" s="1608"/>
      <c r="AB126" s="1608"/>
      <c r="AC126" s="1608" t="s">
        <v>265</v>
      </c>
      <c r="AD126" s="1608" t="s">
        <v>266</v>
      </c>
      <c r="AE126" s="1608" t="s">
        <v>267</v>
      </c>
      <c r="AF126" s="1608" t="s">
        <v>268</v>
      </c>
      <c r="AG126" s="1608"/>
      <c r="AH126" s="1608" t="str">
        <f>IF($E$126=0,"",$E$126)</f>
        <v>Тариф на транспортировку сточных вод</v>
      </c>
      <c r="AI126" s="1608" t="str">
        <f>IF($G$126=0,"",$G$126)</f>
        <v/>
      </c>
      <c r="AJ126" s="1608" t="str">
        <f>IF($J$126=0,"",$J$126)</f>
        <v/>
      </c>
      <c r="AK126" s="1608" t="str">
        <f>IF($K$126="нет","без дифференциации",IF($N$126=0,"",$N$126))</f>
        <v/>
      </c>
      <c r="AL126" s="1608" t="str">
        <f>IF($O$126="нет","без дифференциации",IF($R$126=0,"",$R$126))</f>
        <v/>
      </c>
      <c r="AM126" s="1608" t="str">
        <f>IF($S$126="нет","без дифференциации",IF($V$126=0,"",$V$126))</f>
        <v/>
      </c>
      <c r="AN126" s="2113">
        <f>$I$126</f>
        <v>0</v>
      </c>
      <c r="AO126" s="1608" t="str">
        <f>$I$126&amp;"."&amp;$M$126</f>
        <v>.</v>
      </c>
      <c r="AP126" s="1600" t="str">
        <f>$I$126&amp;"."&amp;$M$126&amp;"."&amp;$Q$126</f>
        <v>..</v>
      </c>
      <c r="AQ126" s="1600" t="str">
        <f>$I$126&amp;"."&amp;$M$126&amp;"."&amp;$Q$126&amp;"."&amp;$U$126</f>
        <v>...</v>
      </c>
      <c r="AR126" s="1808">
        <v>0</v>
      </c>
    </row>
    <row s="17442" customFormat="1" customHeight="1" ht="17.25" hidden="1">
      <c r="A127" s="662"/>
      <c r="C127" s="661"/>
      <c r="D127" s="2476"/>
      <c r="E127" s="2484"/>
      <c r="F127" s="2487"/>
      <c r="G127" s="2484"/>
      <c r="H127" s="2490"/>
      <c r="I127" s="2492"/>
      <c r="J127" s="2494"/>
      <c r="K127" s="2479"/>
      <c r="L127" s="2479"/>
      <c r="M127" s="2479"/>
      <c r="N127" s="2481"/>
      <c r="O127" s="2479"/>
      <c r="P127" s="2479"/>
      <c r="Q127" s="2479"/>
      <c r="R127" s="2482"/>
      <c r="S127" s="2479"/>
      <c r="T127" s="1638"/>
      <c r="U127" s="1638"/>
      <c r="V127" s="1638"/>
      <c r="W127" s="1639"/>
      <c r="X127" s="1600"/>
      <c r="Y127" s="1600"/>
      <c r="Z127" s="1600"/>
      <c r="AA127" s="1600"/>
      <c r="AB127" s="1600"/>
      <c r="AC127" s="1600"/>
      <c r="AD127" s="1600"/>
      <c r="AE127" s="1600"/>
      <c r="AF127" s="1600"/>
      <c r="AG127" s="1600"/>
      <c r="AH127" s="1600"/>
      <c r="AI127" s="1600"/>
      <c r="AJ127" s="1600"/>
      <c r="AK127" s="1600"/>
      <c r="AL127" s="1600"/>
      <c r="AM127" s="1600"/>
      <c r="AN127" s="1600"/>
      <c r="AO127" s="1600"/>
      <c r="AP127" s="1600"/>
      <c r="AQ127" s="1600"/>
      <c r="AR127" s="1808">
        <v>0</v>
      </c>
    </row>
    <row s="17442" customFormat="1" customHeight="1" ht="17.25" hidden="1">
      <c r="A128" s="662"/>
      <c r="C128" s="661"/>
      <c r="D128" s="2477"/>
      <c r="E128" s="2485"/>
      <c r="F128" s="2487"/>
      <c r="G128" s="2485"/>
      <c r="H128" s="2490"/>
      <c r="I128" s="2492"/>
      <c r="J128" s="2495"/>
      <c r="K128" s="2479"/>
      <c r="L128" s="2479"/>
      <c r="M128" s="2479"/>
      <c r="N128" s="2482"/>
      <c r="O128" s="2479"/>
      <c r="P128" s="1812"/>
      <c r="Q128" s="1638"/>
      <c r="R128" s="1638"/>
      <c r="S128" s="670"/>
      <c r="T128" s="670"/>
      <c r="U128" s="670"/>
      <c r="V128" s="670"/>
      <c r="W128" s="1639"/>
      <c r="X128" s="1600"/>
      <c r="Y128" s="1600"/>
      <c r="Z128" s="1600"/>
      <c r="AA128" s="1600"/>
      <c r="AB128" s="1600"/>
      <c r="AC128" s="1600"/>
      <c r="AD128" s="1600"/>
      <c r="AE128" s="1600"/>
      <c r="AF128" s="1600"/>
      <c r="AG128" s="1600"/>
      <c r="AH128" s="1600"/>
      <c r="AI128" s="1600"/>
      <c r="AJ128" s="1600"/>
      <c r="AK128" s="1600"/>
      <c r="AL128" s="1600"/>
      <c r="AM128" s="1600"/>
      <c r="AN128" s="1600"/>
      <c r="AO128" s="1600"/>
      <c r="AP128" s="1600"/>
      <c r="AQ128" s="1600"/>
      <c r="AR128" s="1808">
        <v>0</v>
      </c>
    </row>
    <row s="17442" customFormat="1" customHeight="1" ht="17.25" hidden="1">
      <c r="A129" s="662"/>
      <c r="C129" s="661"/>
      <c r="D129" s="2477"/>
      <c r="E129" s="2485"/>
      <c r="F129" s="2487"/>
      <c r="G129" s="2485"/>
      <c r="H129" s="2490"/>
      <c r="I129" s="2492"/>
      <c r="J129" s="2495"/>
      <c r="K129" s="2479"/>
      <c r="L129" s="1638"/>
      <c r="M129" s="1638"/>
      <c r="N129" s="1638"/>
      <c r="O129" s="1638"/>
      <c r="P129" s="1638"/>
      <c r="Q129" s="1638"/>
      <c r="R129" s="1638"/>
      <c r="S129" s="670"/>
      <c r="T129" s="670"/>
      <c r="U129" s="670"/>
      <c r="V129" s="670"/>
      <c r="W129" s="1639"/>
      <c r="X129" s="1600"/>
      <c r="Y129" s="1600"/>
      <c r="Z129" s="1600"/>
      <c r="AA129" s="1600"/>
      <c r="AB129" s="1600"/>
      <c r="AC129" s="1600"/>
      <c r="AD129" s="1600"/>
      <c r="AE129" s="1600"/>
      <c r="AF129" s="1600"/>
      <c r="AG129" s="1600"/>
      <c r="AH129" s="1600"/>
      <c r="AI129" s="1600"/>
      <c r="AJ129" s="1600"/>
      <c r="AK129" s="1600"/>
      <c r="AL129" s="1600"/>
      <c r="AM129" s="1600"/>
      <c r="AN129" s="1600"/>
      <c r="AO129" s="1600"/>
      <c r="AP129" s="1600"/>
      <c r="AQ129" s="1600"/>
      <c r="AR129" s="1808">
        <v>0</v>
      </c>
    </row>
    <row s="17442" customFormat="1" customHeight="1" ht="17.25" hidden="1">
      <c r="A130" s="662"/>
      <c r="C130" s="661"/>
      <c r="D130" s="2477"/>
      <c r="E130" s="2485"/>
      <c r="F130" s="2488"/>
      <c r="G130" s="2485"/>
      <c r="H130" s="1640"/>
      <c r="I130" s="1641"/>
      <c r="J130" s="1641"/>
      <c r="K130" s="1641"/>
      <c r="L130" s="1641"/>
      <c r="M130" s="1641"/>
      <c r="N130" s="1641"/>
      <c r="O130" s="1641"/>
      <c r="P130" s="1641"/>
      <c r="Q130" s="1641"/>
      <c r="R130" s="1641"/>
      <c r="S130" s="1642"/>
      <c r="T130" s="1642"/>
      <c r="U130" s="1642"/>
      <c r="V130" s="1642"/>
      <c r="W130" s="1643"/>
      <c r="X130" s="1600"/>
      <c r="Y130" s="1600"/>
      <c r="Z130" s="1600"/>
      <c r="AA130" s="1600"/>
      <c r="AB130" s="1600"/>
      <c r="AC130" s="1600"/>
      <c r="AD130" s="1600"/>
      <c r="AE130" s="1600"/>
      <c r="AF130" s="1600"/>
      <c r="AG130" s="1600"/>
      <c r="AH130" s="1600"/>
      <c r="AI130" s="1600"/>
      <c r="AJ130" s="1600"/>
      <c r="AK130" s="1600"/>
      <c r="AL130" s="1600"/>
      <c r="AM130" s="1600"/>
      <c r="AN130" s="1600"/>
      <c r="AO130" s="1600"/>
      <c r="AP130" s="1600"/>
      <c r="AQ130" s="1600"/>
      <c r="AR130" s="1808">
        <v>0</v>
      </c>
    </row>
    <row s="17442" customFormat="1" customHeight="1" ht="17.25" hidden="1">
      <c r="A131" s="662"/>
      <c r="C131" s="550"/>
      <c r="D131" s="2476">
        <v>3</v>
      </c>
      <c r="E131" s="2484" t="s">
        <v>269</v>
      </c>
      <c r="F131" s="2486" t="s">
        <v>19</v>
      </c>
      <c r="G131" s="2484"/>
      <c r="H131" s="2489"/>
      <c r="I131" s="2491"/>
      <c r="J131" s="2493"/>
      <c r="K131" s="2478"/>
      <c r="L131" s="2478"/>
      <c r="M131" s="2478"/>
      <c r="N131" s="2480"/>
      <c r="O131" s="2478"/>
      <c r="P131" s="2478"/>
      <c r="Q131" s="2478"/>
      <c r="R131" s="2483"/>
      <c r="S131" s="2478"/>
      <c r="T131" s="2284"/>
      <c r="U131" s="2284"/>
      <c r="V131" s="2286"/>
      <c r="W131" s="1637"/>
      <c r="X131" s="1608"/>
      <c r="Y131" s="1608"/>
      <c r="Z131" s="1608"/>
      <c r="AA131" s="1608"/>
      <c r="AB131" s="1608"/>
      <c r="AC131" s="1608" t="s">
        <v>270</v>
      </c>
      <c r="AD131" s="1608" t="s">
        <v>271</v>
      </c>
      <c r="AE131" s="1608" t="s">
        <v>272</v>
      </c>
      <c r="AF131" s="1608" t="s">
        <v>273</v>
      </c>
      <c r="AG131" s="1608"/>
      <c r="AH131" s="1608" t="str">
        <f>IF($E$131=0,"",$E$131)</f>
        <v>Тариф на подключение (технологическое присоединение) к централизованной системе водоотведения</v>
      </c>
      <c r="AI131" s="1608" t="str">
        <f>IF($G$131=0,"",$G$131)</f>
        <v/>
      </c>
      <c r="AJ131" s="1608" t="str">
        <f>IF($J$131=0,"",$J$131)</f>
        <v/>
      </c>
      <c r="AK131" s="1608" t="str">
        <f>IF($K$131="нет","без дифференциации",IF($N$131=0,"",$N$131))</f>
        <v/>
      </c>
      <c r="AL131" s="1608" t="str">
        <f>IF($O$131="нет","без дифференциации",IF($R$131=0,"",$R$131))</f>
        <v/>
      </c>
      <c r="AM131" s="1608" t="str">
        <f>IF($S$131="нет","без дифференциации",IF($V$131=0,"",$V$131))</f>
        <v/>
      </c>
      <c r="AN131" s="2113">
        <f>$I$131</f>
        <v>0</v>
      </c>
      <c r="AO131" s="1608" t="str">
        <f>$I$131&amp;"."&amp;$M$131</f>
        <v>.</v>
      </c>
      <c r="AP131" s="1607" t="str">
        <f>$I$131&amp;"."&amp;$M$131&amp;"."&amp;$Q$131</f>
        <v>..</v>
      </c>
      <c r="AQ131" s="1607" t="str">
        <f>$I$131&amp;"."&amp;$M$131&amp;"."&amp;$Q$131&amp;"."&amp;$U$131</f>
        <v>...</v>
      </c>
      <c r="AR131" s="1808">
        <v>0</v>
      </c>
    </row>
    <row s="17442" customFormat="1" customHeight="1" ht="17.25" hidden="1">
      <c r="A132" s="662"/>
      <c r="C132" s="661"/>
      <c r="D132" s="2476"/>
      <c r="E132" s="2484"/>
      <c r="F132" s="2487"/>
      <c r="G132" s="2484"/>
      <c r="H132" s="2490"/>
      <c r="I132" s="2492"/>
      <c r="J132" s="2494"/>
      <c r="K132" s="2479"/>
      <c r="L132" s="2479"/>
      <c r="M132" s="2479"/>
      <c r="N132" s="2481"/>
      <c r="O132" s="2479"/>
      <c r="P132" s="2479"/>
      <c r="Q132" s="2479"/>
      <c r="R132" s="2482"/>
      <c r="S132" s="2479"/>
      <c r="T132" s="2289"/>
      <c r="U132" s="2289"/>
      <c r="V132" s="2289"/>
      <c r="W132" s="2290"/>
      <c r="X132" s="1607"/>
      <c r="Y132" s="1607"/>
      <c r="Z132" s="1607"/>
      <c r="AA132" s="1607"/>
      <c r="AB132" s="1607"/>
      <c r="AC132" s="1607"/>
      <c r="AD132" s="1607"/>
      <c r="AE132" s="1607"/>
      <c r="AF132" s="1607"/>
      <c r="AG132" s="1607"/>
      <c r="AH132" s="1607"/>
      <c r="AI132" s="1607"/>
      <c r="AJ132" s="1607"/>
      <c r="AK132" s="1607"/>
      <c r="AL132" s="1607"/>
      <c r="AM132" s="1607"/>
      <c r="AN132" s="1607"/>
      <c r="AO132" s="1607"/>
      <c r="AP132" s="1607"/>
      <c r="AQ132" s="1607"/>
      <c r="AR132" s="1808">
        <v>0</v>
      </c>
    </row>
    <row s="17442" customFormat="1" customHeight="1" ht="17.25" hidden="1">
      <c r="A133" s="662"/>
      <c r="C133" s="661"/>
      <c r="D133" s="2477"/>
      <c r="E133" s="2485"/>
      <c r="F133" s="2487"/>
      <c r="G133" s="2485"/>
      <c r="H133" s="2490"/>
      <c r="I133" s="2492"/>
      <c r="J133" s="2495"/>
      <c r="K133" s="2479"/>
      <c r="L133" s="2479"/>
      <c r="M133" s="2479"/>
      <c r="N133" s="2482"/>
      <c r="O133" s="2479"/>
      <c r="P133" s="2285"/>
      <c r="Q133" s="2289"/>
      <c r="R133" s="2289"/>
      <c r="S133" s="670"/>
      <c r="T133" s="670"/>
      <c r="U133" s="670"/>
      <c r="V133" s="670"/>
      <c r="W133" s="2290"/>
      <c r="X133" s="1607"/>
      <c r="Y133" s="1607"/>
      <c r="Z133" s="1607"/>
      <c r="AA133" s="1607"/>
      <c r="AB133" s="1607"/>
      <c r="AC133" s="1607"/>
      <c r="AD133" s="1607"/>
      <c r="AE133" s="1607"/>
      <c r="AF133" s="1607"/>
      <c r="AG133" s="1607"/>
      <c r="AH133" s="1607"/>
      <c r="AI133" s="1607"/>
      <c r="AJ133" s="1607"/>
      <c r="AK133" s="1607"/>
      <c r="AL133" s="1607"/>
      <c r="AM133" s="1607"/>
      <c r="AN133" s="1607"/>
      <c r="AO133" s="1607"/>
      <c r="AP133" s="1607"/>
      <c r="AQ133" s="1607"/>
      <c r="AR133" s="1808">
        <v>0</v>
      </c>
    </row>
    <row s="17442" customFormat="1" customHeight="1" ht="17.25" hidden="1">
      <c r="A134" s="662"/>
      <c r="C134" s="661"/>
      <c r="D134" s="2477"/>
      <c r="E134" s="2485"/>
      <c r="F134" s="2487"/>
      <c r="G134" s="2485"/>
      <c r="H134" s="2490"/>
      <c r="I134" s="2492"/>
      <c r="J134" s="2495"/>
      <c r="K134" s="2479"/>
      <c r="L134" s="2289"/>
      <c r="M134" s="2289"/>
      <c r="N134" s="2289"/>
      <c r="O134" s="2289"/>
      <c r="P134" s="2289"/>
      <c r="Q134" s="2289"/>
      <c r="R134" s="2289"/>
      <c r="S134" s="670"/>
      <c r="T134" s="670"/>
      <c r="U134" s="670"/>
      <c r="V134" s="670"/>
      <c r="W134" s="2290"/>
      <c r="X134" s="1607"/>
      <c r="Y134" s="1607"/>
      <c r="Z134" s="1607"/>
      <c r="AA134" s="1607"/>
      <c r="AB134" s="1607"/>
      <c r="AC134" s="1607"/>
      <c r="AD134" s="1607"/>
      <c r="AE134" s="1607"/>
      <c r="AF134" s="1607"/>
      <c r="AG134" s="1607"/>
      <c r="AH134" s="1607"/>
      <c r="AI134" s="1607"/>
      <c r="AJ134" s="1607"/>
      <c r="AK134" s="1607"/>
      <c r="AL134" s="1607"/>
      <c r="AM134" s="1607"/>
      <c r="AN134" s="1607"/>
      <c r="AO134" s="1607"/>
      <c r="AP134" s="1607"/>
      <c r="AQ134" s="1607"/>
      <c r="AR134" s="1808">
        <v>0</v>
      </c>
    </row>
    <row s="17442" customFormat="1" customHeight="1" ht="17.25" hidden="1">
      <c r="A135" s="662"/>
      <c r="C135" s="661"/>
      <c r="D135" s="2477"/>
      <c r="E135" s="2485"/>
      <c r="F135" s="2488"/>
      <c r="G135" s="2485"/>
      <c r="H135" s="1640"/>
      <c r="I135" s="2287"/>
      <c r="J135" s="2287"/>
      <c r="K135" s="2287"/>
      <c r="L135" s="2287"/>
      <c r="M135" s="2287"/>
      <c r="N135" s="2287"/>
      <c r="O135" s="2287"/>
      <c r="P135" s="2287"/>
      <c r="Q135" s="2287"/>
      <c r="R135" s="2287"/>
      <c r="S135" s="1642"/>
      <c r="T135" s="1642"/>
      <c r="U135" s="1642"/>
      <c r="V135" s="1642"/>
      <c r="W135" s="2288"/>
      <c r="X135" s="1607"/>
      <c r="Y135" s="1607"/>
      <c r="Z135" s="1607"/>
      <c r="AA135" s="1607"/>
      <c r="AB135" s="1607"/>
      <c r="AC135" s="1607"/>
      <c r="AD135" s="1607"/>
      <c r="AE135" s="1607"/>
      <c r="AF135" s="1607"/>
      <c r="AG135" s="1607"/>
      <c r="AH135" s="1607"/>
      <c r="AI135" s="1607"/>
      <c r="AJ135" s="1607"/>
      <c r="AK135" s="1607"/>
      <c r="AL135" s="1607"/>
      <c r="AM135" s="1607"/>
      <c r="AN135" s="1607"/>
      <c r="AO135" s="1607"/>
      <c r="AP135" s="1607"/>
      <c r="AQ135" s="1607"/>
      <c r="AR135" s="1808">
        <v>0</v>
      </c>
    </row>
    <row customHeight="1" ht="11.549999999999999">
      <c r="AR136" s="445">
        <v>11</v>
      </c>
    </row>
    <row customHeight="1" ht="11.549999999999999">
      <c r="AR137" s="445">
        <v>11</v>
      </c>
    </row>
    <row customHeight="1" ht="11.549999999999999">
      <c r="AR138" s="445">
        <v>11</v>
      </c>
    </row>
    <row customHeight="1" ht="11.549999999999999">
      <c r="E139" s="1691"/>
      <c r="AR139" s="445">
        <v>11</v>
      </c>
    </row>
    <row customHeight="1" ht="11.549999999999999">
      <c r="E140" s="1691"/>
      <c r="AR140" s="445">
        <v>11</v>
      </c>
    </row>
    <row customHeight="1" ht="11.549999999999999">
      <c r="E141" s="1691"/>
      <c r="AR141" s="445">
        <v>11</v>
      </c>
    </row>
    <row customHeight="1" ht="11.549999999999999">
      <c r="E142" s="1691"/>
      <c r="AR142" s="445">
        <v>11</v>
      </c>
    </row>
    <row customHeight="1" ht="11.549999999999999">
      <c r="E143" s="1691"/>
      <c r="AR143" s="445">
        <v>11</v>
      </c>
    </row>
    <row customHeight="1" ht="11.549999999999999">
      <c r="E144" s="1691"/>
      <c r="AR144" s="445">
        <v>11</v>
      </c>
    </row>
    <row customHeight="1" ht="11.549999999999999">
      <c r="E145" s="1691"/>
      <c r="AR145" s="445">
        <v>11</v>
      </c>
    </row>
    <row customHeight="1" ht="11.25" hidden="1">
      <c r="A146" s="494" t="s">
        <v>82</v>
      </c>
      <c r="B146" s="494">
        <v>0</v>
      </c>
      <c r="C146" s="445">
        <v>3</v>
      </c>
      <c r="D146" s="445">
        <v>6</v>
      </c>
      <c r="E146" s="445">
        <v>42</v>
      </c>
      <c r="F146" s="1624">
        <v>14</v>
      </c>
      <c r="G146" s="445">
        <v>42</v>
      </c>
      <c r="H146" s="445">
        <v>3</v>
      </c>
      <c r="I146" s="445">
        <v>5</v>
      </c>
      <c r="J146" s="445">
        <v>47</v>
      </c>
      <c r="K146" s="445">
        <v>3</v>
      </c>
      <c r="L146" s="445">
        <v>3</v>
      </c>
      <c r="M146" s="445">
        <v>5</v>
      </c>
      <c r="N146" s="445">
        <v>28</v>
      </c>
      <c r="O146" s="445">
        <v>3</v>
      </c>
      <c r="P146" s="445">
        <v>3</v>
      </c>
      <c r="Q146" s="445">
        <v>5</v>
      </c>
      <c r="R146" s="445">
        <v>34</v>
      </c>
      <c r="S146" s="623">
        <v>0</v>
      </c>
      <c r="T146" s="623">
        <v>0</v>
      </c>
      <c r="U146" s="623">
        <v>0</v>
      </c>
      <c r="V146" s="623">
        <v>0</v>
      </c>
      <c r="W146" s="445">
        <v>30</v>
      </c>
      <c r="X146" s="445">
        <v>3</v>
      </c>
      <c r="Y146" s="1600">
        <v>0</v>
      </c>
      <c r="Z146" s="1600">
        <v>0</v>
      </c>
      <c r="AA146" s="1600">
        <v>0</v>
      </c>
      <c r="AB146" s="1600">
        <v>0</v>
      </c>
      <c r="AC146" s="1600">
        <v>0</v>
      </c>
      <c r="AD146" s="1600">
        <v>0</v>
      </c>
      <c r="AE146" s="1600">
        <v>0</v>
      </c>
      <c r="AF146" s="1600">
        <v>0</v>
      </c>
      <c r="AG146" s="1600">
        <v>0</v>
      </c>
      <c r="AH146" s="1600">
        <v>0</v>
      </c>
      <c r="AI146" s="1600">
        <v>0</v>
      </c>
      <c r="AJ146" s="1600">
        <v>0</v>
      </c>
      <c r="AK146" s="1600">
        <v>0</v>
      </c>
      <c r="AL146" s="1600">
        <v>0</v>
      </c>
      <c r="AM146" s="1600">
        <v>0</v>
      </c>
      <c r="AN146" s="1600">
        <v>0</v>
      </c>
      <c r="AO146" s="1600">
        <v>0</v>
      </c>
      <c r="AP146" s="1600">
        <v>0</v>
      </c>
      <c r="AQ146" s="1600">
        <v>0</v>
      </c>
      <c r="AR146" s="445">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43E7DF-51EA-58EB-1D31-3CE8F91E365F}"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7203" width="9.140625" hidden="1" customWidth="1"/>
    <col min="2" max="2" style="17239" width="9.140625" hidden="1" customWidth="1"/>
    <col min="3" max="3" style="18754" width="4.00390625" customWidth="1"/>
    <col min="4" max="4" style="17239" width="6.00390625" customWidth="1"/>
    <col min="5" max="5" style="17239" width="47.00390625" customWidth="1"/>
    <col min="6" max="6" style="17239" width="9.00390625" customWidth="1"/>
    <col min="7" max="7" style="17239" width="25.7109375" hidden="1" customWidth="1"/>
    <col min="8" max="8" style="17239" width="34.00390625" hidden="1" customWidth="1"/>
    <col min="9" max="9" style="17239" width="25.7109375" customWidth="1"/>
    <col min="10" max="10" style="17239" width="33.00390625" customWidth="1"/>
    <col min="11" max="11" style="17315" width="50.00390625" customWidth="1"/>
    <col min="12" max="20" style="17239" width="10.00390625" customWidth="1"/>
    <col min="21" max="21" style="18755" width="10.00390625" customWidth="1"/>
    <col min="22" max="22" style="17239" width="10.57421875" hidden="1"/>
  </cols>
  <sheetData>
    <row s="17315" customFormat="1" customHeight="1" ht="22.5" hidden="1">
      <c r="C1" s="1013"/>
      <c r="G1" s="758">
        <v>4</v>
      </c>
      <c r="I1" s="758">
        <v>4</v>
      </c>
      <c r="U1" s="761"/>
      <c r="V1" s="758" t="s">
        <v>14</v>
      </c>
    </row>
    <row s="17239" customFormat="1" customHeight="1" ht="15" hidden="1">
      <c r="A2" s="703"/>
      <c r="C2" s="517"/>
      <c r="D2" s="687"/>
      <c r="E2" s="1014"/>
      <c r="F2" s="863"/>
      <c r="G2" s="957"/>
      <c r="H2" s="957"/>
      <c r="I2" s="957"/>
      <c r="J2" s="957"/>
      <c r="U2" s="1015"/>
      <c r="V2" s="850">
        <v>0</v>
      </c>
    </row>
    <row s="17315" customFormat="1" customHeight="1" ht="15" hidden="1">
      <c r="C3" s="1013"/>
      <c r="U3" s="761"/>
      <c r="V3" s="758">
        <v>0</v>
      </c>
    </row>
    <row customHeight="1" ht="15.75">
      <c r="C4" s="517"/>
      <c r="D4" s="850"/>
      <c r="E4" s="850"/>
      <c r="F4" s="850"/>
      <c r="G4" s="850"/>
      <c r="H4" s="850"/>
      <c r="I4" s="850"/>
      <c r="J4" s="850"/>
      <c r="V4" s="846">
        <v>15</v>
      </c>
    </row>
    <row customHeight="1" ht="66">
      <c r="C5" s="517"/>
      <c r="D5" s="2578" t="s">
        <v>1335</v>
      </c>
      <c r="E5" s="2578"/>
      <c r="F5" s="2578"/>
      <c r="G5" s="2578"/>
      <c r="H5" s="2578"/>
      <c r="I5" s="2578"/>
      <c r="J5" s="2578"/>
      <c r="V5" s="846">
        <v>63</v>
      </c>
    </row>
    <row customHeight="1" ht="15.75">
      <c r="C6" s="517"/>
      <c r="D6" s="2517" t="str">
        <f>IF(org=0,"Не определено",org)</f>
        <v>АО "ДГК"</v>
      </c>
      <c r="E6" s="2517"/>
      <c r="F6" s="2517"/>
      <c r="G6" s="2517"/>
      <c r="H6" s="2517"/>
      <c r="I6" s="2517"/>
      <c r="J6" s="2517"/>
      <c r="K6" s="878"/>
      <c r="V6" s="846">
        <v>15</v>
      </c>
    </row>
    <row customHeight="1" ht="15.75">
      <c r="C7" s="517"/>
      <c r="D7" s="1093"/>
      <c r="E7" s="850"/>
      <c r="F7" s="850"/>
      <c r="G7" s="878">
        <v>22</v>
      </c>
      <c r="I7" s="878">
        <v>1</v>
      </c>
      <c r="J7" s="1093"/>
      <c r="V7" s="846">
        <v>15</v>
      </c>
    </row>
    <row s="17239" customFormat="1" customHeight="1" ht="1.05">
      <c r="A8" s="1100"/>
      <c r="C8" s="517"/>
      <c r="D8" s="850"/>
      <c r="E8" s="850"/>
      <c r="F8" s="850"/>
      <c r="G8" s="878"/>
      <c r="H8" s="1093"/>
      <c r="I8" s="878" t="s">
        <v>114</v>
      </c>
      <c r="J8" s="1093"/>
      <c r="K8" s="758"/>
      <c r="U8" s="1016"/>
      <c r="V8" s="1099">
        <v>1</v>
      </c>
    </row>
    <row customHeight="1" ht="15.75">
      <c r="C9" s="517"/>
      <c r="D9" s="1052"/>
      <c r="E9" s="2708" t="s">
        <v>102</v>
      </c>
      <c r="F9" s="2709"/>
      <c r="G9" s="2736" t="str">
        <f>IF(G8="","",INDEX(DIFFERENTIATION_UNMERGE_VD,MATCH(G8,DIFFERENTIATION_ID_DIFF,0)))</f>
        <v/>
      </c>
      <c r="H9" s="2737"/>
      <c r="I9" s="2736">
        <f>IF(I8="","",INDEX(DIFFERENTIATION_UNMERGE_VD,MATCH(I8,DIFFERENTIATION_ID_DIFF,0)))</f>
        <v>0</v>
      </c>
      <c r="J9" s="2737"/>
      <c r="K9" s="2516" t="s">
        <v>296</v>
      </c>
      <c r="V9" s="846">
        <v>15</v>
      </c>
    </row>
    <row s="17239" customFormat="1" customHeight="1" ht="15.75">
      <c r="A10" s="1100"/>
      <c r="C10" s="517"/>
      <c r="D10" s="1052"/>
      <c r="E10" s="2708" t="s">
        <v>559</v>
      </c>
      <c r="F10" s="2709"/>
      <c r="G10" s="2736" t="str">
        <f>IF(G8="","",INDEX(DIFFERENTIATION_UNMERGE_AREA,MATCH(G8,DIFFERENTIATION_ID_DIFF,0)))</f>
        <v/>
      </c>
      <c r="H10" s="2737"/>
      <c r="I10" s="2736" t="str">
        <f>IF(I8="","",INDEX(DIFFERENTIATION_UNMERGE_AREA,MATCH(I8,DIFFERENTIATION_ID_DIFF,0)))</f>
        <v/>
      </c>
      <c r="J10" s="2737"/>
      <c r="K10" s="2540"/>
      <c r="U10" s="1016"/>
      <c r="V10" s="1099">
        <v>15</v>
      </c>
    </row>
    <row s="17239" customFormat="1" customHeight="1" ht="15.75">
      <c r="A11" s="1100"/>
      <c r="C11" s="517"/>
      <c r="D11" s="1052"/>
      <c r="E11" s="2708" t="s">
        <v>560</v>
      </c>
      <c r="F11" s="2709"/>
      <c r="G11" s="2736" t="str">
        <f>IF(G8="","",INDEX(DIFFERENTIATION_UNMERGE_SYSTEM,MATCH(G8,DIFFERENTIATION_ID_DIFF,0)))</f>
        <v/>
      </c>
      <c r="H11" s="2737"/>
      <c r="I11" s="2736" t="str">
        <f>IF(I8="","",INDEX(DIFFERENTIATION_UNMERGE_SYSTEM,MATCH(I8,DIFFERENTIATION_ID_DIFF,0)))</f>
        <v>без дифференциации</v>
      </c>
      <c r="J11" s="2737"/>
      <c r="K11" s="2540"/>
      <c r="U11" s="1016"/>
      <c r="V11" s="1099">
        <v>15</v>
      </c>
    </row>
    <row s="17239" customFormat="1" customHeight="1" ht="15.75">
      <c r="A12" s="1100"/>
      <c r="C12" s="517"/>
      <c r="D12" s="2710" t="s">
        <v>295</v>
      </c>
      <c r="E12" s="2711"/>
      <c r="F12" s="2711"/>
      <c r="G12" s="1228"/>
      <c r="H12" s="1228"/>
      <c r="I12" s="1228"/>
      <c r="J12" s="1228"/>
      <c r="K12" s="2540"/>
      <c r="U12" s="1016"/>
      <c r="V12" s="1099">
        <v>15</v>
      </c>
    </row>
    <row customHeight="1" ht="35.699999999999996">
      <c r="C13" s="517"/>
      <c r="D13" s="1146" t="s">
        <v>88</v>
      </c>
      <c r="E13" s="1148" t="s">
        <v>297</v>
      </c>
      <c r="F13" s="1148" t="s">
        <v>561</v>
      </c>
      <c r="G13" s="1149" t="s">
        <v>298</v>
      </c>
      <c r="H13" s="1148" t="s">
        <v>385</v>
      </c>
      <c r="I13" s="1149" t="s">
        <v>298</v>
      </c>
      <c r="J13" s="1148" t="s">
        <v>385</v>
      </c>
      <c r="K13" s="2573"/>
      <c r="V13" s="846">
        <v>34</v>
      </c>
    </row>
    <row customHeight="1" ht="15" hidden="1">
      <c r="C14" s="517"/>
      <c r="D14" s="934" t="s">
        <v>106</v>
      </c>
      <c r="E14" s="934" t="s">
        <v>107</v>
      </c>
      <c r="F14" s="934" t="s">
        <v>90</v>
      </c>
      <c r="G14" s="1000" t="str">
        <f>G1&amp;".1"</f>
        <v>4.1</v>
      </c>
      <c r="H14" s="1000"/>
      <c r="I14" s="1000" t="str">
        <f>I1&amp;".1"</f>
        <v>4.1</v>
      </c>
      <c r="J14" s="1000"/>
      <c r="K14" s="630"/>
      <c r="V14" s="846">
        <v>0</v>
      </c>
    </row>
    <row customHeight="1" ht="22.5" hidden="1">
      <c r="A15" s="846"/>
      <c r="C15" s="867"/>
      <c r="D15" s="862">
        <v>1</v>
      </c>
      <c r="E15" s="1018" t="s">
        <v>804</v>
      </c>
      <c r="F15" s="862" t="s">
        <v>805</v>
      </c>
      <c r="G15" s="1019"/>
      <c r="H15" s="1019"/>
      <c r="I15" s="1019"/>
      <c r="J15" s="1019"/>
      <c r="K15" s="630" t="s">
        <v>806</v>
      </c>
      <c r="V15" s="846">
        <v>0</v>
      </c>
    </row>
    <row customHeight="1" ht="22.5" hidden="1">
      <c r="A16" s="846"/>
      <c r="C16" s="867"/>
      <c r="D16" s="862">
        <v>2</v>
      </c>
      <c r="E16" s="620" t="s">
        <v>807</v>
      </c>
      <c r="F16" s="862" t="s">
        <v>808</v>
      </c>
      <c r="G16" s="1019"/>
      <c r="H16" s="1019"/>
      <c r="I16" s="1019"/>
      <c r="J16" s="1019"/>
      <c r="K16" s="630" t="s">
        <v>809</v>
      </c>
      <c r="V16" s="846">
        <v>0</v>
      </c>
    </row>
    <row customHeight="1" ht="123.75" hidden="1">
      <c r="A17" s="846"/>
      <c r="C17" s="867"/>
      <c r="D17" s="862">
        <v>3</v>
      </c>
      <c r="E17" s="620" t="s">
        <v>1336</v>
      </c>
      <c r="F17" s="862" t="s">
        <v>301</v>
      </c>
      <c r="G17" s="1019"/>
      <c r="H17" s="1019"/>
      <c r="I17" s="1019"/>
      <c r="J17" s="1019"/>
      <c r="K17" s="630" t="s">
        <v>1337</v>
      </c>
      <c r="V17" s="846">
        <v>0</v>
      </c>
    </row>
    <row customHeight="1" ht="48.29999999999999">
      <c r="A18" s="846"/>
      <c r="C18" s="867"/>
      <c r="D18" s="862">
        <v>3</v>
      </c>
      <c r="E18" s="620" t="s">
        <v>810</v>
      </c>
      <c r="F18" s="862" t="s">
        <v>301</v>
      </c>
      <c r="G18" s="1150" t="s">
        <v>301</v>
      </c>
      <c r="H18" s="1151" t="s">
        <v>301</v>
      </c>
      <c r="I18" s="862" t="s">
        <v>301</v>
      </c>
      <c r="J18" s="919" t="s">
        <v>301</v>
      </c>
      <c r="K18" s="630" t="s">
        <v>1338</v>
      </c>
      <c r="V18" s="846">
        <v>46</v>
      </c>
    </row>
    <row customHeight="1" ht="35.699999999999996">
      <c r="A19" s="846"/>
      <c r="C19" s="867"/>
      <c r="D19" s="880" t="s">
        <v>319</v>
      </c>
      <c r="E19" s="900" t="s">
        <v>812</v>
      </c>
      <c r="F19" s="862" t="s">
        <v>813</v>
      </c>
      <c r="G19" s="1158"/>
      <c r="H19" s="447"/>
      <c r="I19" s="1158"/>
      <c r="J19" s="1159"/>
      <c r="K19" s="1020"/>
      <c r="V19" s="846">
        <v>34</v>
      </c>
    </row>
    <row customHeight="1" ht="35.699999999999996">
      <c r="A20" s="846"/>
      <c r="C20" s="867"/>
      <c r="D20" s="2231" t="s">
        <v>327</v>
      </c>
      <c r="E20" s="900" t="s">
        <v>814</v>
      </c>
      <c r="F20" s="862" t="s">
        <v>815</v>
      </c>
      <c r="G20" s="1158"/>
      <c r="H20" s="447"/>
      <c r="I20" s="1158"/>
      <c r="J20" s="447"/>
      <c r="K20" s="1020"/>
      <c r="V20" s="846">
        <v>34</v>
      </c>
    </row>
    <row customHeight="1" ht="48.29999999999999">
      <c r="A21" s="846"/>
      <c r="C21" s="867"/>
      <c r="D21" s="2231" t="s">
        <v>329</v>
      </c>
      <c r="E21" s="900" t="s">
        <v>816</v>
      </c>
      <c r="F21" s="862" t="s">
        <v>566</v>
      </c>
      <c r="G21" s="1021"/>
      <c r="H21" s="447"/>
      <c r="I21" s="1021"/>
      <c r="J21" s="447"/>
      <c r="K21" s="1020"/>
      <c r="V21" s="846">
        <v>46</v>
      </c>
    </row>
    <row customHeight="1" ht="67.5" hidden="1">
      <c r="A22" s="846"/>
      <c r="C22" s="867"/>
      <c r="D22" s="862">
        <v>5</v>
      </c>
      <c r="E22" s="620" t="s">
        <v>1339</v>
      </c>
      <c r="F22" s="862" t="s">
        <v>553</v>
      </c>
      <c r="G22" s="1022"/>
      <c r="H22" s="1023"/>
      <c r="I22" s="1022"/>
      <c r="J22" s="1023"/>
      <c r="K22" s="630" t="s">
        <v>1340</v>
      </c>
      <c r="V22" s="846">
        <v>0</v>
      </c>
    </row>
    <row customHeight="1" ht="33.75" hidden="1">
      <c r="C23" s="792"/>
      <c r="D23" s="862">
        <v>6</v>
      </c>
      <c r="E23" s="620" t="s">
        <v>1341</v>
      </c>
      <c r="F23" s="862" t="s">
        <v>1342</v>
      </c>
      <c r="G23" s="1022"/>
      <c r="H23" s="1022"/>
      <c r="I23" s="1022"/>
      <c r="J23" s="1022"/>
      <c r="K23" s="630" t="s">
        <v>1343</v>
      </c>
      <c r="V23" s="846">
        <v>0</v>
      </c>
    </row>
    <row customHeight="1" ht="15.75">
      <c r="V24" s="846">
        <v>15</v>
      </c>
    </row>
    <row customHeight="1" ht="15.75">
      <c r="V25" s="846">
        <v>15</v>
      </c>
    </row>
    <row customHeight="1" ht="15.75">
      <c r="V26" s="846">
        <v>15</v>
      </c>
    </row>
    <row customHeight="1" ht="15.75">
      <c r="V27" s="846">
        <v>15</v>
      </c>
    </row>
    <row customHeight="1" ht="15.75">
      <c r="V28" s="846">
        <v>15</v>
      </c>
    </row>
    <row customHeight="1" ht="15.75">
      <c r="J29" s="1160"/>
      <c r="V29" s="846">
        <v>15</v>
      </c>
    </row>
    <row customHeight="1" ht="22.5" hidden="1">
      <c r="A30" s="790" t="s">
        <v>82</v>
      </c>
      <c r="B30" s="846">
        <v>0</v>
      </c>
      <c r="C30" s="1024">
        <v>4</v>
      </c>
      <c r="D30" s="846">
        <v>6</v>
      </c>
      <c r="E30" s="846">
        <v>47</v>
      </c>
      <c r="F30" s="846">
        <v>9</v>
      </c>
      <c r="G30" s="1099">
        <v>0</v>
      </c>
      <c r="H30" s="1099">
        <v>0</v>
      </c>
      <c r="I30" s="846">
        <v>25</v>
      </c>
      <c r="J30" s="846">
        <v>33</v>
      </c>
      <c r="K30" s="758">
        <v>50</v>
      </c>
      <c r="L30" s="846">
        <v>10</v>
      </c>
      <c r="M30" s="846">
        <v>10</v>
      </c>
      <c r="N30" s="846">
        <v>10</v>
      </c>
      <c r="O30" s="846">
        <v>10</v>
      </c>
      <c r="P30" s="846">
        <v>10</v>
      </c>
      <c r="Q30" s="846">
        <v>10</v>
      </c>
      <c r="R30" s="846">
        <v>10</v>
      </c>
      <c r="S30" s="846">
        <v>10</v>
      </c>
      <c r="T30" s="846">
        <v>10</v>
      </c>
      <c r="U30" s="1016">
        <v>10</v>
      </c>
      <c r="V30" s="846">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2EBD249-B84C-91D8-28F7-EC2730840684}"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9490" width="32.57421875" customWidth="1"/>
    <col min="2" max="2" style="17376" width="11.00390625" customWidth="1"/>
    <col min="3" max="3" style="17376" width="9.140625"/>
    <col min="4" max="4" style="17376" width="26.57421875" customWidth="1"/>
    <col min="5" max="5" style="19333" width="36.8515625" customWidth="1"/>
    <col min="6" max="6" style="19333" width="23.57421875" customWidth="1"/>
    <col min="7" max="7" style="19333" width="31.421875" customWidth="1"/>
    <col min="8" max="8" style="19333" width="40.8515625" customWidth="1"/>
    <col min="9" max="9" style="19333" width="14.57421875" customWidth="1"/>
    <col min="10" max="10" style="19333" width="26.8515625" customWidth="1"/>
    <col min="11" max="11" style="19333" width="50.00390625" customWidth="1"/>
    <col min="12" max="12" style="19333" width="52.421875" customWidth="1"/>
    <col min="13" max="13" style="19333" width="10.7109375" customWidth="1"/>
    <col min="14" max="14" style="19333" width="55.140625" customWidth="1"/>
    <col min="15" max="15" style="19333" width="31.8515625" customWidth="1"/>
    <col min="16" max="16" style="19333" width="23.8515625" customWidth="1"/>
    <col min="17" max="17" style="19333" width="46.57421875" customWidth="1"/>
    <col min="18" max="18" style="19333" width="24.00390625" customWidth="1"/>
    <col min="19" max="19" style="19333" width="20.57421875" customWidth="1"/>
    <col min="20" max="20" style="19333" width="22.00390625" customWidth="1"/>
    <col min="21" max="22" style="19333" width="26.421875" customWidth="1"/>
    <col min="23" max="23" style="19333" width="8.28125" hidden="1" customWidth="1"/>
    <col min="24" max="24" style="19333" width="59.7109375" customWidth="1"/>
    <col min="25" max="25" style="19333" width="49.140625" customWidth="1"/>
    <col min="26" max="26" style="19333" width="11.140625" customWidth="1"/>
    <col min="27" max="30" style="19333" width="29.00390625" customWidth="1"/>
    <col min="31" max="31" style="19333" width="9.140625"/>
    <col min="32" max="32" style="19333" width="34.7109375" customWidth="1"/>
    <col min="33" max="33" style="19333" width="9.140625"/>
    <col min="34" max="35" style="19333" width="34.421875" customWidth="1"/>
    <col min="36" max="36" style="19333" width="9.140625"/>
    <col min="37" max="37" style="19333" width="24.57421875" customWidth="1"/>
    <col min="38" max="38" style="19333" width="9.140625"/>
    <col min="39" max="39" style="19333" width="26.140625" customWidth="1"/>
    <col min="40" max="40" style="19333" width="1.7109375" customWidth="1"/>
    <col min="41" max="41" style="19333" width="9.140625"/>
    <col min="42" max="43" style="19333" width="47.8515625" customWidth="1"/>
    <col min="44" max="44" style="19333" width="1.7109375" customWidth="1"/>
    <col min="45" max="45" style="19333" width="21.421875" customWidth="1"/>
    <col min="46" max="46" style="19333" width="1.7109375" customWidth="1"/>
    <col min="47" max="47" style="19333" width="31.28125" customWidth="1"/>
    <col min="48" max="48" style="19333" width="1.7109375" customWidth="1"/>
    <col min="49" max="50" style="19333" width="9.140625"/>
    <col min="51" max="51" style="19333" width="3.7109375" customWidth="1"/>
    <col min="52" max="52" style="19333" width="60.8515625" customWidth="1"/>
    <col min="53" max="53" style="19333" width="49.28125" customWidth="1"/>
    <col min="54" max="54" style="19333" width="35.140625" customWidth="1"/>
    <col min="55" max="55" style="19333" width="9.140625"/>
    <col min="56" max="56" style="19333" width="1.7109375" customWidth="1"/>
    <col min="57" max="57" style="19491" width="12.57421875" customWidth="1"/>
    <col min="58" max="58" style="19491" width="14.28125" customWidth="1"/>
    <col min="59" max="59" style="19333" width="30.7109375" customWidth="1"/>
    <col min="60" max="60" style="19492" width="40.7109375" customWidth="1"/>
    <col min="61" max="61" style="19492" width="15.00390625" customWidth="1"/>
    <col min="62" max="62" style="19492" width="40.7109375" customWidth="1"/>
    <col min="63" max="63" style="19492" width="2.7109375" customWidth="1"/>
    <col min="64" max="64" style="19492" width="44.7109375" customWidth="1"/>
    <col min="65" max="65" style="19492" width="2.7109375" customWidth="1"/>
    <col min="66" max="66" style="19492" width="40.7109375" customWidth="1"/>
    <col min="67" max="68" style="19333" width="9.140625"/>
    <col min="69" max="69" style="19333" width="18.140625" customWidth="1"/>
    <col min="70" max="70" style="19333" width="57.8515625" customWidth="1"/>
    <col min="71" max="71" style="19333" width="1.7109375" customWidth="1"/>
    <col min="72" max="72" style="19333" width="22.57421875" customWidth="1"/>
    <col min="73" max="73" style="19333" width="57.8515625" customWidth="1"/>
    <col min="74" max="74" style="19333" width="1.7109375" customWidth="1"/>
    <col min="75" max="75" style="19333" width="22.57421875" customWidth="1"/>
    <col min="76" max="76" style="19333" width="57.8515625" customWidth="1"/>
    <col min="77" max="77" style="19333" width="1.7109375" customWidth="1"/>
    <col min="78" max="78" style="19333" width="22.57421875" customWidth="1"/>
    <col min="79" max="79" style="19333" width="57.8515625" customWidth="1"/>
    <col min="80" max="81" style="19333" width="9.140625"/>
    <col min="82" max="82" style="19333" width="49.57421875" customWidth="1"/>
  </cols>
  <sheetData>
    <row s="19393" customFormat="1" customHeight="1" ht="11.25">
      <c r="A1" s="1408" t="s">
        <v>1344</v>
      </c>
      <c r="B1" s="1408" t="s">
        <v>1345</v>
      </c>
      <c r="C1" s="1408" t="s">
        <v>1346</v>
      </c>
      <c r="D1" s="1408" t="s">
        <v>1347</v>
      </c>
      <c r="E1" s="1408" t="s">
        <v>1348</v>
      </c>
      <c r="F1" s="1408" t="s">
        <v>1349</v>
      </c>
      <c r="G1" s="1408" t="s">
        <v>1350</v>
      </c>
      <c r="H1" s="1408" t="s">
        <v>1351</v>
      </c>
      <c r="I1" s="1408" t="s">
        <v>1352</v>
      </c>
      <c r="J1" s="1408" t="s">
        <v>1353</v>
      </c>
      <c r="K1" s="1408" t="s">
        <v>1354</v>
      </c>
      <c r="L1" s="1408" t="s">
        <v>1355</v>
      </c>
      <c r="M1" s="1408"/>
      <c r="N1" s="1408" t="s">
        <v>1356</v>
      </c>
      <c r="O1" s="1408" t="s">
        <v>1357</v>
      </c>
      <c r="P1" s="1408" t="s">
        <v>1358</v>
      </c>
      <c r="Q1" s="1408" t="s">
        <v>1359</v>
      </c>
      <c r="R1" s="1408" t="s">
        <v>1360</v>
      </c>
      <c r="S1" s="1408" t="s">
        <v>1361</v>
      </c>
      <c r="T1" s="1408" t="s">
        <v>1362</v>
      </c>
      <c r="U1" s="1408" t="s">
        <v>1363</v>
      </c>
      <c r="V1" s="1408"/>
      <c r="W1" s="1138" t="s">
        <v>1364</v>
      </c>
      <c r="X1" s="1408" t="s">
        <v>1365</v>
      </c>
      <c r="Y1" s="1408" t="s">
        <v>1366</v>
      </c>
      <c r="Z1" s="1408"/>
      <c r="AA1" s="1408" t="s">
        <v>1367</v>
      </c>
      <c r="AB1" s="1408"/>
      <c r="AC1" s="1408" t="s">
        <v>1368</v>
      </c>
      <c r="AD1" s="1408"/>
      <c r="AF1" s="1408" t="s">
        <v>1369</v>
      </c>
      <c r="AH1" s="1408" t="s">
        <v>1370</v>
      </c>
      <c r="AI1" s="1408" t="s">
        <v>1371</v>
      </c>
      <c r="AK1" s="1408" t="s">
        <v>1372</v>
      </c>
      <c r="AM1" s="1408" t="s">
        <v>1373</v>
      </c>
      <c r="AP1" s="1408" t="s">
        <v>1374</v>
      </c>
      <c r="AQ1" s="1408" t="s">
        <v>1375</v>
      </c>
      <c r="AS1" s="1408" t="s">
        <v>1376</v>
      </c>
      <c r="AU1" s="1408" t="s">
        <v>1377</v>
      </c>
      <c r="AW1" s="1408" t="s">
        <v>1378</v>
      </c>
      <c r="AX1" s="1408" t="s">
        <v>1379</v>
      </c>
      <c r="AZ1" s="1493" t="s">
        <v>1380</v>
      </c>
      <c r="BB1" s="1408" t="s">
        <v>1381</v>
      </c>
      <c r="BC1" s="1408"/>
      <c r="BE1" s="1408" t="s">
        <v>1382</v>
      </c>
      <c r="BF1" s="1408" t="s">
        <v>1383</v>
      </c>
      <c r="BH1" s="1410" t="s">
        <v>803</v>
      </c>
      <c r="BI1" s="1411"/>
      <c r="BJ1" s="1412" t="s">
        <v>1384</v>
      </c>
      <c r="BK1" s="1411"/>
      <c r="BL1" s="1413" t="s">
        <v>902</v>
      </c>
      <c r="BM1" s="1411"/>
      <c r="BN1" s="1414" t="s">
        <v>1385</v>
      </c>
      <c r="BS1" s="1768"/>
    </row>
    <row customHeight="1" ht="11.25">
      <c r="A2" s="1415" t="s">
        <v>1386</v>
      </c>
      <c r="B2" s="1416">
        <v>2000</v>
      </c>
      <c r="C2" s="1416">
        <v>2022</v>
      </c>
      <c r="D2" s="1416" t="s">
        <v>65</v>
      </c>
      <c r="E2" s="1417" t="s">
        <v>1387</v>
      </c>
      <c r="F2" s="1417" t="s">
        <v>1388</v>
      </c>
      <c r="G2" s="1417" t="s">
        <v>1389</v>
      </c>
      <c r="H2" s="1418" t="s">
        <v>54</v>
      </c>
      <c r="I2" s="1417" t="s">
        <v>106</v>
      </c>
      <c r="J2" s="1417" t="s">
        <v>1390</v>
      </c>
      <c r="K2" s="1419" t="s">
        <v>1391</v>
      </c>
      <c r="L2" s="1420"/>
      <c r="M2" s="1419">
        <v>1</v>
      </c>
      <c r="N2" s="1503" t="s">
        <v>1392</v>
      </c>
      <c r="O2" s="1418" t="s">
        <v>1393</v>
      </c>
      <c r="P2" s="1421" t="s">
        <v>37</v>
      </c>
      <c r="Q2" s="1422" t="s">
        <v>1394</v>
      </c>
      <c r="R2" s="484" t="s">
        <v>1395</v>
      </c>
      <c r="S2" s="484" t="s">
        <v>1396</v>
      </c>
      <c r="T2" s="1423" t="s">
        <v>1397</v>
      </c>
      <c r="U2" s="1420" t="s">
        <v>1398</v>
      </c>
      <c r="V2" s="1424">
        <v>1</v>
      </c>
      <c r="W2" s="1425"/>
      <c r="X2" s="1425" t="s">
        <v>1399</v>
      </c>
      <c r="Y2" s="1416" t="s">
        <v>1400</v>
      </c>
      <c r="Z2" s="1426"/>
      <c r="AA2" s="1416" t="s">
        <v>1401</v>
      </c>
      <c r="AB2" s="1427" t="s">
        <v>1401</v>
      </c>
      <c r="AC2" s="1416" t="s">
        <v>1402</v>
      </c>
      <c r="AD2" s="1427" t="s">
        <v>1402</v>
      </c>
      <c r="AF2" s="1418" t="s">
        <v>1398</v>
      </c>
      <c r="AH2" s="1417" t="s">
        <v>1403</v>
      </c>
      <c r="AI2" s="1417" t="s">
        <v>1403</v>
      </c>
      <c r="AK2" s="1417" t="s">
        <v>1404</v>
      </c>
      <c r="AM2" s="1417" t="s">
        <v>1405</v>
      </c>
      <c r="AP2" s="1428" t="s">
        <v>1399</v>
      </c>
      <c r="AQ2" s="1429" t="s">
        <v>1399</v>
      </c>
      <c r="AS2" s="1416" t="s">
        <v>1406</v>
      </c>
      <c r="AU2" s="1461" t="s">
        <v>1407</v>
      </c>
      <c r="AW2" s="1461" t="s">
        <v>1408</v>
      </c>
      <c r="AX2" s="1461" t="s">
        <v>1408</v>
      </c>
      <c r="AZ2" s="1461" t="s">
        <v>52</v>
      </c>
      <c r="BB2" s="1461" t="s">
        <v>1409</v>
      </c>
      <c r="BC2" s="1461" t="s">
        <v>1410</v>
      </c>
      <c r="BE2" s="1461">
        <v>2000</v>
      </c>
      <c r="BF2" s="1461" t="s">
        <v>1411</v>
      </c>
    </row>
    <row customHeight="1" ht="11.25">
      <c r="A3" s="1415" t="s">
        <v>1412</v>
      </c>
      <c r="B3" s="1416">
        <v>2001</v>
      </c>
      <c r="C3" s="1416">
        <v>2023</v>
      </c>
      <c r="D3" s="1416" t="s">
        <v>19</v>
      </c>
      <c r="E3" s="1417" t="s">
        <v>1413</v>
      </c>
      <c r="F3" s="1417" t="s">
        <v>1414</v>
      </c>
      <c r="G3" s="1417" t="s">
        <v>1415</v>
      </c>
      <c r="H3" s="1418" t="s">
        <v>1416</v>
      </c>
      <c r="I3" s="1417" t="s">
        <v>107</v>
      </c>
      <c r="J3" s="1417" t="s">
        <v>551</v>
      </c>
      <c r="K3" s="1419" t="s">
        <v>1417</v>
      </c>
      <c r="L3" s="1420">
        <f>_xlfn.IFERROR(MATCH(K3,OFFER_METHOD,0),0)</f>
        <v>0</v>
      </c>
      <c r="M3" s="1419">
        <v>2</v>
      </c>
      <c r="N3" s="1503" t="s">
        <v>1418</v>
      </c>
      <c r="O3" s="1418" t="s">
        <v>1419</v>
      </c>
      <c r="P3" s="1421" t="s">
        <v>1420</v>
      </c>
      <c r="Q3" s="1422" t="s">
        <v>1421</v>
      </c>
      <c r="R3" s="484" t="s">
        <v>1422</v>
      </c>
      <c r="S3" s="484" t="s">
        <v>1423</v>
      </c>
      <c r="T3" s="1423" t="s">
        <v>1424</v>
      </c>
      <c r="U3" s="1420" t="s">
        <v>1425</v>
      </c>
      <c r="V3" s="1424">
        <v>2</v>
      </c>
      <c r="W3" s="1425"/>
      <c r="X3" s="1425" t="s">
        <v>1426</v>
      </c>
      <c r="Y3" s="1416" t="s">
        <v>1400</v>
      </c>
      <c r="Z3" s="1426"/>
      <c r="AA3" s="1416" t="s">
        <v>1427</v>
      </c>
      <c r="AB3" s="1427" t="s">
        <v>1427</v>
      </c>
      <c r="AC3" s="1416" t="s">
        <v>1428</v>
      </c>
      <c r="AD3" s="1427" t="s">
        <v>1428</v>
      </c>
      <c r="AF3" s="1418" t="s">
        <v>1425</v>
      </c>
      <c r="AH3" s="1417" t="s">
        <v>1429</v>
      </c>
      <c r="AI3" s="1417" t="s">
        <v>1430</v>
      </c>
      <c r="AK3" s="1417" t="s">
        <v>1431</v>
      </c>
      <c r="AM3" s="1417" t="s">
        <v>1432</v>
      </c>
      <c r="AP3" s="1428" t="s">
        <v>1433</v>
      </c>
      <c r="AQ3" s="1429" t="s">
        <v>1433</v>
      </c>
      <c r="AS3" s="1416" t="s">
        <v>1434</v>
      </c>
      <c r="AU3" s="1461" t="s">
        <v>1435</v>
      </c>
      <c r="AW3" s="1461" t="s">
        <v>1436</v>
      </c>
      <c r="AX3" s="1461" t="s">
        <v>1436</v>
      </c>
      <c r="AZ3" s="1461" t="s">
        <v>1437</v>
      </c>
      <c r="BB3" s="1461" t="s">
        <v>1438</v>
      </c>
      <c r="BC3" s="1461" t="s">
        <v>1410</v>
      </c>
      <c r="BE3" s="1461">
        <v>2001</v>
      </c>
      <c r="BF3" s="1461" t="s">
        <v>1439</v>
      </c>
      <c r="BH3" s="1408" t="s">
        <v>1440</v>
      </c>
      <c r="BJ3" s="1408" t="s">
        <v>1441</v>
      </c>
      <c r="BL3" s="1408" t="s">
        <v>1442</v>
      </c>
      <c r="BN3" s="1408" t="s">
        <v>1443</v>
      </c>
      <c r="BR3" s="1408" t="s">
        <v>1444</v>
      </c>
      <c r="BS3" s="1769"/>
      <c r="BT3" s="1411"/>
      <c r="BU3" s="1408" t="s">
        <v>1445</v>
      </c>
      <c r="BV3" s="1411"/>
      <c r="BW3" s="2031"/>
      <c r="BX3" s="2033" t="s">
        <v>1446</v>
      </c>
      <c r="CA3" s="1408" t="s">
        <v>1447</v>
      </c>
    </row>
    <row customHeight="1" ht="11.25">
      <c r="A4" s="1415" t="s">
        <v>1448</v>
      </c>
      <c r="B4" s="1416">
        <v>2002</v>
      </c>
      <c r="C4" s="1416">
        <v>2024</v>
      </c>
      <c r="E4" s="1417" t="s">
        <v>1449</v>
      </c>
      <c r="F4" s="1417" t="s">
        <v>1450</v>
      </c>
      <c r="H4" s="1418" t="s">
        <v>1451</v>
      </c>
      <c r="I4" s="1417" t="s">
        <v>90</v>
      </c>
      <c r="J4" s="1417" t="s">
        <v>1452</v>
      </c>
      <c r="K4" s="1419" t="s">
        <v>1453</v>
      </c>
      <c r="L4" s="1420">
        <f>_xlfn.IFERROR(MATCH(K4,OFFER_METHOD,0),0)</f>
        <v>0</v>
      </c>
      <c r="M4" s="1419">
        <v>3</v>
      </c>
      <c r="N4" s="1503" t="s">
        <v>1454</v>
      </c>
      <c r="O4" s="1417" t="s">
        <v>1455</v>
      </c>
      <c r="Q4" s="1422" t="s">
        <v>1456</v>
      </c>
      <c r="R4" s="484" t="s">
        <v>1457</v>
      </c>
      <c r="S4" s="484" t="s">
        <v>1458</v>
      </c>
      <c r="T4" s="1423" t="s">
        <v>1459</v>
      </c>
      <c r="U4" s="1420" t="s">
        <v>1460</v>
      </c>
      <c r="V4" s="1424">
        <v>3</v>
      </c>
      <c r="W4" s="1425"/>
      <c r="X4" s="1425" t="s">
        <v>1461</v>
      </c>
      <c r="Y4" s="1416" t="s">
        <v>1400</v>
      </c>
      <c r="Z4" s="1432"/>
      <c r="AC4" s="1416" t="s">
        <v>1462</v>
      </c>
      <c r="AD4" s="1427" t="s">
        <v>1462</v>
      </c>
      <c r="AF4" s="1418" t="s">
        <v>1460</v>
      </c>
      <c r="AH4" s="1418" t="s">
        <v>1463</v>
      </c>
      <c r="AK4" s="1417" t="s">
        <v>1464</v>
      </c>
      <c r="AM4" s="1417" t="s">
        <v>1465</v>
      </c>
      <c r="AP4" s="1428" t="s">
        <v>1426</v>
      </c>
      <c r="AQ4" s="1429" t="s">
        <v>1426</v>
      </c>
      <c r="AS4" s="1416" t="s">
        <v>1466</v>
      </c>
      <c r="AU4" s="1461" t="s">
        <v>1467</v>
      </c>
      <c r="AW4" s="1461" t="s">
        <v>1468</v>
      </c>
      <c r="AX4" s="1461" t="s">
        <v>1468</v>
      </c>
      <c r="AZ4" s="1461" t="s">
        <v>1469</v>
      </c>
      <c r="BB4" s="1461" t="s">
        <v>1470</v>
      </c>
      <c r="BC4" s="1461" t="s">
        <v>1471</v>
      </c>
      <c r="BE4" s="1461">
        <v>2002</v>
      </c>
      <c r="BF4" s="1461" t="s">
        <v>1472</v>
      </c>
      <c r="BH4" s="1409" t="s">
        <v>1473</v>
      </c>
      <c r="BJ4" s="1409" t="s">
        <v>1473</v>
      </c>
      <c r="BL4" s="1409" t="s">
        <v>1473</v>
      </c>
      <c r="BN4" s="1409" t="s">
        <v>1473</v>
      </c>
      <c r="BQ4" s="1773" t="s">
        <v>1474</v>
      </c>
      <c r="BR4" s="1500" t="s">
        <v>1475</v>
      </c>
      <c r="BS4" s="615"/>
      <c r="BT4" s="1773" t="s">
        <v>1476</v>
      </c>
      <c r="BU4" s="1500" t="s">
        <v>1477</v>
      </c>
      <c r="BV4" s="1411"/>
      <c r="BW4" s="2038" t="s">
        <v>1478</v>
      </c>
      <c r="BX4" s="2032" t="s">
        <v>1479</v>
      </c>
      <c r="BZ4" s="1773" t="s">
        <v>1480</v>
      </c>
      <c r="CA4" s="1500" t="s">
        <v>1481</v>
      </c>
    </row>
    <row customHeight="1" ht="11.25">
      <c r="A5" s="1415" t="s">
        <v>1482</v>
      </c>
      <c r="B5" s="1416">
        <v>2003</v>
      </c>
      <c r="C5" s="1416">
        <v>2025</v>
      </c>
      <c r="E5" s="1417" t="s">
        <v>1483</v>
      </c>
      <c r="F5" s="1417" t="s">
        <v>1484</v>
      </c>
      <c r="H5" s="1418" t="s">
        <v>1485</v>
      </c>
      <c r="I5" s="1417" t="s">
        <v>91</v>
      </c>
      <c r="K5" s="1419" t="s">
        <v>1486</v>
      </c>
      <c r="L5" s="1420">
        <f>_xlfn.IFERROR(MATCH(K5,OFFER_METHOD,0),0)</f>
        <v>0</v>
      </c>
      <c r="M5" s="1419">
        <v>4</v>
      </c>
      <c r="N5" s="1433" t="s">
        <v>1487</v>
      </c>
      <c r="O5" s="1417" t="s">
        <v>1488</v>
      </c>
      <c r="Q5" s="1422" t="s">
        <v>1489</v>
      </c>
      <c r="R5" s="484" t="s">
        <v>1490</v>
      </c>
      <c r="T5" s="1418" t="s">
        <v>1491</v>
      </c>
      <c r="U5" s="1420" t="s">
        <v>1492</v>
      </c>
      <c r="V5" s="1424">
        <v>4</v>
      </c>
      <c r="W5" s="1425"/>
      <c r="X5" s="1425" t="s">
        <v>163</v>
      </c>
      <c r="Y5" s="1416" t="s">
        <v>1493</v>
      </c>
      <c r="Z5" s="1432">
        <v>1</v>
      </c>
      <c r="AF5" s="1418" t="s">
        <v>1494</v>
      </c>
      <c r="AH5" s="1417" t="s">
        <v>1495</v>
      </c>
      <c r="AK5" s="1417" t="s">
        <v>1496</v>
      </c>
      <c r="AM5" s="1417" t="s">
        <v>1497</v>
      </c>
      <c r="AP5" s="1428" t="s">
        <v>163</v>
      </c>
      <c r="AQ5" s="1429" t="s">
        <v>163</v>
      </c>
      <c r="AU5" s="1461" t="s">
        <v>1498</v>
      </c>
      <c r="AW5" s="1461" t="s">
        <v>1499</v>
      </c>
      <c r="AX5" s="1461" t="s">
        <v>1499</v>
      </c>
      <c r="AZ5" s="1461" t="s">
        <v>1500</v>
      </c>
      <c r="BB5" s="1461" t="s">
        <v>1501</v>
      </c>
      <c r="BC5" s="1461" t="s">
        <v>1502</v>
      </c>
      <c r="BE5" s="1461">
        <v>2003</v>
      </c>
      <c r="BF5" s="1461" t="s">
        <v>1503</v>
      </c>
      <c r="BH5" s="1409" t="s">
        <v>1504</v>
      </c>
      <c r="BJ5" s="1409" t="s">
        <v>1504</v>
      </c>
      <c r="BL5" s="1409" t="s">
        <v>1504</v>
      </c>
      <c r="BN5" s="1409" t="s">
        <v>1505</v>
      </c>
      <c r="BQ5" s="1622">
        <v>4213775</v>
      </c>
      <c r="BR5" s="1409" t="s">
        <v>1399</v>
      </c>
      <c r="BS5" s="1770"/>
      <c r="BT5" s="1622">
        <v>64236871</v>
      </c>
      <c r="BU5" s="1409" t="s">
        <v>224</v>
      </c>
      <c r="BV5" s="1411"/>
      <c r="BW5" s="2036">
        <v>4213767</v>
      </c>
      <c r="BX5" s="2034" t="s">
        <v>1506</v>
      </c>
      <c r="BZ5" s="1622">
        <v>64237509</v>
      </c>
      <c r="CA5" s="1636" t="s">
        <v>1507</v>
      </c>
    </row>
    <row customHeight="1" ht="11.25">
      <c r="A6" s="1415" t="s">
        <v>1508</v>
      </c>
      <c r="B6" s="1416">
        <v>2004</v>
      </c>
      <c r="C6" s="1416">
        <v>2026</v>
      </c>
      <c r="E6" s="1417" t="s">
        <v>1509</v>
      </c>
      <c r="F6" s="1434"/>
      <c r="H6" s="1418" t="s">
        <v>1510</v>
      </c>
      <c r="I6" s="1417" t="s">
        <v>108</v>
      </c>
      <c r="J6" s="1408" t="s">
        <v>1511</v>
      </c>
      <c r="L6" s="1420">
        <f>SUM(kind_of_control_method_filter)</f>
        <v>0</v>
      </c>
      <c r="N6" s="1433" t="s">
        <v>1512</v>
      </c>
      <c r="O6" s="1417" t="s">
        <v>1513</v>
      </c>
      <c r="R6" s="484" t="s">
        <v>1394</v>
      </c>
      <c r="T6" s="1418" t="s">
        <v>1514</v>
      </c>
      <c r="U6" s="1420" t="s">
        <v>1494</v>
      </c>
      <c r="V6" s="1424">
        <v>5</v>
      </c>
      <c r="W6" s="1425"/>
      <c r="X6" s="1416" t="s">
        <v>169</v>
      </c>
      <c r="Y6" s="1416" t="s">
        <v>1515</v>
      </c>
      <c r="Z6" s="1432"/>
      <c r="AA6" s="1435"/>
      <c r="AH6" s="1417" t="s">
        <v>1516</v>
      </c>
      <c r="AK6" s="1417" t="s">
        <v>1517</v>
      </c>
      <c r="AM6" s="1417" t="s">
        <v>1518</v>
      </c>
      <c r="AP6" s="1428" t="s">
        <v>169</v>
      </c>
      <c r="AQ6" s="1429" t="s">
        <v>169</v>
      </c>
      <c r="AU6" s="1461" t="s">
        <v>1519</v>
      </c>
      <c r="AW6" s="1461" t="s">
        <v>1520</v>
      </c>
      <c r="AX6" s="1461" t="s">
        <v>1520</v>
      </c>
      <c r="BB6" s="1461" t="s">
        <v>1521</v>
      </c>
      <c r="BC6" s="1461" t="s">
        <v>1502</v>
      </c>
      <c r="BE6" s="1461">
        <v>2004</v>
      </c>
      <c r="BF6" s="1461" t="s">
        <v>1522</v>
      </c>
      <c r="BH6" s="1409" t="s">
        <v>1523</v>
      </c>
      <c r="BJ6" s="1409" t="s">
        <v>1524</v>
      </c>
      <c r="BL6" s="1409" t="s">
        <v>1524</v>
      </c>
      <c r="BN6" s="1409" t="s">
        <v>1525</v>
      </c>
      <c r="BQ6" s="1622">
        <v>4213784</v>
      </c>
      <c r="BR6" s="1636" t="s">
        <v>1433</v>
      </c>
      <c r="BS6" s="1771"/>
      <c r="BT6" s="1622">
        <v>64236872</v>
      </c>
      <c r="BU6" s="1409" t="s">
        <v>229</v>
      </c>
      <c r="BV6" s="1411"/>
      <c r="BW6" s="2036">
        <v>4213768</v>
      </c>
      <c r="BX6" s="2034" t="s">
        <v>249</v>
      </c>
      <c r="BZ6" s="1622">
        <v>64237510</v>
      </c>
      <c r="CA6" s="1409" t="s">
        <v>1526</v>
      </c>
    </row>
    <row customHeight="1" ht="11.25">
      <c r="A7" s="1415" t="s">
        <v>1527</v>
      </c>
      <c r="B7" s="1416">
        <v>2005</v>
      </c>
      <c r="E7" s="1417" t="s">
        <v>1528</v>
      </c>
      <c r="F7" s="1434"/>
      <c r="H7" s="1418" t="s">
        <v>1529</v>
      </c>
      <c r="I7" s="1417" t="s">
        <v>92</v>
      </c>
      <c r="J7" s="1417" t="s">
        <v>1530</v>
      </c>
      <c r="N7" s="1437" t="s">
        <v>1531</v>
      </c>
      <c r="O7" s="1417" t="s">
        <v>1532</v>
      </c>
      <c r="U7" s="1420" t="s">
        <v>19</v>
      </c>
      <c r="V7" s="711" t="s">
        <v>92</v>
      </c>
      <c r="W7" s="1425"/>
      <c r="X7" s="1416" t="s">
        <v>175</v>
      </c>
      <c r="Y7" s="1416" t="s">
        <v>1493</v>
      </c>
      <c r="Z7" s="1432"/>
      <c r="AA7" s="1435"/>
      <c r="AH7" s="1417" t="s">
        <v>1533</v>
      </c>
      <c r="AK7" s="1417" t="s">
        <v>1534</v>
      </c>
      <c r="AM7" s="1417" t="s">
        <v>1535</v>
      </c>
      <c r="AP7" s="1428" t="s">
        <v>175</v>
      </c>
      <c r="AQ7" s="1429" t="s">
        <v>175</v>
      </c>
      <c r="AU7" s="1461" t="s">
        <v>1536</v>
      </c>
      <c r="AW7" s="1461" t="s">
        <v>1537</v>
      </c>
      <c r="AX7" s="1461" t="s">
        <v>1537</v>
      </c>
      <c r="AZ7" s="1408" t="s">
        <v>1538</v>
      </c>
      <c r="BB7" s="1461" t="s">
        <v>1539</v>
      </c>
      <c r="BC7" s="1461" t="s">
        <v>1502</v>
      </c>
      <c r="BE7" s="1461">
        <v>2005</v>
      </c>
      <c r="BF7" s="1461" t="s">
        <v>1540</v>
      </c>
      <c r="BH7" s="1409" t="s">
        <v>1035</v>
      </c>
      <c r="BJ7" s="1409" t="s">
        <v>1523</v>
      </c>
      <c r="BL7" s="1409" t="s">
        <v>1523</v>
      </c>
      <c r="BN7" s="1409" t="s">
        <v>1541</v>
      </c>
      <c r="BQ7" s="1622">
        <v>4213781</v>
      </c>
      <c r="BR7" s="1409" t="s">
        <v>1426</v>
      </c>
      <c r="BS7" s="1770"/>
      <c r="BT7" s="1622">
        <v>64236873</v>
      </c>
      <c r="BU7" s="1409" t="s">
        <v>234</v>
      </c>
      <c r="BV7" s="1411"/>
      <c r="BW7" s="2036">
        <v>4213769</v>
      </c>
      <c r="BX7" s="2034" t="s">
        <v>1542</v>
      </c>
      <c r="BZ7" s="1622">
        <v>64237511</v>
      </c>
      <c r="CA7" s="1409" t="s">
        <v>264</v>
      </c>
    </row>
    <row customHeight="1" ht="11.25">
      <c r="A8" s="1415" t="s">
        <v>1543</v>
      </c>
      <c r="B8" s="1416">
        <v>2006</v>
      </c>
      <c r="E8" s="1417" t="s">
        <v>1544</v>
      </c>
      <c r="F8" s="1434"/>
      <c r="H8" s="1418" t="s">
        <v>1545</v>
      </c>
      <c r="I8" s="1417" t="s">
        <v>93</v>
      </c>
      <c r="J8" s="1417" t="s">
        <v>1546</v>
      </c>
      <c r="N8" s="1504" t="s">
        <v>1547</v>
      </c>
      <c r="O8" s="1417" t="s">
        <v>1548</v>
      </c>
      <c r="V8" s="711" t="s">
        <v>93</v>
      </c>
      <c r="W8" s="1425"/>
      <c r="X8" s="1416" t="s">
        <v>181</v>
      </c>
      <c r="Y8" s="1416" t="s">
        <v>1493</v>
      </c>
      <c r="Z8" s="1432"/>
      <c r="AA8" s="1435"/>
      <c r="AK8" s="1417" t="s">
        <v>1549</v>
      </c>
      <c r="AP8" s="1428" t="s">
        <v>181</v>
      </c>
      <c r="AQ8" s="1429" t="s">
        <v>181</v>
      </c>
      <c r="AU8" s="1461" t="s">
        <v>1550</v>
      </c>
      <c r="AW8" s="1461" t="s">
        <v>1551</v>
      </c>
      <c r="AX8" s="1461" t="s">
        <v>1551</v>
      </c>
      <c r="AZ8" s="1461" t="s">
        <v>1552</v>
      </c>
      <c r="BB8" s="1461" t="s">
        <v>1553</v>
      </c>
      <c r="BC8" s="1461" t="s">
        <v>1502</v>
      </c>
      <c r="BE8" s="1461">
        <v>2006</v>
      </c>
      <c r="BF8" s="1461" t="s">
        <v>1554</v>
      </c>
      <c r="BH8" s="1409" t="s">
        <v>1555</v>
      </c>
      <c r="BJ8" s="1409" t="s">
        <v>1556</v>
      </c>
      <c r="BL8" s="1409" t="s">
        <v>1556</v>
      </c>
      <c r="BN8" s="1409" t="s">
        <v>1080</v>
      </c>
      <c r="BQ8" s="1622">
        <v>4213776</v>
      </c>
      <c r="BR8" s="1409" t="s">
        <v>163</v>
      </c>
      <c r="BS8" s="1770"/>
      <c r="BT8" s="1622">
        <v>64236874</v>
      </c>
      <c r="BU8" s="1636" t="s">
        <v>1557</v>
      </c>
      <c r="BV8" s="1411"/>
      <c r="BW8" s="2036">
        <v>4213770</v>
      </c>
      <c r="BX8" s="2037" t="s">
        <v>1558</v>
      </c>
      <c r="BZ8" s="1622">
        <v>64237512</v>
      </c>
      <c r="CA8" s="1409" t="s">
        <v>259</v>
      </c>
    </row>
    <row customHeight="1" ht="11.25">
      <c r="A9" s="1415" t="s">
        <v>1559</v>
      </c>
      <c r="B9" s="1416">
        <v>2007</v>
      </c>
      <c r="E9" s="1417" t="s">
        <v>1560</v>
      </c>
      <c r="F9" s="1434"/>
      <c r="G9" s="1408" t="s">
        <v>1561</v>
      </c>
      <c r="H9" s="1408" t="s">
        <v>1562</v>
      </c>
      <c r="I9" s="1417" t="s">
        <v>109</v>
      </c>
      <c r="O9" s="1417" t="s">
        <v>1563</v>
      </c>
      <c r="V9" s="711" t="s">
        <v>109</v>
      </c>
      <c r="W9" s="1425"/>
      <c r="X9" s="1416" t="s">
        <v>187</v>
      </c>
      <c r="Y9" s="1416" t="s">
        <v>1400</v>
      </c>
      <c r="Z9" s="1432">
        <v>1</v>
      </c>
      <c r="AA9" s="1435"/>
      <c r="AK9" s="1417" t="s">
        <v>1564</v>
      </c>
      <c r="AP9" s="1428" t="s">
        <v>1565</v>
      </c>
      <c r="AQ9" s="1429" t="s">
        <v>1565</v>
      </c>
      <c r="AW9" s="1461" t="s">
        <v>1566</v>
      </c>
      <c r="AX9" s="1461" t="s">
        <v>1566</v>
      </c>
      <c r="AZ9" s="1461" t="s">
        <v>1567</v>
      </c>
      <c r="BB9" s="1461" t="s">
        <v>1568</v>
      </c>
      <c r="BC9" s="1461" t="s">
        <v>1502</v>
      </c>
      <c r="BE9" s="1461">
        <v>2007</v>
      </c>
      <c r="BF9" s="1461" t="s">
        <v>1569</v>
      </c>
      <c r="BH9" s="1409" t="s">
        <v>1036</v>
      </c>
      <c r="BJ9" s="1409" t="s">
        <v>1570</v>
      </c>
      <c r="BL9" s="1409" t="s">
        <v>1570</v>
      </c>
      <c r="BN9" s="1409" t="s">
        <v>1571</v>
      </c>
      <c r="BQ9" s="1622">
        <v>4213777</v>
      </c>
      <c r="BR9" s="1409" t="s">
        <v>169</v>
      </c>
      <c r="BS9" s="1770"/>
      <c r="BT9" s="1622">
        <v>64236875</v>
      </c>
      <c r="BU9" s="1409" t="s">
        <v>239</v>
      </c>
      <c r="BV9" s="1411"/>
      <c r="BW9" s="2031"/>
      <c r="BX9" s="2031"/>
    </row>
    <row customHeight="1" ht="11.25">
      <c r="A10" s="1415" t="s">
        <v>1572</v>
      </c>
      <c r="B10" s="1416">
        <v>2008</v>
      </c>
      <c r="E10" s="1417" t="s">
        <v>1573</v>
      </c>
      <c r="F10" s="1434"/>
      <c r="G10" s="1417" t="s">
        <v>1574</v>
      </c>
      <c r="H10" s="1417" t="s">
        <v>1575</v>
      </c>
      <c r="I10" s="1417" t="s">
        <v>145</v>
      </c>
      <c r="J10" s="1408" t="s">
        <v>1576</v>
      </c>
      <c r="K10" s="1408" t="s">
        <v>1577</v>
      </c>
      <c r="O10" s="1417" t="s">
        <v>1578</v>
      </c>
      <c r="V10" s="712" t="s">
        <v>145</v>
      </c>
      <c r="W10" s="1438"/>
      <c r="X10" s="1438" t="s">
        <v>1579</v>
      </c>
      <c r="Y10" s="1439" t="s">
        <v>1580</v>
      </c>
      <c r="Z10" s="1432"/>
      <c r="AP10" s="1428" t="s">
        <v>1579</v>
      </c>
      <c r="AQ10" s="1429" t="s">
        <v>1579</v>
      </c>
      <c r="AW10" s="1461" t="s">
        <v>1581</v>
      </c>
      <c r="AX10" s="1461" t="s">
        <v>1581</v>
      </c>
      <c r="AZ10" s="1461" t="s">
        <v>1292</v>
      </c>
      <c r="BB10" s="1461" t="s">
        <v>1582</v>
      </c>
      <c r="BC10" s="1461" t="s">
        <v>1502</v>
      </c>
      <c r="BE10" s="1461">
        <v>2008</v>
      </c>
      <c r="BF10" s="1461" t="s">
        <v>1583</v>
      </c>
      <c r="BH10" s="1409" t="s">
        <v>1070</v>
      </c>
      <c r="BJ10" s="1409" t="s">
        <v>1584</v>
      </c>
      <c r="BL10" s="1409" t="s">
        <v>1584</v>
      </c>
      <c r="BN10" s="1409" t="s">
        <v>1585</v>
      </c>
      <c r="BQ10" s="1622">
        <v>4213778</v>
      </c>
      <c r="BR10" s="1409" t="s">
        <v>175</v>
      </c>
      <c r="BS10" s="1770"/>
      <c r="BT10" s="1622">
        <v>64236876</v>
      </c>
      <c r="BU10" s="1409" t="s">
        <v>219</v>
      </c>
      <c r="BV10" s="1411"/>
      <c r="BW10" s="2031"/>
      <c r="BX10" s="2031"/>
    </row>
    <row customHeight="1" ht="11.25">
      <c r="A11" s="1415" t="s">
        <v>1586</v>
      </c>
      <c r="B11" s="1416">
        <v>2009</v>
      </c>
      <c r="E11" s="1417" t="s">
        <v>1587</v>
      </c>
      <c r="F11" s="1434"/>
      <c r="G11" s="1417" t="s">
        <v>1588</v>
      </c>
      <c r="H11" s="1417" t="s">
        <v>1589</v>
      </c>
      <c r="I11" s="1417" t="s">
        <v>146</v>
      </c>
      <c r="J11" s="1418" t="s">
        <v>1590</v>
      </c>
      <c r="K11" s="1440" t="s">
        <v>1591</v>
      </c>
      <c r="O11" s="1418" t="s">
        <v>1592</v>
      </c>
      <c r="V11" s="711" t="s">
        <v>146</v>
      </c>
      <c r="W11" s="616"/>
      <c r="X11" s="1425" t="s">
        <v>1565</v>
      </c>
      <c r="Y11" s="1416" t="s">
        <v>1593</v>
      </c>
      <c r="Z11" s="1432"/>
      <c r="AP11" s="1428" t="s">
        <v>187</v>
      </c>
      <c r="AQ11" s="1430" t="s">
        <v>187</v>
      </c>
      <c r="AW11" s="1461" t="s">
        <v>1594</v>
      </c>
      <c r="AX11" s="1461" t="s">
        <v>1594</v>
      </c>
      <c r="AZ11" s="1461" t="s">
        <v>1595</v>
      </c>
      <c r="BB11" s="1461" t="s">
        <v>1596</v>
      </c>
      <c r="BC11" s="1461" t="s">
        <v>1502</v>
      </c>
      <c r="BE11" s="1461">
        <v>2009</v>
      </c>
      <c r="BF11" s="1461" t="s">
        <v>1067</v>
      </c>
      <c r="BH11" s="1409" t="s">
        <v>1597</v>
      </c>
      <c r="BJ11" s="1409" t="s">
        <v>1036</v>
      </c>
      <c r="BL11" s="1409" t="s">
        <v>1036</v>
      </c>
      <c r="BN11" s="1409" t="s">
        <v>1184</v>
      </c>
      <c r="BQ11" s="1622">
        <v>4213780</v>
      </c>
      <c r="BR11" s="1409" t="s">
        <v>181</v>
      </c>
      <c r="BS11" s="1770"/>
      <c r="BW11" s="2031"/>
      <c r="BX11" s="2031"/>
    </row>
    <row customHeight="1" ht="11.25">
      <c r="A12" s="1415" t="s">
        <v>1598</v>
      </c>
      <c r="B12" s="1416">
        <v>2010</v>
      </c>
      <c r="E12" s="1417" t="s">
        <v>1599</v>
      </c>
      <c r="F12" s="1434"/>
      <c r="G12" s="1417" t="s">
        <v>1589</v>
      </c>
      <c r="I12" s="1417" t="s">
        <v>147</v>
      </c>
      <c r="J12" s="1418" t="s">
        <v>1600</v>
      </c>
      <c r="K12" s="1440" t="s">
        <v>1601</v>
      </c>
      <c r="O12" s="1418" t="s">
        <v>1394</v>
      </c>
      <c r="V12" s="711" t="s">
        <v>147</v>
      </c>
      <c r="W12" s="1430"/>
      <c r="X12" s="1425" t="s">
        <v>1602</v>
      </c>
      <c r="Y12" s="1416" t="s">
        <v>1400</v>
      </c>
      <c r="AP12" s="1428"/>
      <c r="AW12" s="1461" t="s">
        <v>146</v>
      </c>
      <c r="AX12" s="1461" t="s">
        <v>146</v>
      </c>
      <c r="AZ12" s="1461" t="s">
        <v>1603</v>
      </c>
      <c r="BB12" s="1461" t="s">
        <v>1604</v>
      </c>
      <c r="BC12" s="1461" t="s">
        <v>1502</v>
      </c>
      <c r="BE12" s="1461">
        <v>2010</v>
      </c>
      <c r="BF12" s="1461" t="s">
        <v>1605</v>
      </c>
      <c r="BH12" s="1409" t="s">
        <v>1606</v>
      </c>
      <c r="BJ12" s="1409" t="s">
        <v>1607</v>
      </c>
      <c r="BL12" s="1409" t="s">
        <v>1607</v>
      </c>
      <c r="BN12" s="1409" t="s">
        <v>1608</v>
      </c>
      <c r="BQ12" s="1622">
        <v>4213779</v>
      </c>
      <c r="BR12" s="1409" t="s">
        <v>1565</v>
      </c>
      <c r="BS12" s="1770"/>
      <c r="BT12" s="1411"/>
      <c r="BU12" s="1411"/>
      <c r="BV12" s="1411"/>
      <c r="BW12" s="2031"/>
      <c r="BX12" s="2031"/>
    </row>
    <row customHeight="1" ht="11.25">
      <c r="A13" s="1415" t="s">
        <v>1609</v>
      </c>
      <c r="B13" s="1416">
        <v>2011</v>
      </c>
      <c r="E13" s="1417" t="s">
        <v>1610</v>
      </c>
      <c r="F13" s="1434"/>
      <c r="I13" s="1417" t="s">
        <v>148</v>
      </c>
      <c r="K13" s="1440" t="s">
        <v>1564</v>
      </c>
      <c r="V13" s="711" t="s">
        <v>148</v>
      </c>
      <c r="W13" s="1430"/>
      <c r="X13" s="1430"/>
      <c r="Y13" s="1430"/>
      <c r="AW13" s="1461" t="s">
        <v>147</v>
      </c>
      <c r="AX13" s="1461" t="s">
        <v>147</v>
      </c>
      <c r="BB13" s="1461" t="s">
        <v>1611</v>
      </c>
      <c r="BC13" s="1461" t="s">
        <v>1612</v>
      </c>
      <c r="BE13" s="1461">
        <v>2011</v>
      </c>
      <c r="BF13" s="1461" t="s">
        <v>1026</v>
      </c>
      <c r="BH13" s="1409" t="s">
        <v>1613</v>
      </c>
      <c r="BJ13" s="1409" t="s">
        <v>1597</v>
      </c>
      <c r="BL13" s="1409" t="s">
        <v>1597</v>
      </c>
      <c r="BN13" s="1409" t="s">
        <v>1614</v>
      </c>
      <c r="BQ13" s="1622">
        <v>4213783</v>
      </c>
      <c r="BR13" s="1409" t="s">
        <v>1579</v>
      </c>
      <c r="BS13" s="1770"/>
      <c r="BT13" s="1411"/>
      <c r="BU13" s="1411"/>
      <c r="BV13" s="1411"/>
      <c r="BW13" s="2035"/>
      <c r="BX13" s="2031"/>
    </row>
    <row customHeight="1" ht="11.25">
      <c r="A14" s="1415" t="s">
        <v>1615</v>
      </c>
      <c r="B14" s="1416">
        <v>2012</v>
      </c>
      <c r="I14" s="1417" t="s">
        <v>149</v>
      </c>
      <c r="J14" s="1408" t="s">
        <v>1616</v>
      </c>
      <c r="N14" s="1408" t="s">
        <v>1617</v>
      </c>
      <c r="V14" s="1424">
        <v>13</v>
      </c>
      <c r="W14" s="1425"/>
      <c r="X14" s="1425" t="s">
        <v>1433</v>
      </c>
      <c r="Y14" s="1416" t="s">
        <v>1400</v>
      </c>
      <c r="AW14" s="1461" t="s">
        <v>148</v>
      </c>
      <c r="AX14" s="1461" t="s">
        <v>148</v>
      </c>
      <c r="AZ14" s="1408" t="s">
        <v>1618</v>
      </c>
      <c r="BB14" s="1461" t="s">
        <v>1619</v>
      </c>
      <c r="BC14" s="1461" t="s">
        <v>1612</v>
      </c>
      <c r="BE14" s="1461">
        <v>2012</v>
      </c>
      <c r="BH14" s="1409" t="s">
        <v>1541</v>
      </c>
      <c r="BJ14" s="1558" t="s">
        <v>1620</v>
      </c>
      <c r="BL14" s="1558" t="s">
        <v>1620</v>
      </c>
      <c r="BN14" s="1409" t="s">
        <v>1621</v>
      </c>
      <c r="BQ14" s="1622">
        <v>4213782</v>
      </c>
      <c r="BR14" s="1409" t="s">
        <v>187</v>
      </c>
      <c r="BS14" s="1770"/>
      <c r="BT14" s="1411"/>
      <c r="BU14" s="1411"/>
      <c r="BV14" s="1411"/>
      <c r="BW14" s="2035"/>
      <c r="BX14" s="2031"/>
    </row>
    <row customHeight="1" ht="19.5">
      <c r="A15" s="1415" t="s">
        <v>1622</v>
      </c>
      <c r="B15" s="1416">
        <v>2013</v>
      </c>
      <c r="E15" s="2039" t="s">
        <v>1623</v>
      </c>
      <c r="G15" s="1408" t="s">
        <v>1624</v>
      </c>
      <c r="H15" s="1408" t="s">
        <v>1625</v>
      </c>
      <c r="I15" s="1419" t="s">
        <v>150</v>
      </c>
      <c r="J15" s="1430" t="s">
        <v>578</v>
      </c>
      <c r="N15" s="1499" t="s">
        <v>1626</v>
      </c>
      <c r="X15" s="1428"/>
      <c r="AW15" s="1461" t="s">
        <v>149</v>
      </c>
      <c r="AX15" s="1461" t="s">
        <v>149</v>
      </c>
      <c r="AZ15" s="1461" t="s">
        <v>1552</v>
      </c>
      <c r="BB15" s="1461" t="s">
        <v>1627</v>
      </c>
      <c r="BC15" s="1461" t="s">
        <v>1612</v>
      </c>
      <c r="BE15" s="1461">
        <v>2013</v>
      </c>
      <c r="BH15" s="1409" t="s">
        <v>1080</v>
      </c>
      <c r="BJ15" s="1558" t="s">
        <v>1628</v>
      </c>
      <c r="BL15" s="1558" t="s">
        <v>1628</v>
      </c>
      <c r="BN15" s="1409" t="s">
        <v>1629</v>
      </c>
      <c r="BR15" s="1411"/>
      <c r="BS15" s="1772"/>
      <c r="BT15" s="1411"/>
      <c r="BU15" s="1411"/>
      <c r="BV15" s="1411"/>
      <c r="BW15" s="2035"/>
      <c r="BX15" s="2031"/>
    </row>
    <row customHeight="1" ht="21">
      <c r="A16" s="2211" t="s">
        <v>1630</v>
      </c>
      <c r="B16" s="1416">
        <v>2014</v>
      </c>
      <c r="E16" s="2040" t="s">
        <v>1631</v>
      </c>
      <c r="G16" s="1417" t="s">
        <v>1632</v>
      </c>
      <c r="H16" s="1417" t="s">
        <v>1633</v>
      </c>
      <c r="I16" s="1419" t="s">
        <v>1049</v>
      </c>
      <c r="J16" s="1430" t="s">
        <v>551</v>
      </c>
      <c r="N16" s="1499" t="s">
        <v>1634</v>
      </c>
      <c r="AW16" s="1461" t="s">
        <v>150</v>
      </c>
      <c r="AX16" s="1461" t="s">
        <v>150</v>
      </c>
      <c r="AZ16" s="1461" t="s">
        <v>1567</v>
      </c>
      <c r="BB16" s="1461" t="s">
        <v>1635</v>
      </c>
      <c r="BC16" s="1461" t="s">
        <v>1612</v>
      </c>
      <c r="BE16" s="1461">
        <v>2014</v>
      </c>
      <c r="BH16" s="1409" t="s">
        <v>1571</v>
      </c>
      <c r="BJ16" s="1558" t="s">
        <v>1636</v>
      </c>
      <c r="BL16" s="1558" t="s">
        <v>1636</v>
      </c>
      <c r="BN16" s="1409" t="s">
        <v>1637</v>
      </c>
      <c r="BR16" s="1411"/>
      <c r="BS16" s="1772"/>
      <c r="BT16" s="1411"/>
      <c r="BU16" s="1411"/>
      <c r="BV16" s="1411"/>
      <c r="BW16" s="2035"/>
      <c r="BX16" s="2031"/>
    </row>
    <row customHeight="1" ht="21">
      <c r="A17" s="1415" t="s">
        <v>1638</v>
      </c>
      <c r="B17" s="1416">
        <v>2015</v>
      </c>
      <c r="G17" s="1417" t="s">
        <v>1589</v>
      </c>
      <c r="H17" s="1417" t="s">
        <v>1589</v>
      </c>
      <c r="I17" s="1417" t="s">
        <v>1098</v>
      </c>
      <c r="N17" s="1499" t="s">
        <v>1639</v>
      </c>
      <c r="X17" s="1428"/>
      <c r="AW17" s="1461" t="s">
        <v>1049</v>
      </c>
      <c r="AX17" s="1461" t="s">
        <v>1049</v>
      </c>
      <c r="AZ17" s="1461" t="s">
        <v>67</v>
      </c>
      <c r="BB17" s="1461" t="s">
        <v>1640</v>
      </c>
      <c r="BC17" s="1461" t="s">
        <v>1502</v>
      </c>
      <c r="BE17" s="1461">
        <v>2015</v>
      </c>
      <c r="BH17" s="1409" t="s">
        <v>1585</v>
      </c>
      <c r="BJ17" s="1558" t="s">
        <v>1641</v>
      </c>
      <c r="BL17" s="1558" t="s">
        <v>1641</v>
      </c>
      <c r="BN17" s="1409" t="s">
        <v>1642</v>
      </c>
      <c r="BR17" s="1408" t="s">
        <v>1444</v>
      </c>
      <c r="BS17" s="1769"/>
      <c r="BU17" s="1408" t="s">
        <v>1643</v>
      </c>
      <c r="BV17" s="1411"/>
      <c r="BW17" s="2031"/>
      <c r="BX17" s="2033" t="s">
        <v>1644</v>
      </c>
      <c r="CA17" s="1408" t="s">
        <v>1645</v>
      </c>
      <c r="CD17" s="1408" t="s">
        <v>1646</v>
      </c>
    </row>
    <row customHeight="1" ht="21">
      <c r="A18" s="1415" t="s">
        <v>1647</v>
      </c>
      <c r="B18" s="1416">
        <v>2016</v>
      </c>
      <c r="E18" s="2346" t="s">
        <v>1648</v>
      </c>
      <c r="I18" s="1417" t="s">
        <v>1100</v>
      </c>
      <c r="N18" s="1499" t="s">
        <v>1649</v>
      </c>
      <c r="X18" s="1428"/>
      <c r="AW18" s="1461" t="s">
        <v>1098</v>
      </c>
      <c r="AX18" s="1461" t="s">
        <v>1098</v>
      </c>
      <c r="BB18" s="1461" t="s">
        <v>1650</v>
      </c>
      <c r="BC18" s="1461" t="s">
        <v>1502</v>
      </c>
      <c r="BE18" s="1461">
        <v>2016</v>
      </c>
      <c r="BH18" s="1409" t="s">
        <v>1184</v>
      </c>
      <c r="BJ18" s="1558" t="s">
        <v>1651</v>
      </c>
      <c r="BL18" s="1558" t="s">
        <v>1651</v>
      </c>
      <c r="BN18" s="1409" t="s">
        <v>1652</v>
      </c>
      <c r="BQ18" s="1773" t="s">
        <v>1474</v>
      </c>
      <c r="BR18" s="1500" t="s">
        <v>1475</v>
      </c>
      <c r="BS18" s="615"/>
      <c r="BT18" s="1773" t="s">
        <v>1653</v>
      </c>
      <c r="BU18" s="1500" t="s">
        <v>1654</v>
      </c>
      <c r="BV18" s="1411"/>
      <c r="BW18" s="2038" t="s">
        <v>1655</v>
      </c>
      <c r="BX18" s="2032" t="s">
        <v>1656</v>
      </c>
      <c r="BZ18" s="1773" t="s">
        <v>1657</v>
      </c>
      <c r="CA18" s="1500" t="s">
        <v>1658</v>
      </c>
      <c r="CC18" s="1773" t="s">
        <v>1659</v>
      </c>
      <c r="CD18" s="1500" t="s">
        <v>1660</v>
      </c>
    </row>
    <row customHeight="1" ht="21">
      <c r="A19" s="2211" t="s">
        <v>1661</v>
      </c>
      <c r="B19" s="1416">
        <v>2017</v>
      </c>
      <c r="E19" s="1415" t="s">
        <v>162</v>
      </c>
      <c r="I19" s="1417" t="s">
        <v>1102</v>
      </c>
      <c r="N19" s="1499" t="s">
        <v>1662</v>
      </c>
      <c r="X19" s="1428"/>
      <c r="AW19" s="1461" t="s">
        <v>1100</v>
      </c>
      <c r="AX19" s="1461" t="s">
        <v>1100</v>
      </c>
      <c r="AZ19" s="1408" t="s">
        <v>1663</v>
      </c>
      <c r="BB19" s="1461" t="s">
        <v>1664</v>
      </c>
      <c r="BC19" s="1461" t="s">
        <v>1502</v>
      </c>
      <c r="BE19" s="1461">
        <v>2017</v>
      </c>
      <c r="BH19" s="1409" t="s">
        <v>1665</v>
      </c>
      <c r="BJ19" s="1558" t="s">
        <v>1666</v>
      </c>
      <c r="BL19" s="1558" t="s">
        <v>1666</v>
      </c>
      <c r="BQ19" s="1622">
        <v>4190064</v>
      </c>
      <c r="BR19" s="1409" t="s">
        <v>1667</v>
      </c>
      <c r="BS19" s="1770"/>
      <c r="BT19" s="1622">
        <v>4189671</v>
      </c>
      <c r="BU19" s="1409" t="s">
        <v>1668</v>
      </c>
      <c r="BV19" s="1411"/>
      <c r="BW19" s="2036">
        <v>4189706</v>
      </c>
      <c r="BX19" s="2034" t="s">
        <v>1669</v>
      </c>
      <c r="BZ19" s="1622">
        <v>4189714</v>
      </c>
      <c r="CA19" s="1409" t="s">
        <v>1670</v>
      </c>
      <c r="CC19" s="1622">
        <v>4189708</v>
      </c>
      <c r="CD19" s="1409" t="s">
        <v>1671</v>
      </c>
    </row>
    <row customHeight="1" ht="21">
      <c r="A20" s="1415" t="s">
        <v>1672</v>
      </c>
      <c r="B20" s="1416">
        <v>2018</v>
      </c>
      <c r="E20" s="1415" t="s">
        <v>1433</v>
      </c>
      <c r="I20" s="1417" t="s">
        <v>1108</v>
      </c>
      <c r="N20" s="1499" t="s">
        <v>1673</v>
      </c>
      <c r="AW20" s="1461" t="s">
        <v>1102</v>
      </c>
      <c r="AX20" s="1461" t="s">
        <v>1102</v>
      </c>
      <c r="AZ20" s="1461" t="s">
        <v>1674</v>
      </c>
      <c r="BB20" s="1461" t="s">
        <v>1675</v>
      </c>
      <c r="BC20" s="1461" t="s">
        <v>1612</v>
      </c>
      <c r="BE20" s="1461">
        <v>2018</v>
      </c>
      <c r="BH20" s="1409" t="s">
        <v>1608</v>
      </c>
      <c r="BJ20" s="1409" t="s">
        <v>1541</v>
      </c>
      <c r="BL20" s="1409" t="s">
        <v>1541</v>
      </c>
      <c r="BQ20" s="1622">
        <v>4190065</v>
      </c>
      <c r="BR20" s="1409" t="s">
        <v>1676</v>
      </c>
      <c r="BS20" s="1770"/>
      <c r="BT20" s="1622">
        <v>4189672</v>
      </c>
      <c r="BU20" s="1409" t="s">
        <v>1677</v>
      </c>
      <c r="BV20" s="1411"/>
      <c r="BW20" s="2036">
        <v>4189705</v>
      </c>
      <c r="BX20" s="2034" t="s">
        <v>1678</v>
      </c>
      <c r="BZ20" s="1622">
        <v>4189713</v>
      </c>
      <c r="CA20" s="1409" t="s">
        <v>1678</v>
      </c>
      <c r="CC20" s="1622">
        <v>4189709</v>
      </c>
      <c r="CD20" s="1409" t="s">
        <v>1679</v>
      </c>
    </row>
    <row customHeight="1" ht="21">
      <c r="A21" s="1415" t="s">
        <v>1680</v>
      </c>
      <c r="B21" s="1416">
        <v>2019</v>
      </c>
      <c r="I21" s="1417" t="s">
        <v>1110</v>
      </c>
      <c r="N21" s="1499" t="s">
        <v>1681</v>
      </c>
      <c r="AW21" s="1461" t="s">
        <v>1108</v>
      </c>
      <c r="AX21" s="1461" t="s">
        <v>1108</v>
      </c>
      <c r="AZ21" s="1461" t="s">
        <v>1682</v>
      </c>
      <c r="BB21" s="1461" t="s">
        <v>1683</v>
      </c>
      <c r="BC21" s="1461" t="s">
        <v>1502</v>
      </c>
      <c r="BE21" s="1461">
        <v>2019</v>
      </c>
      <c r="BH21" s="1409" t="s">
        <v>1614</v>
      </c>
      <c r="BJ21" s="1409" t="s">
        <v>1080</v>
      </c>
      <c r="BL21" s="1409" t="s">
        <v>1080</v>
      </c>
      <c r="BQ21" s="1622">
        <v>4190066</v>
      </c>
      <c r="BR21" s="1409" t="s">
        <v>1684</v>
      </c>
      <c r="BS21" s="1770"/>
      <c r="BT21" s="1622">
        <v>4189673</v>
      </c>
      <c r="BU21" s="1409" t="s">
        <v>1685</v>
      </c>
      <c r="BV21" s="1411"/>
      <c r="BW21" s="2036">
        <v>4189707</v>
      </c>
      <c r="BX21" s="2034" t="s">
        <v>1686</v>
      </c>
      <c r="BZ21" s="1622">
        <v>4189712</v>
      </c>
      <c r="CA21" s="1409" t="s">
        <v>1687</v>
      </c>
      <c r="CC21" s="1622">
        <v>4189710</v>
      </c>
      <c r="CD21" s="1409" t="s">
        <v>1688</v>
      </c>
    </row>
    <row customHeight="1" ht="21">
      <c r="A22" s="1415" t="s">
        <v>1689</v>
      </c>
      <c r="B22" s="1416">
        <v>2020</v>
      </c>
      <c r="N22" s="1499" t="s">
        <v>1690</v>
      </c>
      <c r="AW22" s="1461" t="s">
        <v>1110</v>
      </c>
      <c r="AX22" s="1461" t="s">
        <v>1110</v>
      </c>
      <c r="AZ22" s="1461" t="s">
        <v>1691</v>
      </c>
      <c r="BB22" s="1461" t="s">
        <v>1692</v>
      </c>
      <c r="BC22" s="1461" t="s">
        <v>1502</v>
      </c>
      <c r="BE22" s="1461">
        <v>2020</v>
      </c>
      <c r="BH22" s="1409" t="s">
        <v>1621</v>
      </c>
      <c r="BJ22" s="1409" t="s">
        <v>1571</v>
      </c>
      <c r="BL22" s="1409" t="s">
        <v>1571</v>
      </c>
      <c r="BQ22" s="1622">
        <v>4190067</v>
      </c>
      <c r="BR22" s="1409" t="s">
        <v>1693</v>
      </c>
      <c r="BS22" s="1770"/>
      <c r="BT22" s="1622">
        <v>4189674</v>
      </c>
      <c r="BU22" s="1409" t="s">
        <v>1694</v>
      </c>
      <c r="BV22" s="1411"/>
      <c r="BW22" s="1411"/>
      <c r="CC22" s="1622">
        <v>4189711</v>
      </c>
      <c r="CD22" s="1409" t="s">
        <v>288</v>
      </c>
    </row>
    <row customHeight="1" ht="21">
      <c r="A23" s="1415" t="s">
        <v>1695</v>
      </c>
      <c r="B23" s="1416">
        <v>2021</v>
      </c>
      <c r="AW23" s="1461" t="s">
        <v>1112</v>
      </c>
      <c r="AX23" s="1461" t="s">
        <v>1112</v>
      </c>
      <c r="AZ23" s="1461" t="s">
        <v>1696</v>
      </c>
      <c r="BB23" s="1461" t="s">
        <v>1697</v>
      </c>
      <c r="BC23" s="1461" t="s">
        <v>1410</v>
      </c>
      <c r="BE23" s="1461">
        <v>2021</v>
      </c>
      <c r="BH23" s="1409" t="s">
        <v>1629</v>
      </c>
      <c r="BJ23" s="1409" t="s">
        <v>1585</v>
      </c>
      <c r="BL23" s="1409" t="s">
        <v>1585</v>
      </c>
      <c r="BQ23" s="1622">
        <v>4190068</v>
      </c>
      <c r="BR23" s="1409" t="s">
        <v>1698</v>
      </c>
      <c r="BS23" s="1770"/>
      <c r="BT23" s="1622">
        <v>4189675</v>
      </c>
      <c r="BU23" s="1409" t="s">
        <v>1699</v>
      </c>
      <c r="BV23" s="1411"/>
      <c r="BW23" s="1411"/>
      <c r="CC23" s="1622">
        <v>5110778</v>
      </c>
      <c r="CD23" s="1409" t="s">
        <v>1700</v>
      </c>
    </row>
    <row customHeight="1" ht="21">
      <c r="A24" s="1415" t="s">
        <v>1701</v>
      </c>
      <c r="B24" s="1416">
        <v>2022</v>
      </c>
      <c r="AW24" s="1461" t="s">
        <v>1114</v>
      </c>
      <c r="AX24" s="1461" t="s">
        <v>1114</v>
      </c>
      <c r="AZ24" s="1461" t="s">
        <v>1702</v>
      </c>
      <c r="BB24" s="1461" t="s">
        <v>1703</v>
      </c>
      <c r="BC24" s="1461" t="s">
        <v>1704</v>
      </c>
      <c r="BE24" s="1461">
        <v>2022</v>
      </c>
      <c r="BH24" s="1409" t="s">
        <v>1637</v>
      </c>
      <c r="BJ24" s="1409" t="s">
        <v>1184</v>
      </c>
      <c r="BL24" s="1409" t="s">
        <v>1184</v>
      </c>
      <c r="BQ24" s="1622">
        <v>4190069</v>
      </c>
      <c r="BR24" s="1409" t="s">
        <v>1705</v>
      </c>
      <c r="BS24" s="1770"/>
      <c r="BT24" s="1622">
        <v>4189676</v>
      </c>
      <c r="BU24" s="1409" t="s">
        <v>1706</v>
      </c>
      <c r="BV24" s="1411"/>
      <c r="BW24" s="1411"/>
      <c r="CC24" s="1622">
        <v>25575374</v>
      </c>
      <c r="CD24" s="1409" t="s">
        <v>1707</v>
      </c>
    </row>
    <row customHeight="1" ht="11.25">
      <c r="A25" s="1415" t="s">
        <v>1708</v>
      </c>
      <c r="B25" s="1416">
        <v>2023</v>
      </c>
      <c r="AW25" s="1461" t="s">
        <v>1116</v>
      </c>
      <c r="AX25" s="1461" t="s">
        <v>1116</v>
      </c>
      <c r="AZ25" s="1461" t="s">
        <v>1709</v>
      </c>
      <c r="BB25" s="1461" t="s">
        <v>1710</v>
      </c>
      <c r="BC25" s="1461" t="s">
        <v>1704</v>
      </c>
      <c r="BE25" s="1461">
        <v>2023</v>
      </c>
      <c r="BH25" s="1409" t="s">
        <v>1642</v>
      </c>
      <c r="BJ25" s="1409" t="s">
        <v>1665</v>
      </c>
      <c r="BL25" s="1409" t="s">
        <v>1665</v>
      </c>
      <c r="BQ25" s="1622">
        <v>4190070</v>
      </c>
      <c r="BR25" s="1409" t="s">
        <v>1711</v>
      </c>
      <c r="BS25" s="1770"/>
      <c r="BT25" s="1622">
        <v>4189677</v>
      </c>
      <c r="BU25" s="1409" t="s">
        <v>1712</v>
      </c>
      <c r="BV25" s="1411"/>
      <c r="BW25" s="1411"/>
    </row>
    <row customHeight="1" ht="11.25">
      <c r="A26" s="1415" t="s">
        <v>1713</v>
      </c>
      <c r="B26" s="1416">
        <v>2024</v>
      </c>
      <c r="J26" s="2072" t="s">
        <v>1714</v>
      </c>
      <c r="AX26" s="1461" t="s">
        <v>1118</v>
      </c>
      <c r="AZ26" s="1461" t="s">
        <v>1592</v>
      </c>
      <c r="BB26" s="1461" t="s">
        <v>1715</v>
      </c>
      <c r="BC26" s="1461" t="s">
        <v>1704</v>
      </c>
      <c r="BE26" s="1461">
        <v>2024</v>
      </c>
      <c r="BH26" s="1409" t="s">
        <v>1652</v>
      </c>
      <c r="BJ26" s="1409" t="s">
        <v>1608</v>
      </c>
      <c r="BL26" s="1409" t="s">
        <v>1608</v>
      </c>
      <c r="BQ26" s="1622">
        <v>4190071</v>
      </c>
      <c r="BR26" s="1409" t="s">
        <v>1716</v>
      </c>
      <c r="BS26" s="1770"/>
      <c r="BV26" s="1411"/>
      <c r="BW26" s="1411"/>
    </row>
    <row customHeight="1" ht="11.25">
      <c r="A27" s="1415" t="s">
        <v>1717</v>
      </c>
      <c r="B27" s="1416">
        <v>2025</v>
      </c>
      <c r="J27" s="517" t="s">
        <v>684</v>
      </c>
      <c r="AX27" s="1461" t="s">
        <v>1121</v>
      </c>
      <c r="BB27" s="1461" t="s">
        <v>1718</v>
      </c>
      <c r="BC27" s="1461" t="s">
        <v>1704</v>
      </c>
      <c r="BE27" s="1461">
        <v>2025</v>
      </c>
      <c r="BH27" s="1411" t="s">
        <v>22</v>
      </c>
      <c r="BJ27" s="1409" t="s">
        <v>1614</v>
      </c>
      <c r="BL27" s="1409" t="s">
        <v>1614</v>
      </c>
      <c r="BN27" s="1411" t="s">
        <v>22</v>
      </c>
      <c r="BQ27" s="1622">
        <v>4190072</v>
      </c>
      <c r="BR27" s="1409" t="s">
        <v>1719</v>
      </c>
      <c r="BS27" s="1770"/>
      <c r="BV27" s="1411"/>
      <c r="BW27" s="1411"/>
    </row>
    <row customHeight="1" ht="11.25">
      <c r="A28" s="1415" t="s">
        <v>1720</v>
      </c>
      <c r="D28" s="1442"/>
      <c r="E28" s="1443"/>
      <c r="F28" s="1443"/>
      <c r="H28" s="1444" t="s">
        <v>1721</v>
      </c>
      <c r="AX28" s="1461" t="s">
        <v>1123</v>
      </c>
      <c r="AZ28" s="1408" t="s">
        <v>1722</v>
      </c>
      <c r="BB28" s="1461" t="s">
        <v>1723</v>
      </c>
      <c r="BC28" s="1461" t="s">
        <v>1724</v>
      </c>
      <c r="BE28" s="1461">
        <v>2026</v>
      </c>
      <c r="BH28" s="1411" t="s">
        <v>22</v>
      </c>
      <c r="BJ28" s="1409" t="s">
        <v>1621</v>
      </c>
      <c r="BL28" s="1409" t="s">
        <v>1621</v>
      </c>
      <c r="BN28" s="1411" t="s">
        <v>22</v>
      </c>
      <c r="BQ28" s="1622">
        <v>4190073</v>
      </c>
      <c r="BR28" s="1409" t="s">
        <v>1725</v>
      </c>
      <c r="BS28" s="1770"/>
      <c r="BV28" s="1411"/>
      <c r="BW28" s="1411"/>
    </row>
    <row customHeight="1" ht="11.25">
      <c r="A29" s="1415" t="s">
        <v>1726</v>
      </c>
      <c r="D29" s="1445" t="s">
        <v>1727</v>
      </c>
      <c r="E29" s="1446" t="str">
        <f>IF(TEMPLATE_GROUP="","",INDEX(StartDateList,MATCH(TEMPLATE_GROUP,CodeTemplateList,0),1))</f>
        <v>01.01.2025</v>
      </c>
      <c r="F29" s="1446" t="str">
        <f>IF(TEMPLATE_GROUP="","",INDEX(EndDateList,MATCH(TEMPLATE_GROUP,CodeTemplateList,0),1))</f>
        <v>31.12.2025</v>
      </c>
      <c r="H29" s="1447" t="s">
        <v>1728</v>
      </c>
      <c r="AX29" s="1461" t="s">
        <v>1125</v>
      </c>
      <c r="AZ29" s="1461" t="s">
        <v>1395</v>
      </c>
      <c r="BB29" s="1461" t="s">
        <v>1592</v>
      </c>
      <c r="BC29" s="1432"/>
      <c r="BE29" s="1461">
        <v>2027</v>
      </c>
      <c r="BJ29" s="1409" t="s">
        <v>1629</v>
      </c>
      <c r="BL29" s="1409" t="s">
        <v>1629</v>
      </c>
    </row>
    <row customHeight="1" ht="11.25">
      <c r="A30" s="1415" t="s">
        <v>1729</v>
      </c>
      <c r="D30" s="1448"/>
      <c r="E30" s="1449"/>
      <c r="F30" s="1449"/>
      <c r="AX30" s="1461" t="s">
        <v>1127</v>
      </c>
      <c r="AZ30" s="1461" t="s">
        <v>1422</v>
      </c>
      <c r="BE30" s="1461">
        <v>2028</v>
      </c>
      <c r="BJ30" s="1409" t="s">
        <v>1730</v>
      </c>
      <c r="BL30" s="1409" t="s">
        <v>1730</v>
      </c>
    </row>
    <row customHeight="1" ht="12.75">
      <c r="A31" s="1415" t="s">
        <v>1731</v>
      </c>
      <c r="D31" s="1442"/>
      <c r="E31" s="1443"/>
      <c r="F31" s="1443"/>
      <c r="H31" s="1450"/>
      <c r="AX31" s="1461" t="s">
        <v>1129</v>
      </c>
      <c r="AZ31" s="1461" t="s">
        <v>1732</v>
      </c>
      <c r="BE31" s="1461">
        <v>2029</v>
      </c>
      <c r="BJ31" s="1409" t="s">
        <v>1733</v>
      </c>
      <c r="BL31" s="1409" t="s">
        <v>1733</v>
      </c>
    </row>
    <row customHeight="1" ht="11.25">
      <c r="A32" s="1415" t="s">
        <v>1734</v>
      </c>
      <c r="D32" s="1445" t="s">
        <v>1735</v>
      </c>
      <c r="E32" s="1446" t="str">
        <f>IF(TEMPLATE_GROUP="","",INDEX(StartDateList,MATCH(TEMPLATE_GROUP,CodeTemplateList,0),1))</f>
        <v>01.01.2025</v>
      </c>
      <c r="F32" s="1446" t="str">
        <f>IF(TEMPLATE_GROUP="","",INDEX(EndDateList,MATCH(TEMPLATE_GROUP,CodeTemplateList,0),1))</f>
        <v>31.12.2025</v>
      </c>
      <c r="H32" s="1451" t="s">
        <v>1736</v>
      </c>
      <c r="O32" s="1415" t="s">
        <v>1393</v>
      </c>
      <c r="AX32" s="1461" t="s">
        <v>1131</v>
      </c>
      <c r="AZ32" s="1461" t="s">
        <v>1490</v>
      </c>
      <c r="BE32" s="1461">
        <v>2030</v>
      </c>
      <c r="BJ32" s="1409" t="s">
        <v>1637</v>
      </c>
      <c r="BL32" s="1409" t="s">
        <v>1637</v>
      </c>
    </row>
    <row customHeight="1" ht="11.25">
      <c r="A33" s="1415" t="s">
        <v>1737</v>
      </c>
      <c r="O33" s="1415" t="s">
        <v>1419</v>
      </c>
      <c r="AX33" s="1461" t="s">
        <v>1133</v>
      </c>
      <c r="AZ33" s="1461" t="s">
        <v>1394</v>
      </c>
      <c r="BE33" s="1461">
        <v>2031</v>
      </c>
      <c r="BJ33" s="1409" t="s">
        <v>1642</v>
      </c>
      <c r="BL33" s="1409" t="s">
        <v>1642</v>
      </c>
    </row>
    <row customHeight="1" ht="11.25">
      <c r="A34" s="1415" t="s">
        <v>1738</v>
      </c>
      <c r="O34" s="1415" t="s">
        <v>1455</v>
      </c>
      <c r="AX34" s="1461" t="s">
        <v>1135</v>
      </c>
      <c r="BE34" s="1461">
        <v>2032</v>
      </c>
      <c r="BJ34" s="1409" t="s">
        <v>1652</v>
      </c>
      <c r="BL34" s="1409" t="s">
        <v>1652</v>
      </c>
    </row>
    <row customHeight="1" ht="11.25">
      <c r="A35" s="1415" t="s">
        <v>1739</v>
      </c>
      <c r="O35" s="1415" t="s">
        <v>1488</v>
      </c>
      <c r="AX35" s="1461" t="s">
        <v>1137</v>
      </c>
      <c r="AZ35" s="1408" t="s">
        <v>1740</v>
      </c>
      <c r="BE35" s="1461">
        <v>2033</v>
      </c>
      <c r="BL35" s="1409" t="s">
        <v>1741</v>
      </c>
    </row>
    <row customHeight="1" ht="11.25">
      <c r="A36" s="2211" t="s">
        <v>1742</v>
      </c>
      <c r="D36" s="1452" t="s">
        <v>1743</v>
      </c>
      <c r="E36" s="1453" t="s">
        <v>803</v>
      </c>
      <c r="F36" s="1454" t="str">
        <f>INDEX(E37:E41,MATCH(TEMPLATE_SPHERE,F37:F41,0))</f>
        <v>теплоснабжения</v>
      </c>
      <c r="G36" s="1454" t="str">
        <f>INDEX(G37:G41,MATCH(TEMPLATE_SPHERE,F37:F41,0))</f>
        <v>теплоснабжение</v>
      </c>
      <c r="O36" s="1415" t="s">
        <v>1513</v>
      </c>
      <c r="AX36" s="1461" t="s">
        <v>1140</v>
      </c>
      <c r="AZ36" s="1461" t="s">
        <v>1394</v>
      </c>
      <c r="BE36" s="1461">
        <v>2034</v>
      </c>
      <c r="BL36" s="1409" t="s">
        <v>1744</v>
      </c>
    </row>
    <row customHeight="1" ht="11.25">
      <c r="A37" s="1415" t="s">
        <v>1745</v>
      </c>
      <c r="E37" s="748" t="s">
        <v>1746</v>
      </c>
      <c r="F37" s="1455" t="s">
        <v>803</v>
      </c>
      <c r="G37" s="748" t="s">
        <v>1747</v>
      </c>
      <c r="O37" s="1415" t="s">
        <v>1532</v>
      </c>
      <c r="AX37" s="1461" t="s">
        <v>1144</v>
      </c>
      <c r="AZ37" s="1461" t="s">
        <v>1421</v>
      </c>
      <c r="BE37" s="1461">
        <v>2035</v>
      </c>
    </row>
    <row customHeight="1" ht="11.25">
      <c r="A38" s="1415" t="s">
        <v>1748</v>
      </c>
      <c r="E38" s="748" t="s">
        <v>1749</v>
      </c>
      <c r="F38" s="1456" t="s">
        <v>849</v>
      </c>
      <c r="G38" s="748" t="s">
        <v>1750</v>
      </c>
      <c r="O38" s="1415" t="s">
        <v>1548</v>
      </c>
      <c r="AX38" s="1461" t="s">
        <v>1146</v>
      </c>
      <c r="AZ38" s="1461" t="s">
        <v>1456</v>
      </c>
      <c r="BE38" s="1461">
        <v>2036</v>
      </c>
      <c r="BH38" s="1408" t="s">
        <v>1751</v>
      </c>
      <c r="BJ38" s="1408" t="s">
        <v>1752</v>
      </c>
      <c r="BL38" s="1408" t="s">
        <v>1753</v>
      </c>
      <c r="BN38" s="1408" t="s">
        <v>1754</v>
      </c>
    </row>
    <row customHeight="1" ht="11.25">
      <c r="A39" s="1415" t="s">
        <v>1755</v>
      </c>
      <c r="E39" s="748" t="s">
        <v>1756</v>
      </c>
      <c r="F39" s="1456" t="s">
        <v>902</v>
      </c>
      <c r="G39" s="748" t="s">
        <v>1757</v>
      </c>
      <c r="O39" s="1415" t="s">
        <v>1563</v>
      </c>
      <c r="AX39" s="1461" t="s">
        <v>1149</v>
      </c>
      <c r="AZ39" s="1461" t="s">
        <v>1489</v>
      </c>
      <c r="BE39" s="1461">
        <v>2037</v>
      </c>
      <c r="BH39" s="1409" t="s">
        <v>1758</v>
      </c>
      <c r="BJ39" s="1558" t="s">
        <v>1758</v>
      </c>
      <c r="BL39" s="1558" t="s">
        <v>1758</v>
      </c>
      <c r="BN39" s="1409" t="s">
        <v>1759</v>
      </c>
    </row>
    <row customHeight="1" ht="11.25">
      <c r="A40" s="1415" t="s">
        <v>1760</v>
      </c>
      <c r="E40" s="748" t="s">
        <v>1761</v>
      </c>
      <c r="F40" s="1456" t="s">
        <v>889</v>
      </c>
      <c r="G40" s="748" t="s">
        <v>1762</v>
      </c>
      <c r="O40" s="1415" t="s">
        <v>1578</v>
      </c>
      <c r="AX40" s="1461" t="s">
        <v>1151</v>
      </c>
      <c r="BE40" s="1461">
        <v>2038</v>
      </c>
      <c r="BH40" s="1409" t="s">
        <v>1763</v>
      </c>
      <c r="BJ40" s="1558" t="s">
        <v>1204</v>
      </c>
      <c r="BL40" s="1558" t="s">
        <v>1204</v>
      </c>
      <c r="BN40" s="1409" t="s">
        <v>1238</v>
      </c>
    </row>
    <row customHeight="1" ht="11.25">
      <c r="A41" s="1415" t="s">
        <v>1764</v>
      </c>
      <c r="E41" s="748" t="s">
        <v>1765</v>
      </c>
      <c r="F41" s="1456" t="s">
        <v>1766</v>
      </c>
      <c r="G41" s="748" t="s">
        <v>1765</v>
      </c>
      <c r="O41" s="1415" t="s">
        <v>1592</v>
      </c>
      <c r="AX41" s="1461" t="s">
        <v>1159</v>
      </c>
      <c r="AZ41" s="1408" t="s">
        <v>1767</v>
      </c>
      <c r="BE41" s="1461">
        <v>2039</v>
      </c>
      <c r="BH41" s="1409" t="s">
        <v>1768</v>
      </c>
      <c r="BJ41" s="1558" t="s">
        <v>1200</v>
      </c>
      <c r="BL41" s="1558" t="s">
        <v>1200</v>
      </c>
      <c r="BN41" s="1409" t="s">
        <v>1225</v>
      </c>
    </row>
    <row customHeight="1" ht="11.25">
      <c r="A42" s="1415" t="s">
        <v>1769</v>
      </c>
      <c r="AX42" s="1461" t="s">
        <v>1169</v>
      </c>
      <c r="AZ42" s="1461" t="s">
        <v>1393</v>
      </c>
      <c r="BE42" s="1461">
        <v>2040</v>
      </c>
      <c r="BH42" s="1409" t="s">
        <v>1222</v>
      </c>
      <c r="BJ42" s="1558" t="s">
        <v>1202</v>
      </c>
      <c r="BL42" s="1558" t="s">
        <v>1202</v>
      </c>
      <c r="BN42" s="1409" t="s">
        <v>1770</v>
      </c>
    </row>
    <row customHeight="1" ht="11.25">
      <c r="A43" s="1415" t="s">
        <v>1771</v>
      </c>
      <c r="AX43" s="1461" t="s">
        <v>1171</v>
      </c>
      <c r="AZ43" s="1461" t="s">
        <v>1419</v>
      </c>
      <c r="BE43" s="1461">
        <v>2041</v>
      </c>
      <c r="BH43" s="1409" t="s">
        <v>1772</v>
      </c>
      <c r="BJ43" s="1558" t="s">
        <v>1768</v>
      </c>
      <c r="BL43" s="1558" t="s">
        <v>1768</v>
      </c>
      <c r="BN43" s="1409" t="s">
        <v>1773</v>
      </c>
    </row>
    <row customHeight="1" ht="11.25">
      <c r="A44" s="1415" t="s">
        <v>1774</v>
      </c>
      <c r="G44" s="1435">
        <f>YEAR(TODAY())</f>
        <v>2025</v>
      </c>
      <c r="I44" s="1140" t="s">
        <v>1775</v>
      </c>
      <c r="J44" s="1430" t="s">
        <v>1776</v>
      </c>
      <c r="K44" s="1430" t="s">
        <v>1777</v>
      </c>
      <c r="AX44" s="1461" t="s">
        <v>1173</v>
      </c>
      <c r="AZ44" s="1461" t="s">
        <v>1455</v>
      </c>
      <c r="BE44" s="1461">
        <v>2042</v>
      </c>
      <c r="BH44" s="1409" t="s">
        <v>1778</v>
      </c>
      <c r="BJ44" s="1558" t="s">
        <v>1222</v>
      </c>
      <c r="BL44" s="1558" t="s">
        <v>1222</v>
      </c>
      <c r="BN44" s="1409" t="s">
        <v>1779</v>
      </c>
    </row>
    <row customHeight="1" ht="11.25">
      <c r="A45" s="1415" t="s">
        <v>1780</v>
      </c>
      <c r="D45" s="1452" t="s">
        <v>1781</v>
      </c>
      <c r="E45" s="1453" t="s">
        <v>1196</v>
      </c>
      <c r="F45" s="1138" t="s">
        <v>1782</v>
      </c>
      <c r="G45" s="1137" t="s">
        <v>1783</v>
      </c>
      <c r="H45" s="1140" t="s">
        <v>1784</v>
      </c>
      <c r="I45" s="2082">
        <f>INDEX(PeriodIsEmptyList,MATCH(TEMPLATE_GROUP,CodeTemplateList,0),1)</f>
        <v>0</v>
      </c>
      <c r="J45" s="2085" t="str">
        <f>INDEX(NameTemplatesInTitleList,MATCH(TEMPLATE_GROUP,CodeTemplateList,0),1)</f>
        <v>Информация об инвестиционных программах регулируемой организации в области теплоснабжения</v>
      </c>
      <c r="K45" s="208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461" t="s">
        <v>1175</v>
      </c>
      <c r="AZ45" s="1461" t="s">
        <v>1488</v>
      </c>
      <c r="BE45" s="1461">
        <v>2043</v>
      </c>
      <c r="BH45" s="1409" t="s">
        <v>1785</v>
      </c>
      <c r="BJ45" s="1558" t="s">
        <v>1216</v>
      </c>
      <c r="BL45" s="1558" t="s">
        <v>1216</v>
      </c>
      <c r="BN45" s="1409" t="s">
        <v>1786</v>
      </c>
    </row>
    <row customHeight="1" ht="11.25">
      <c r="A46" s="1415" t="s">
        <v>1787</v>
      </c>
      <c r="E46" s="748" t="s">
        <v>27</v>
      </c>
      <c r="F46" s="1455" t="s">
        <v>1788</v>
      </c>
      <c r="G46" s="1457" t="str">
        <f>_xlfn.IFERROR(IF(TITLE_DATE_FIL="","01.01."&amp;CURRENT_YEAR,"01.01."&amp;YEAR(TITLE_DATE_FIL)),"01.01."&amp;CURRENT_YEAR)</f>
        <v>01.01.2025</v>
      </c>
      <c r="H46" s="1457" t="str">
        <f>_xlfn.IFERROR(IF(TITLE_DATE_FIL="","31.12."&amp;CURRENT_YEAR,"31.12."&amp;YEAR(TITLE_DATE_FIL)),"31.12."&amp;CURRENT_YEAR)</f>
        <v>31.12.2025</v>
      </c>
      <c r="I46" s="2083">
        <f>IF(TITLE_DATE_FIL="",TRUE,FALSE)</f>
        <v>1</v>
      </c>
      <c r="J46" s="2086" t="str">
        <f>"Общая информация о регулируемой организации ("&amp;TEMPLATE_SPHERE_RUS&amp;")"</f>
        <v>Общая информация о регулируемой организации (теплоснабжения)</v>
      </c>
      <c r="K46" s="2087"/>
      <c r="AX46" s="1461" t="s">
        <v>1177</v>
      </c>
      <c r="AZ46" s="1461" t="s">
        <v>1513</v>
      </c>
      <c r="BE46" s="1461">
        <v>2044</v>
      </c>
      <c r="BH46" s="1409" t="s">
        <v>1225</v>
      </c>
      <c r="BJ46" s="1558" t="s">
        <v>1206</v>
      </c>
      <c r="BL46" s="1558" t="s">
        <v>1206</v>
      </c>
      <c r="BN46" s="1409" t="s">
        <v>1789</v>
      </c>
    </row>
    <row customHeight="1" ht="11.25">
      <c r="A47" s="1415" t="s">
        <v>1790</v>
      </c>
      <c r="E47" s="748" t="s">
        <v>33</v>
      </c>
      <c r="F47" s="1456" t="s">
        <v>1791</v>
      </c>
      <c r="G47" s="1457" t="str">
        <f>_xlfn.IFERROR(IF(f_year="","01.01."&amp;CURRENT_YEAR,IF(LEN(f_quart)=0,"01.01."&amp;f_year,IF(f_quart="I квартал","01.01."&amp;f_year,IF(f_quart="II квартал","01.04."&amp;f_year,(IF(f_quart="III квартал","01.07."&amp;f_year,"01.10."&amp;f_year)))))),"01.01."&amp;CURRENT_YEAR)</f>
        <v>01.01.2025</v>
      </c>
      <c r="H47" s="1457" t="str">
        <f>_xlfn.IFERROR(IF(f_year="","31.12."&amp;CURRENT_YEAR,IF(LEN(f_quart)=0,"31.12."&amp;f_year,IF(f_quart="I квартал","31.03."&amp;f_year,IF(f_quart="II квартал","30.06."&amp;f_year,(IF(f_quart="III квартал","30.09."&amp;f_year,"31.12."&amp;f_year)))))),"31.12."&amp;CURRENT_YEAR)</f>
        <v>31.12.2025</v>
      </c>
      <c r="I47" s="2084">
        <f>IF(OR(f_year="",f_quart=""),TRUE,FALSE)</f>
        <v>1</v>
      </c>
      <c r="J47" s="208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087"/>
      <c r="AX47" s="1461" t="s">
        <v>1792</v>
      </c>
      <c r="AZ47" s="1461" t="s">
        <v>1532</v>
      </c>
      <c r="BE47" s="1461">
        <v>2045</v>
      </c>
      <c r="BH47" s="1409" t="s">
        <v>1770</v>
      </c>
      <c r="BJ47" s="1558" t="s">
        <v>1208</v>
      </c>
      <c r="BL47" s="1558" t="s">
        <v>1208</v>
      </c>
      <c r="BN47" s="1409" t="s">
        <v>1793</v>
      </c>
    </row>
    <row customHeight="1" ht="11.25">
      <c r="A48" s="1415" t="s">
        <v>1794</v>
      </c>
      <c r="E48" s="748" t="s">
        <v>1795</v>
      </c>
      <c r="F48" s="1456" t="s">
        <v>1796</v>
      </c>
      <c r="G48" s="1457" t="str">
        <f>_xlfn.IFERROR(IF(f_year="","01.01."&amp;CURRENT_YEAR,"01.01."&amp;f_year),"01.01."&amp;CURRENT_YEAR)</f>
        <v>01.01.2025</v>
      </c>
      <c r="H48" s="1457" t="str">
        <f>_xlfn.IFERROR(IF(f_year="","31.12."&amp;CURRENT_YEAR,"31.12."&amp;f_year),"31.12."&amp;CURRENT_YEAR)</f>
        <v>31.12.2025</v>
      </c>
      <c r="I48" s="2083">
        <f>IF(f_year="",TRUE,FALSE)</f>
        <v>0</v>
      </c>
      <c r="J48" s="2086" t="s">
        <v>1797</v>
      </c>
      <c r="K48" s="2087"/>
      <c r="AX48" s="1461" t="s">
        <v>1798</v>
      </c>
      <c r="AZ48" s="1461" t="s">
        <v>1548</v>
      </c>
      <c r="BE48" s="1461">
        <v>2046</v>
      </c>
      <c r="BH48" s="1409" t="s">
        <v>1773</v>
      </c>
      <c r="BJ48" s="1558" t="s">
        <v>1210</v>
      </c>
      <c r="BL48" s="1558" t="s">
        <v>1210</v>
      </c>
      <c r="BN48" s="1409" t="s">
        <v>1799</v>
      </c>
    </row>
    <row customHeight="1" ht="11.25">
      <c r="A49" s="1415" t="s">
        <v>1800</v>
      </c>
      <c r="E49" s="748" t="s">
        <v>1801</v>
      </c>
      <c r="F49" s="1456" t="s">
        <v>1802</v>
      </c>
      <c r="G49" s="1457" t="str">
        <f>_xlfn.IFERROR(IF(f_year="","01.01."&amp;CURRENT_YEAR,"01.01."&amp;f_year),"01.01."&amp;CURRENT_YEAR)</f>
        <v>01.01.2025</v>
      </c>
      <c r="H49" s="1457" t="str">
        <f>_xlfn.IFERROR(IF(f_year="","31.12."&amp;CURRENT_YEAR,"31.12."&amp;f_year),"31.12."&amp;CURRENT_YEAR)</f>
        <v>31.12.2025</v>
      </c>
      <c r="I49" s="2083">
        <f>IF(f_year="",TRUE,FALSE)</f>
        <v>0</v>
      </c>
      <c r="J49" s="208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087"/>
      <c r="AX49" s="1461" t="s">
        <v>1803</v>
      </c>
      <c r="AZ49" s="1461" t="s">
        <v>1563</v>
      </c>
      <c r="BE49" s="1461">
        <v>2047</v>
      </c>
      <c r="BH49" s="1409" t="s">
        <v>1226</v>
      </c>
      <c r="BJ49" s="1558" t="s">
        <v>1212</v>
      </c>
      <c r="BL49" s="1558" t="s">
        <v>1212</v>
      </c>
    </row>
    <row customHeight="1" ht="11.25">
      <c r="A50" s="1415" t="s">
        <v>1804</v>
      </c>
      <c r="E50" s="748" t="s">
        <v>1805</v>
      </c>
      <c r="F50" s="1456" t="s">
        <v>1196</v>
      </c>
      <c r="G50" s="1457" t="str">
        <f>_xlfn.IFERROR(IF(f_year="","01.01."&amp;CURRENT_YEAR,"01.01."&amp;f_year),"01.01."&amp;CURRENT_YEAR)</f>
        <v>01.01.2025</v>
      </c>
      <c r="H50" s="1457" t="str">
        <f>_xlfn.IFERROR(IF(f_year="","31.12."&amp;CURRENT_YEAR,"31.12."&amp;f_year),"31.12."&amp;CURRENT_YEAR)</f>
        <v>31.12.2025</v>
      </c>
      <c r="I50" s="2083">
        <f>IF(f_year="",TRUE,FALSE)</f>
        <v>0</v>
      </c>
      <c r="J50" s="208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087"/>
      <c r="AX50" s="1461" t="s">
        <v>1806</v>
      </c>
      <c r="AZ50" s="1461" t="s">
        <v>1578</v>
      </c>
      <c r="BE50" s="1461">
        <v>2048</v>
      </c>
      <c r="BH50" s="1409" t="s">
        <v>1779</v>
      </c>
      <c r="BJ50" s="1558" t="s">
        <v>1214</v>
      </c>
      <c r="BL50" s="1558" t="s">
        <v>1214</v>
      </c>
    </row>
    <row customHeight="1" ht="11.25">
      <c r="A51" s="1415" t="s">
        <v>1807</v>
      </c>
      <c r="E51" s="748" t="s">
        <v>1808</v>
      </c>
      <c r="F51" s="1456" t="s">
        <v>1809</v>
      </c>
      <c r="G51" s="1457" t="str">
        <f>_xlfn.IFERROR(IF(TITLE_PERIOD_START="","01.01."&amp;CURRENT_YEAR,"01.01."&amp;YEAR(TITLE_PERIOD_START)),"01.01."&amp;CURRENT_YEAR)</f>
        <v>01.01.2025</v>
      </c>
      <c r="H51" s="1457" t="str">
        <f>_xlfn.IFERROR(IF(TITLE_PERIOD_END="","31.12."&amp;CURRENT_YEAR,"31.12."&amp;YEAR(TITLE_PERIOD_END)),"31.12."&amp;CURRENT_YEAR)</f>
        <v>31.12.2025</v>
      </c>
      <c r="I51" s="2084">
        <f>IF(OR(TITLE_PERIOD_START="",TITLE_PERIOD_END=""),TRUE,FALSE)</f>
        <v>1</v>
      </c>
      <c r="J51" s="208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087"/>
      <c r="AX51" s="1461" t="s">
        <v>1810</v>
      </c>
      <c r="AZ51" s="1461" t="s">
        <v>1592</v>
      </c>
      <c r="BE51" s="1461">
        <v>2049</v>
      </c>
      <c r="BH51" s="1409" t="s">
        <v>1786</v>
      </c>
      <c r="BJ51" s="1558" t="s">
        <v>1811</v>
      </c>
      <c r="BL51" s="1558" t="s">
        <v>1811</v>
      </c>
    </row>
    <row customHeight="1" ht="11.25">
      <c r="A52" s="1415" t="s">
        <v>1812</v>
      </c>
      <c r="E52" s="748" t="s">
        <v>1813</v>
      </c>
      <c r="F52" s="1456" t="s">
        <v>1814</v>
      </c>
      <c r="G52" s="1457" t="str">
        <f>_xlfn.IFERROR(IF(TITLE_PERIOD_START="","01.01."&amp;CURRENT_YEAR,"01.01."&amp;YEAR(TITLE_PERIOD_START)),"01.01."&amp;CURRENT_YEAR)</f>
        <v>01.01.2025</v>
      </c>
      <c r="H52" s="1457" t="str">
        <f>_xlfn.IFERROR(IF(TITLE_PERIOD_END="","31.12."&amp;CURRENT_YEAR,"31.12."&amp;YEAR(TITLE_PERIOD_END)),"31.12."&amp;CURRENT_YEAR)</f>
        <v>31.12.2025</v>
      </c>
      <c r="I52" s="2084">
        <f>IF(OR(TITLE_PERIOD_START="",TITLE_PERIOD_END=""),TRUE,FALSE)</f>
        <v>1</v>
      </c>
      <c r="J52" s="2086" t="str">
        <f>"Показатели, подлежащие раскрытию в сфере "&amp;TEMPLATE_SPHERE_RUS&amp;" (цены и тарифы)"</f>
        <v>Показатели, подлежащие раскрытию в сфере теплоснабжения (цены и тарифы)</v>
      </c>
      <c r="K52" s="2087"/>
      <c r="AX52" s="1461" t="s">
        <v>1815</v>
      </c>
      <c r="AZ52" s="1461" t="s">
        <v>1394</v>
      </c>
      <c r="BE52" s="1461">
        <v>2050</v>
      </c>
      <c r="BH52" s="1409" t="s">
        <v>1789</v>
      </c>
      <c r="BJ52" s="1558" t="s">
        <v>1225</v>
      </c>
      <c r="BL52" s="1558" t="s">
        <v>1225</v>
      </c>
    </row>
    <row customHeight="1" ht="11.25">
      <c r="A53" s="1415" t="s">
        <v>1816</v>
      </c>
      <c r="E53" s="748" t="s">
        <v>1817</v>
      </c>
      <c r="F53" s="1456" t="s">
        <v>1817</v>
      </c>
      <c r="G53" s="1457" t="str">
        <f>_xlfn.IFERROR(IF(f_year="","01.01."&amp;CURRENT_YEAR,"01.01."&amp;f_year),"01.01."&amp;CURRENT_YEAR)</f>
        <v>01.01.2025</v>
      </c>
      <c r="H53" s="1457" t="str">
        <f>_xlfn.IFERROR(IF(f_year="","31.12."&amp;CURRENT_YEAR,"31.12."&amp;f_year),"31.12."&amp;CURRENT_YEAR)</f>
        <v>31.12.2025</v>
      </c>
      <c r="I53" s="2083">
        <f>IF(AND(f_year="",TITLE_DATE_FIL=""),TRUE,FALSE)</f>
        <v>0</v>
      </c>
      <c r="J53" s="2086" t="s">
        <v>1818</v>
      </c>
      <c r="K53" s="2087"/>
      <c r="AX53" s="1461" t="s">
        <v>1819</v>
      </c>
      <c r="BE53" s="1461">
        <v>2051</v>
      </c>
      <c r="BH53" s="1409" t="s">
        <v>1793</v>
      </c>
      <c r="BJ53" s="1558" t="s">
        <v>1770</v>
      </c>
      <c r="BL53" s="1558" t="s">
        <v>1770</v>
      </c>
    </row>
    <row customHeight="1" ht="11.25">
      <c r="A54" s="1415" t="s">
        <v>1820</v>
      </c>
      <c r="AX54" s="1461" t="s">
        <v>1821</v>
      </c>
      <c r="AZ54" s="1408" t="s">
        <v>1822</v>
      </c>
      <c r="BE54" s="1461">
        <v>2052</v>
      </c>
      <c r="BH54" s="1409" t="s">
        <v>1799</v>
      </c>
      <c r="BJ54" s="1558" t="s">
        <v>1773</v>
      </c>
      <c r="BL54" s="1558" t="s">
        <v>1773</v>
      </c>
    </row>
    <row customHeight="1" ht="11.25">
      <c r="A55" s="1415" t="s">
        <v>1823</v>
      </c>
      <c r="AX55" s="1461" t="s">
        <v>1824</v>
      </c>
      <c r="AZ55" s="1461" t="s">
        <v>1396</v>
      </c>
      <c r="BE55" s="1461">
        <v>2053</v>
      </c>
      <c r="BH55" s="1411" t="s">
        <v>22</v>
      </c>
      <c r="BJ55" s="1558" t="s">
        <v>1226</v>
      </c>
      <c r="BL55" s="1558" t="s">
        <v>1226</v>
      </c>
    </row>
    <row customHeight="1" ht="11.25">
      <c r="A56" s="1415" t="s">
        <v>1825</v>
      </c>
      <c r="D56" s="1459" t="s">
        <v>1826</v>
      </c>
      <c r="E56" s="1436" t="s">
        <v>108</v>
      </c>
      <c r="F56" s="1415" t="s">
        <v>1827</v>
      </c>
      <c r="AX56" s="1461" t="s">
        <v>1828</v>
      </c>
      <c r="AZ56" s="1461" t="s">
        <v>1423</v>
      </c>
      <c r="BE56" s="1461">
        <v>2054</v>
      </c>
      <c r="BH56" s="1411" t="s">
        <v>22</v>
      </c>
      <c r="BJ56" s="1558" t="s">
        <v>1779</v>
      </c>
      <c r="BL56" s="1558" t="s">
        <v>1779</v>
      </c>
    </row>
    <row customHeight="1" ht="11.25">
      <c r="A57" s="1415" t="s">
        <v>1829</v>
      </c>
      <c r="D57" s="1459" t="s">
        <v>1830</v>
      </c>
      <c r="E57" s="1436" t="s">
        <v>108</v>
      </c>
      <c r="F57" s="1415" t="s">
        <v>1827</v>
      </c>
      <c r="AX57" s="1461" t="s">
        <v>1831</v>
      </c>
      <c r="AZ57" s="1461" t="s">
        <v>1458</v>
      </c>
      <c r="BE57" s="1461">
        <v>2055</v>
      </c>
      <c r="BJ57" s="1558" t="s">
        <v>1786</v>
      </c>
      <c r="BL57" s="1558" t="s">
        <v>1786</v>
      </c>
    </row>
    <row customHeight="1" ht="11.25">
      <c r="A58" s="1415" t="s">
        <v>1832</v>
      </c>
      <c r="D58" s="1459" t="s">
        <v>1833</v>
      </c>
      <c r="E58" s="1436" t="s">
        <v>1819</v>
      </c>
      <c r="F58" s="1415" t="s">
        <v>1827</v>
      </c>
      <c r="AX58" s="1461" t="s">
        <v>1834</v>
      </c>
      <c r="BE58" s="1461">
        <v>2056</v>
      </c>
      <c r="BJ58" s="1558" t="s">
        <v>1789</v>
      </c>
      <c r="BL58" s="1558" t="s">
        <v>1789</v>
      </c>
    </row>
    <row customHeight="1" ht="11.25">
      <c r="A59" s="1415" t="s">
        <v>1835</v>
      </c>
      <c r="D59" s="1459" t="s">
        <v>128</v>
      </c>
      <c r="E59" s="1436" t="s">
        <v>1131</v>
      </c>
      <c r="F59" s="1415" t="s">
        <v>1836</v>
      </c>
      <c r="AX59" s="1461" t="s">
        <v>1837</v>
      </c>
      <c r="AZ59" s="1408" t="s">
        <v>1838</v>
      </c>
      <c r="BE59" s="1461">
        <v>2057</v>
      </c>
      <c r="BJ59" s="1558" t="s">
        <v>1793</v>
      </c>
      <c r="BL59" s="1558" t="s">
        <v>1793</v>
      </c>
    </row>
    <row customHeight="1" ht="11.25">
      <c r="A60" s="1415" t="s">
        <v>1839</v>
      </c>
      <c r="D60" s="1459" t="s">
        <v>1840</v>
      </c>
      <c r="E60" s="1436" t="s">
        <v>1131</v>
      </c>
      <c r="F60" s="1415" t="s">
        <v>1836</v>
      </c>
      <c r="AX60" s="1461" t="s">
        <v>1841</v>
      </c>
      <c r="AZ60" s="1461" t="s">
        <v>1397</v>
      </c>
      <c r="BE60" s="1461">
        <v>2058</v>
      </c>
      <c r="BJ60" s="1558" t="s">
        <v>1799</v>
      </c>
      <c r="BL60" s="1558" t="s">
        <v>1799</v>
      </c>
    </row>
    <row customHeight="1" ht="11.25">
      <c r="A61" s="1415" t="s">
        <v>1842</v>
      </c>
      <c r="D61" s="1459" t="s">
        <v>1843</v>
      </c>
      <c r="E61" s="1436" t="s">
        <v>1131</v>
      </c>
      <c r="F61" s="1415" t="s">
        <v>1836</v>
      </c>
      <c r="AX61" s="1461" t="s">
        <v>1844</v>
      </c>
      <c r="AZ61" s="1461" t="s">
        <v>1424</v>
      </c>
      <c r="BE61" s="1461">
        <v>2059</v>
      </c>
      <c r="BL61" s="1558" t="s">
        <v>1218</v>
      </c>
    </row>
    <row customHeight="1" ht="11.25">
      <c r="A62" s="1415" t="s">
        <v>1845</v>
      </c>
      <c r="D62" s="1459" t="s">
        <v>127</v>
      </c>
      <c r="E62" s="1436">
        <v>30</v>
      </c>
      <c r="F62" s="1415" t="s">
        <v>1836</v>
      </c>
      <c r="AZ62" s="1461" t="s">
        <v>1459</v>
      </c>
      <c r="BE62" s="1461">
        <v>2060</v>
      </c>
      <c r="BL62" s="1558" t="s">
        <v>1220</v>
      </c>
    </row>
    <row customHeight="1" ht="11.25">
      <c r="A63" s="1415" t="s">
        <v>1846</v>
      </c>
      <c r="D63" s="1459" t="s">
        <v>1847</v>
      </c>
      <c r="E63" s="1436">
        <v>30</v>
      </c>
      <c r="F63" s="1415" t="s">
        <v>1836</v>
      </c>
      <c r="AZ63" s="1461" t="s">
        <v>1491</v>
      </c>
      <c r="BE63" s="1461">
        <v>2061</v>
      </c>
    </row>
    <row customHeight="1" ht="11.25">
      <c r="A64" s="1415" t="s">
        <v>1848</v>
      </c>
      <c r="D64" s="1459" t="s">
        <v>1849</v>
      </c>
      <c r="E64" s="1436">
        <v>30</v>
      </c>
      <c r="F64" s="1415" t="s">
        <v>1836</v>
      </c>
      <c r="AZ64" s="1461" t="s">
        <v>1514</v>
      </c>
      <c r="BE64" s="1461">
        <v>2062</v>
      </c>
    </row>
    <row customHeight="1" ht="11.25">
      <c r="A65" s="1415" t="s">
        <v>1850</v>
      </c>
      <c r="D65" s="1415"/>
      <c r="BE65" s="1461">
        <v>2063</v>
      </c>
    </row>
    <row customHeight="1" ht="11.25">
      <c r="A66" s="1415" t="s">
        <v>1851</v>
      </c>
      <c r="AZ66" s="1408" t="s">
        <v>1852</v>
      </c>
      <c r="BE66" s="1461">
        <v>2064</v>
      </c>
    </row>
    <row customHeight="1" ht="11.25">
      <c r="A67" s="1415" t="s">
        <v>1853</v>
      </c>
      <c r="AZ67" s="1461" t="s">
        <v>1398</v>
      </c>
      <c r="BE67" s="1461">
        <v>2065</v>
      </c>
    </row>
    <row customHeight="1" ht="11.25">
      <c r="A68" s="1415" t="s">
        <v>1854</v>
      </c>
      <c r="AZ68" s="1461" t="s">
        <v>1425</v>
      </c>
      <c r="BE68" s="1461">
        <v>2066</v>
      </c>
      <c r="BH68" s="1408" t="s">
        <v>1855</v>
      </c>
      <c r="BJ68" s="1408" t="s">
        <v>1856</v>
      </c>
      <c r="BL68" s="1408" t="s">
        <v>1857</v>
      </c>
      <c r="BN68" s="1408" t="s">
        <v>1858</v>
      </c>
    </row>
    <row customHeight="1" ht="11.25">
      <c r="A69" s="1415" t="s">
        <v>1859</v>
      </c>
      <c r="AZ69" s="1461" t="s">
        <v>1460</v>
      </c>
      <c r="BE69" s="1461">
        <v>2067</v>
      </c>
      <c r="BH69" s="1409" t="s">
        <v>1141</v>
      </c>
      <c r="BI69" s="1458" t="s">
        <v>106</v>
      </c>
      <c r="BJ69" s="1409" t="s">
        <v>1860</v>
      </c>
      <c r="BK69" s="1458" t="s">
        <v>106</v>
      </c>
      <c r="BL69" s="1409" t="s">
        <v>1861</v>
      </c>
      <c r="BM69" s="1411" t="s">
        <v>106</v>
      </c>
      <c r="BN69" s="1409" t="s">
        <v>1862</v>
      </c>
    </row>
    <row customHeight="1" ht="11.25">
      <c r="A70" s="1415" t="s">
        <v>1863</v>
      </c>
      <c r="AZ70" s="1461" t="s">
        <v>1492</v>
      </c>
      <c r="BE70" s="1461">
        <v>2068</v>
      </c>
      <c r="BH70" s="1409" t="s">
        <v>1096</v>
      </c>
      <c r="BJ70" s="1409" t="s">
        <v>1864</v>
      </c>
      <c r="BL70" s="1409" t="s">
        <v>1865</v>
      </c>
      <c r="BN70" s="1409" t="s">
        <v>1866</v>
      </c>
    </row>
    <row customHeight="1" ht="11.25">
      <c r="A71" s="1415" t="s">
        <v>1867</v>
      </c>
      <c r="AZ71" s="1461" t="s">
        <v>1494</v>
      </c>
      <c r="BE71" s="1461">
        <v>2069</v>
      </c>
      <c r="BH71" s="1409" t="s">
        <v>1023</v>
      </c>
      <c r="BI71" s="1458" t="s">
        <v>90</v>
      </c>
      <c r="BJ71" s="1409" t="s">
        <v>1868</v>
      </c>
      <c r="BK71" s="1458" t="s">
        <v>90</v>
      </c>
      <c r="BL71" s="1409" t="s">
        <v>1869</v>
      </c>
      <c r="BM71" s="1411" t="s">
        <v>90</v>
      </c>
      <c r="BN71" s="1409" t="s">
        <v>1870</v>
      </c>
    </row>
    <row customHeight="1" ht="11.25">
      <c r="A72" s="1415" t="s">
        <v>1871</v>
      </c>
      <c r="AZ72" s="1461" t="s">
        <v>19</v>
      </c>
      <c r="BE72" s="1461">
        <v>2070</v>
      </c>
      <c r="BH72" s="1409" t="s">
        <v>1872</v>
      </c>
      <c r="BJ72" s="1409" t="s">
        <v>1872</v>
      </c>
      <c r="BL72" s="1409" t="s">
        <v>1872</v>
      </c>
      <c r="BN72" s="1409" t="s">
        <v>1873</v>
      </c>
    </row>
    <row customHeight="1" ht="11.25">
      <c r="A73" s="1415" t="s">
        <v>1874</v>
      </c>
      <c r="BH73" s="1409" t="s">
        <v>1875</v>
      </c>
      <c r="BI73" s="1458" t="s">
        <v>108</v>
      </c>
      <c r="BJ73" s="1409" t="s">
        <v>1876</v>
      </c>
      <c r="BK73" s="1458" t="s">
        <v>108</v>
      </c>
      <c r="BL73" s="1409" t="s">
        <v>1877</v>
      </c>
      <c r="BM73" s="1411" t="s">
        <v>108</v>
      </c>
      <c r="BN73" s="1409" t="s">
        <v>1878</v>
      </c>
    </row>
    <row customHeight="1" ht="11.25">
      <c r="A74" s="1415" t="s">
        <v>1879</v>
      </c>
      <c r="BH74" s="1409" t="s">
        <v>1119</v>
      </c>
      <c r="BJ74" s="1409" t="s">
        <v>1880</v>
      </c>
      <c r="BL74" s="1409" t="s">
        <v>1881</v>
      </c>
      <c r="BN74" s="1409" t="s">
        <v>1882</v>
      </c>
    </row>
    <row customHeight="1" ht="11.25">
      <c r="A75" s="1415" t="s">
        <v>1883</v>
      </c>
      <c r="AZ75" s="1408" t="s">
        <v>1884</v>
      </c>
      <c r="BH75" s="1409" t="s">
        <v>1147</v>
      </c>
      <c r="BJ75" s="1409" t="s">
        <v>1147</v>
      </c>
      <c r="BL75" s="1409" t="s">
        <v>1147</v>
      </c>
    </row>
    <row customHeight="1" ht="11.25">
      <c r="A76" s="1415" t="s">
        <v>1885</v>
      </c>
      <c r="AZ76" s="1461" t="s">
        <v>1407</v>
      </c>
      <c r="BH76" s="1409" t="s">
        <v>1039</v>
      </c>
      <c r="BJ76" s="1409" t="s">
        <v>1886</v>
      </c>
      <c r="BL76" s="1409" t="s">
        <v>1887</v>
      </c>
    </row>
    <row customHeight="1" ht="11.25">
      <c r="A77" s="1415" t="s">
        <v>1888</v>
      </c>
      <c r="AZ77" s="1461" t="s">
        <v>1435</v>
      </c>
    </row>
    <row customHeight="1" ht="11.25">
      <c r="A78" s="1415" t="s">
        <v>1889</v>
      </c>
      <c r="AZ78" s="1461" t="s">
        <v>1467</v>
      </c>
    </row>
    <row customHeight="1" ht="11.25">
      <c r="A79" s="1415" t="s">
        <v>1890</v>
      </c>
      <c r="AZ79" s="1461" t="s">
        <v>1498</v>
      </c>
      <c r="BH79" s="1408" t="s">
        <v>1139</v>
      </c>
      <c r="BJ79" s="1408" t="s">
        <v>1891</v>
      </c>
      <c r="BL79" s="1408" t="s">
        <v>1892</v>
      </c>
    </row>
    <row customHeight="1" ht="11.25">
      <c r="A80" s="1415" t="s">
        <v>1893</v>
      </c>
      <c r="AZ80" s="1461" t="s">
        <v>1519</v>
      </c>
      <c r="BH80" s="1409" t="s">
        <v>1142</v>
      </c>
      <c r="BJ80" s="1409" t="s">
        <v>1894</v>
      </c>
      <c r="BL80" s="1409" t="s">
        <v>1895</v>
      </c>
    </row>
    <row customHeight="1" ht="11.25">
      <c r="A81" s="1415" t="s">
        <v>1896</v>
      </c>
      <c r="AZ81" s="1461" t="s">
        <v>1536</v>
      </c>
      <c r="BH81" s="1409" t="s">
        <v>1897</v>
      </c>
      <c r="BJ81" s="1409" t="s">
        <v>1898</v>
      </c>
      <c r="BL81" s="1409" t="s">
        <v>1899</v>
      </c>
    </row>
    <row customHeight="1" ht="11.25">
      <c r="A82" s="1415" t="s">
        <v>1900</v>
      </c>
      <c r="AZ82" s="1461" t="s">
        <v>1550</v>
      </c>
      <c r="BH82" s="1409" t="s">
        <v>1901</v>
      </c>
      <c r="BJ82" s="1409" t="s">
        <v>1902</v>
      </c>
      <c r="BL82" s="1409" t="s">
        <v>1903</v>
      </c>
    </row>
    <row customHeight="1" ht="11.25">
      <c r="A83" s="1415" t="s">
        <v>16</v>
      </c>
      <c r="BH83" s="1409" t="s">
        <v>1904</v>
      </c>
      <c r="BJ83" s="1409" t="s">
        <v>1905</v>
      </c>
      <c r="BL83" s="1409" t="s">
        <v>1906</v>
      </c>
    </row>
    <row customHeight="1" ht="11.25">
      <c r="A84" s="1415" t="s">
        <v>1907</v>
      </c>
      <c r="AZ84" s="1408" t="s">
        <v>1908</v>
      </c>
    </row>
    <row customHeight="1" ht="11.25">
      <c r="A85" s="2211" t="s">
        <v>1909</v>
      </c>
      <c r="AZ85" s="1461" t="s">
        <v>1910</v>
      </c>
    </row>
    <row customHeight="1" ht="11.25">
      <c r="A86" s="1415" t="s">
        <v>1911</v>
      </c>
      <c r="AZ86" s="1461" t="s">
        <v>1912</v>
      </c>
      <c r="BH86" s="1408" t="s">
        <v>1022</v>
      </c>
      <c r="BJ86" s="1408" t="s">
        <v>1913</v>
      </c>
      <c r="BL86" s="1408" t="s">
        <v>1914</v>
      </c>
    </row>
    <row customHeight="1" ht="11.25">
      <c r="A87" s="1415" t="s">
        <v>1915</v>
      </c>
      <c r="AZ87" s="1461" t="s">
        <v>1916</v>
      </c>
      <c r="BH87" s="1409" t="s">
        <v>1071</v>
      </c>
      <c r="BJ87" s="1409" t="s">
        <v>1917</v>
      </c>
      <c r="BL87" s="1409" t="s">
        <v>1918</v>
      </c>
    </row>
    <row customHeight="1" ht="11.25">
      <c r="A88" s="1415" t="s">
        <v>1919</v>
      </c>
      <c r="AZ88" s="1947"/>
      <c r="BH88" s="1409" t="s">
        <v>1024</v>
      </c>
      <c r="BJ88" s="1409" t="s">
        <v>1920</v>
      </c>
      <c r="BL88" s="1409" t="s">
        <v>1921</v>
      </c>
    </row>
    <row customHeight="1" ht="11.25">
      <c r="A89" s="1415" t="s">
        <v>1922</v>
      </c>
      <c r="AZ89" s="1408" t="s">
        <v>1923</v>
      </c>
    </row>
    <row customHeight="1" ht="11.25">
      <c r="A90" s="1415" t="s">
        <v>1924</v>
      </c>
      <c r="AZ90" s="1461" t="s">
        <v>1196</v>
      </c>
    </row>
    <row customHeight="1" ht="11.25">
      <c r="A91" s="1415" t="s">
        <v>1925</v>
      </c>
      <c r="AZ91" s="1461" t="s">
        <v>1232</v>
      </c>
      <c r="BH91" s="1408" t="s">
        <v>1926</v>
      </c>
      <c r="BJ91" s="1408" t="s">
        <v>1927</v>
      </c>
      <c r="BL91" s="1408" t="s">
        <v>1928</v>
      </c>
    </row>
    <row customHeight="1" ht="11.25">
      <c r="AZ92" s="1461" t="s">
        <v>1929</v>
      </c>
      <c r="BH92" s="1409" t="s">
        <v>1930</v>
      </c>
      <c r="BJ92" s="1409" t="s">
        <v>1931</v>
      </c>
      <c r="BL92" s="1409" t="s">
        <v>1932</v>
      </c>
    </row>
    <row customHeight="1" ht="11.25">
      <c r="AZ93" s="1461" t="s">
        <v>1933</v>
      </c>
      <c r="BH93" s="1409" t="s">
        <v>1934</v>
      </c>
      <c r="BJ93" s="1409" t="s">
        <v>1935</v>
      </c>
      <c r="BL93" s="1409" t="s">
        <v>1936</v>
      </c>
    </row>
    <row customHeight="1" ht="11.25">
      <c r="AZ94" s="1461" t="s">
        <v>1937</v>
      </c>
    </row>
    <row r="96" customHeight="1" ht="11.25">
      <c r="AZ96" s="1408" t="s">
        <v>1938</v>
      </c>
      <c r="BH96" s="1408" t="s">
        <v>1939</v>
      </c>
      <c r="BJ96" s="1408" t="s">
        <v>1940</v>
      </c>
      <c r="BL96" s="1408" t="s">
        <v>1941</v>
      </c>
      <c r="BN96" s="1408" t="s">
        <v>1942</v>
      </c>
    </row>
    <row customHeight="1" ht="11.25">
      <c r="AZ97" s="2242" t="s">
        <v>1943</v>
      </c>
      <c r="BA97" s="2243" t="s">
        <v>1944</v>
      </c>
      <c r="BH97" s="1409" t="s">
        <v>1945</v>
      </c>
      <c r="BJ97" s="1409" t="s">
        <v>1946</v>
      </c>
      <c r="BL97" s="1409" t="s">
        <v>1947</v>
      </c>
      <c r="BN97" s="1409" t="s">
        <v>1948</v>
      </c>
    </row>
    <row customHeight="1" ht="11.25">
      <c r="AZ98" s="2242" t="s">
        <v>1949</v>
      </c>
      <c r="BA98" s="2243" t="s">
        <v>1950</v>
      </c>
      <c r="BH98" s="1409" t="s">
        <v>1951</v>
      </c>
      <c r="BJ98" s="1409" t="s">
        <v>1952</v>
      </c>
      <c r="BL98" s="1409" t="s">
        <v>1953</v>
      </c>
      <c r="BN98" s="1409" t="s">
        <v>1954</v>
      </c>
    </row>
    <row customHeight="1" ht="22.5">
      <c r="AZ99" s="2242" t="s">
        <v>1955</v>
      </c>
      <c r="BA99" s="2243"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09" t="s">
        <v>1956</v>
      </c>
      <c r="BJ99" s="1409" t="s">
        <v>1957</v>
      </c>
      <c r="BL99" s="1409" t="s">
        <v>1958</v>
      </c>
      <c r="BN99" s="1409" t="s">
        <v>1959</v>
      </c>
    </row>
    <row customHeight="1" ht="22.5">
      <c r="AZ100" s="2242" t="s">
        <v>1960</v>
      </c>
      <c r="BA100" s="22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409" t="s">
        <v>1592</v>
      </c>
      <c r="BL100" s="1409" t="s">
        <v>1592</v>
      </c>
      <c r="BN100" s="1409" t="s">
        <v>1961</v>
      </c>
    </row>
    <row customHeight="1" ht="22.5">
      <c r="AZ101" s="2242" t="s">
        <v>1962</v>
      </c>
      <c r="BA101" s="2243" t="s">
        <v>1963</v>
      </c>
      <c r="BN101" s="1409" t="s">
        <v>1964</v>
      </c>
    </row>
    <row customHeight="1" ht="22.5">
      <c r="AZ102" s="2242" t="s">
        <v>1965</v>
      </c>
      <c r="BA102" s="22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409" t="s">
        <v>1966</v>
      </c>
    </row>
    <row customHeight="1" ht="11.25">
      <c r="AZ103" s="2242" t="s">
        <v>1967</v>
      </c>
      <c r="BA103" s="2243" t="s">
        <v>1968</v>
      </c>
      <c r="BN103" s="1409" t="s">
        <v>1969</v>
      </c>
    </row>
    <row customHeight="1" ht="11.25">
      <c r="BN104" s="1409" t="s">
        <v>1970</v>
      </c>
    </row>
    <row customHeight="1" ht="11.25">
      <c r="AZ105" s="2033" t="s">
        <v>1971</v>
      </c>
    </row>
    <row customHeight="1" ht="11.25">
      <c r="AZ106" s="1461" t="s">
        <v>1972</v>
      </c>
    </row>
    <row customHeight="1" ht="11.25">
      <c r="AZ107" s="1461" t="s">
        <v>1973</v>
      </c>
      <c r="BH107" s="1408" t="s">
        <v>1974</v>
      </c>
      <c r="BJ107" s="1408" t="s">
        <v>1975</v>
      </c>
      <c r="BL107" s="1408" t="s">
        <v>1976</v>
      </c>
      <c r="BN107" s="1408" t="s">
        <v>1977</v>
      </c>
    </row>
    <row customHeight="1" ht="11.25">
      <c r="AZ108" s="1461" t="s">
        <v>566</v>
      </c>
      <c r="BH108" s="1409" t="s">
        <v>1978</v>
      </c>
      <c r="BJ108" s="1409" t="s">
        <v>1979</v>
      </c>
      <c r="BL108" s="1409" t="s">
        <v>1670</v>
      </c>
      <c r="BN108" s="1409" t="s">
        <v>1980</v>
      </c>
    </row>
    <row customHeight="1" ht="11.25">
      <c r="BH109" s="1409" t="s">
        <v>1981</v>
      </c>
    </row>
    <row customHeight="1" ht="11.25">
      <c r="AZ110" s="2033" t="s">
        <v>1982</v>
      </c>
      <c r="BH110" s="1409" t="s">
        <v>1981</v>
      </c>
    </row>
    <row customHeight="1" ht="11.25">
      <c r="AZ111" s="2242" t="s">
        <v>1943</v>
      </c>
      <c r="BA111" s="2243" t="s">
        <v>1944</v>
      </c>
    </row>
    <row customHeight="1" ht="11.25">
      <c r="AZ112" s="2242" t="s">
        <v>1949</v>
      </c>
      <c r="BA112" s="2243" t="s">
        <v>1950</v>
      </c>
    </row>
    <row customHeight="1" ht="22.5">
      <c r="AZ113" s="2242" t="s">
        <v>1955</v>
      </c>
      <c r="BA113" s="2243"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242" t="s">
        <v>1960</v>
      </c>
      <c r="BA114" s="22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408" t="s">
        <v>1983</v>
      </c>
    </row>
    <row customHeight="1" ht="22.5">
      <c r="AZ115" s="2242" t="s">
        <v>1965</v>
      </c>
      <c r="BA115" s="22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409" t="s">
        <v>1394</v>
      </c>
    </row>
    <row customHeight="1" ht="11.25">
      <c r="AZ116" s="2242" t="s">
        <v>1967</v>
      </c>
      <c r="BA116" s="2243" t="s">
        <v>1968</v>
      </c>
      <c r="BH116" s="1409" t="s">
        <v>1421</v>
      </c>
    </row>
    <row customHeight="1" ht="11.25">
      <c r="BH117" s="1409" t="s">
        <v>1456</v>
      </c>
    </row>
    <row customHeight="1" ht="11.25">
      <c r="BH118" s="1409" t="s">
        <v>1489</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B133CC-408D-3FAD-216F-C15C3A0C5066}"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17743" width="15.00390625" hidden="1" customWidth="1"/>
    <col min="3" max="3" style="17787" width="3.00390625" customWidth="1"/>
    <col min="4" max="4" style="17788" width="6.00390625" customWidth="1"/>
    <col min="5" max="5" style="17787" width="52.00390625" customWidth="1"/>
    <col min="6" max="6" style="17787" width="48.00390625" customWidth="1"/>
    <col min="7" max="7" style="17787" width="93.00390625" customWidth="1"/>
    <col min="8" max="8" style="17787" width="8.00390625" customWidth="1"/>
    <col min="9" max="9" style="17787" width="64.00390625" customWidth="1"/>
    <col min="10" max="10" style="17787" width="9.140625" hidden="1"/>
  </cols>
  <sheetData>
    <row customHeight="1" ht="11.25" hidden="1">
      <c r="A1" s="842" t="s">
        <v>294</v>
      </c>
      <c r="J1" s="796" t="s">
        <v>14</v>
      </c>
    </row>
    <row customHeight="1" ht="22.5" hidden="1">
      <c r="A2" s="843"/>
      <c r="B2" s="843"/>
      <c r="C2" s="2071" t="s">
        <v>684</v>
      </c>
      <c r="D2" s="1861"/>
      <c r="E2" s="1867"/>
      <c r="F2" s="1890"/>
      <c r="H2" s="816"/>
      <c r="J2" s="796">
        <v>0</v>
      </c>
    </row>
    <row customHeight="1" ht="11.25" hidden="1">
      <c r="J3" s="796">
        <v>0</v>
      </c>
    </row>
    <row customHeight="1" ht="11.549999999999999">
      <c r="A4" s="1891"/>
      <c r="B4" s="1891"/>
      <c r="J4" s="796">
        <v>11</v>
      </c>
    </row>
    <row customHeight="1" ht="27.299999999999997">
      <c r="D5" s="257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80"/>
      <c r="F5" s="2581"/>
      <c r="I5" s="1056"/>
      <c r="J5" s="796">
        <v>26</v>
      </c>
    </row>
    <row customHeight="1" ht="18">
      <c r="D6" s="2517" t="str">
        <f>IF(region_name=0,"Не определено",region_name)</f>
        <v>Хабаровский край</v>
      </c>
      <c r="E6" s="2517"/>
      <c r="F6" s="2517"/>
      <c r="I6" s="1056"/>
      <c r="J6" s="796">
        <v>17</v>
      </c>
    </row>
    <row s="17702" customFormat="1" customHeight="1" ht="11.549999999999999">
      <c r="A7" s="842"/>
      <c r="B7" s="842"/>
      <c r="D7" s="1055"/>
      <c r="E7" s="1055"/>
      <c r="F7" s="1093"/>
      <c r="G7" s="1055"/>
      <c r="J7" s="818">
        <v>11</v>
      </c>
    </row>
    <row customHeight="1" ht="11.25" hidden="1">
      <c r="A8" s="843"/>
      <c r="B8" s="843"/>
      <c r="C8" s="798"/>
      <c r="D8" s="804"/>
      <c r="E8" s="2548"/>
      <c r="F8" s="2548"/>
      <c r="J8" s="796">
        <v>0</v>
      </c>
    </row>
    <row customHeight="1" ht="11.549999999999999">
      <c r="A9" s="843"/>
      <c r="B9" s="843"/>
      <c r="C9" s="798"/>
      <c r="D9" s="2545" t="s">
        <v>295</v>
      </c>
      <c r="E9" s="2546"/>
      <c r="F9" s="2546"/>
      <c r="G9" s="2549" t="s">
        <v>296</v>
      </c>
      <c r="J9" s="796">
        <v>11</v>
      </c>
    </row>
    <row customHeight="1" ht="11.549999999999999">
      <c r="A10" s="843"/>
      <c r="B10" s="843"/>
      <c r="C10" s="798"/>
      <c r="D10" s="1815" t="s">
        <v>88</v>
      </c>
      <c r="E10" s="1817" t="s">
        <v>297</v>
      </c>
      <c r="F10" s="1817" t="s">
        <v>298</v>
      </c>
      <c r="G10" s="2550"/>
      <c r="J10" s="796">
        <v>11</v>
      </c>
    </row>
    <row customHeight="1" ht="1.05">
      <c r="A11" s="843"/>
      <c r="B11" s="843"/>
      <c r="C11" s="798"/>
      <c r="D11" s="805"/>
      <c r="E11" s="805"/>
      <c r="F11" s="805"/>
      <c r="G11" s="805"/>
      <c r="J11" s="796">
        <v>1</v>
      </c>
    </row>
    <row customHeight="1" ht="24">
      <c r="A12" s="843"/>
      <c r="B12" s="843"/>
      <c r="C12" s="798"/>
      <c r="D12" s="1861">
        <v>1</v>
      </c>
      <c r="E12" s="81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249" t="str">
        <f>IF(org="","",org)</f>
        <v>АО "ДГК"</v>
      </c>
      <c r="G12" s="81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874"/>
      <c r="J12" s="796">
        <v>23</v>
      </c>
    </row>
    <row customHeight="1" ht="19.95">
      <c r="A13" s="843"/>
      <c r="B13" s="843"/>
      <c r="C13" s="798"/>
      <c r="D13" s="1861">
        <v>2</v>
      </c>
      <c r="E13" s="1868" t="s">
        <v>1984</v>
      </c>
      <c r="F13" s="1862" t="s">
        <v>301</v>
      </c>
      <c r="G13" s="815"/>
      <c r="H13" s="1874"/>
      <c r="J13" s="796">
        <v>19</v>
      </c>
    </row>
    <row customHeight="1" ht="19.95">
      <c r="A14" s="843"/>
      <c r="B14" s="843"/>
      <c r="C14" s="798"/>
      <c r="D14" s="1864" t="s">
        <v>704</v>
      </c>
      <c r="E14" s="1865" t="s">
        <v>1985</v>
      </c>
      <c r="F14" s="1867"/>
      <c r="G14" s="1866" t="s">
        <v>1986</v>
      </c>
      <c r="H14" s="1874"/>
      <c r="J14" s="796">
        <v>19</v>
      </c>
    </row>
    <row customHeight="1" ht="19.95">
      <c r="A15" s="843"/>
      <c r="B15" s="843"/>
      <c r="C15" s="798"/>
      <c r="D15" s="1864" t="s">
        <v>302</v>
      </c>
      <c r="E15" s="1865" t="s">
        <v>1987</v>
      </c>
      <c r="F15" s="1867"/>
      <c r="G15" s="1866" t="s">
        <v>1988</v>
      </c>
      <c r="H15" s="1874"/>
      <c r="J15" s="796">
        <v>19</v>
      </c>
    </row>
    <row customHeight="1" ht="24">
      <c r="A16" s="843"/>
      <c r="B16" s="843"/>
      <c r="C16" s="798"/>
      <c r="D16" s="1864" t="s">
        <v>305</v>
      </c>
      <c r="E16" s="1863" t="s">
        <v>1989</v>
      </c>
      <c r="F16" s="1872"/>
      <c r="G16" s="815" t="s">
        <v>1990</v>
      </c>
      <c r="H16" s="1874"/>
      <c r="J16" s="796">
        <v>23</v>
      </c>
    </row>
    <row customHeight="1" ht="48.29999999999999">
      <c r="A17" s="843"/>
      <c r="B17" s="843"/>
      <c r="C17" s="798"/>
      <c r="D17" s="1861">
        <v>3</v>
      </c>
      <c r="E17" s="1868" t="s">
        <v>1991</v>
      </c>
      <c r="F17" s="1867"/>
      <c r="G17" s="815" t="s">
        <v>1992</v>
      </c>
      <c r="H17" s="1874"/>
      <c r="J17" s="796">
        <v>46</v>
      </c>
    </row>
    <row customHeight="1" ht="48.29999999999999">
      <c r="A18" s="1816">
        <v>1</v>
      </c>
      <c r="B18" s="843"/>
      <c r="C18" s="1818"/>
      <c r="D18" s="1861" t="s">
        <v>91</v>
      </c>
      <c r="E18" s="1868" t="s">
        <v>1993</v>
      </c>
      <c r="F18" s="1867"/>
      <c r="G18" s="815" t="s">
        <v>1992</v>
      </c>
      <c r="H18" s="1874"/>
      <c r="I18" s="1193"/>
      <c r="J18" s="796">
        <v>46</v>
      </c>
    </row>
    <row customHeight="1" ht="23.25">
      <c r="A19" s="843"/>
      <c r="B19" s="843"/>
      <c r="C19" s="798"/>
      <c r="D19" s="1861" t="s">
        <v>108</v>
      </c>
      <c r="E19" s="1868" t="s">
        <v>1994</v>
      </c>
      <c r="F19" s="1862" t="s">
        <v>301</v>
      </c>
      <c r="G19" s="2812" t="s">
        <v>1995</v>
      </c>
      <c r="H19" s="816"/>
      <c r="J19" s="796">
        <v>22</v>
      </c>
    </row>
    <row s="19508" customFormat="1" customHeight="1" ht="5.25" hidden="1">
      <c r="A20" s="843"/>
      <c r="B20" s="843"/>
      <c r="C20" s="1870"/>
      <c r="D20" s="1869" t="s">
        <v>1296</v>
      </c>
      <c r="E20" s="1355"/>
      <c r="F20" s="1354"/>
      <c r="G20" s="2813"/>
      <c r="J20" s="1871">
        <v>0</v>
      </c>
    </row>
    <row customHeight="1" ht="15.75">
      <c r="A21" s="843"/>
      <c r="B21" s="843"/>
      <c r="C21" s="798"/>
      <c r="D21" s="808"/>
      <c r="E21" s="756" t="s">
        <v>334</v>
      </c>
      <c r="F21" s="810"/>
      <c r="G21" s="2814"/>
      <c r="H21" s="1874"/>
      <c r="J21" s="796">
        <v>15</v>
      </c>
    </row>
    <row s="17743" customFormat="1" customHeight="1" ht="26.25">
      <c r="A22" s="843"/>
      <c r="B22" s="843"/>
      <c r="C22" s="843"/>
      <c r="D22" s="1861" t="s">
        <v>92</v>
      </c>
      <c r="E22" s="815" t="s">
        <v>1996</v>
      </c>
      <c r="F22" s="1867"/>
      <c r="G22" s="815" t="s">
        <v>1997</v>
      </c>
      <c r="H22" s="1873"/>
      <c r="J22" s="842">
        <v>25</v>
      </c>
    </row>
    <row s="17743" customFormat="1" customHeight="1" ht="19.95">
      <c r="A23" s="843"/>
      <c r="B23" s="843"/>
      <c r="C23" s="843"/>
      <c r="D23" s="1861" t="s">
        <v>93</v>
      </c>
      <c r="E23" s="1868" t="s">
        <v>1998</v>
      </c>
      <c r="F23" s="1872"/>
      <c r="G23" s="815" t="s">
        <v>1999</v>
      </c>
      <c r="H23" s="1873"/>
      <c r="J23" s="842">
        <v>19</v>
      </c>
    </row>
    <row s="17743" customFormat="1" customHeight="1" ht="144" hidden="1">
      <c r="A24" s="843"/>
      <c r="B24" s="843"/>
      <c r="C24" s="843"/>
      <c r="D24" s="1861" t="s">
        <v>109</v>
      </c>
      <c r="E24" s="223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239"/>
      <c r="G24" s="223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873"/>
      <c r="J24" s="842">
        <v>0</v>
      </c>
    </row>
    <row customHeight="1" ht="11.25" hidden="1">
      <c r="A25" s="842" t="s">
        <v>82</v>
      </c>
      <c r="B25" s="842">
        <v>0</v>
      </c>
      <c r="C25" s="796">
        <v>3</v>
      </c>
      <c r="D25" s="797">
        <v>6</v>
      </c>
      <c r="E25" s="796">
        <v>52</v>
      </c>
      <c r="F25" s="796">
        <v>48</v>
      </c>
      <c r="G25" s="796">
        <v>93</v>
      </c>
      <c r="H25" s="796">
        <v>8</v>
      </c>
      <c r="I25" s="796">
        <v>64</v>
      </c>
      <c r="J25" s="796">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EFF587-D949-2569-B0BB-10CA9A37D8E6}"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7239" width="9.140625" hidden="1"/>
    <col min="2" max="2" style="17315" width="9.140625" hidden="1"/>
    <col min="3" max="3" style="17239" width="3.7109375" hidden="1" customWidth="1"/>
    <col min="4" max="4" style="17404" width="3.00390625" customWidth="1"/>
    <col min="5" max="5" style="17239" width="6.00390625" customWidth="1"/>
    <col min="6" max="6" style="17239" width="46.00390625" customWidth="1"/>
    <col min="7" max="8" style="17239" width="16.00390625" customWidth="1"/>
    <col min="9" max="9" style="17239" width="35.00390625" customWidth="1"/>
    <col min="10" max="10" style="17239" width="89.00390625" customWidth="1"/>
    <col min="11" max="11" style="17405" width="3.00390625" customWidth="1"/>
    <col min="12" max="14" style="17405" width="8.00390625" customWidth="1"/>
    <col min="15" max="15" style="17405" width="25.00390625" customWidth="1"/>
    <col min="16" max="16" style="17405" width="14.00390625" customWidth="1"/>
    <col min="17" max="20" style="17406" width="8.00390625" customWidth="1"/>
    <col min="21" max="254" style="17239" width="8.00390625" customWidth="1"/>
    <col min="255" max="255" style="17239" width="9.140625" hidden="1"/>
  </cols>
  <sheetData>
    <row customHeight="1" ht="22.5" hidden="1">
      <c r="F1" s="1972" t="s">
        <v>2000</v>
      </c>
      <c r="G1" s="1972" t="s">
        <v>47</v>
      </c>
      <c r="H1" s="1972" t="s">
        <v>49</v>
      </c>
      <c r="IU1" s="1496" t="s">
        <v>14</v>
      </c>
    </row>
    <row s="17376" customFormat="1" customHeight="1" ht="22.5" hidden="1">
      <c r="A2" s="1172"/>
      <c r="B2" s="1501">
        <v>1</v>
      </c>
      <c r="C2" s="1501"/>
      <c r="D2" s="2269" t="s">
        <v>684</v>
      </c>
      <c r="E2" s="1825"/>
      <c r="F2" s="1832"/>
      <c r="G2" s="1832"/>
      <c r="H2" s="1832"/>
      <c r="I2" s="2325"/>
      <c r="J2" s="2326"/>
      <c r="K2" s="1876"/>
      <c r="L2" s="852"/>
      <c r="M2" s="852"/>
      <c r="N2" s="841" t="str">
        <f t="array" ref="N2:N2">IF(ISERROR(MATCH(MID(O2,1,250),MID(note_ter,1,250),0)),"n","y")</f>
        <v>n</v>
      </c>
      <c r="O2" s="852"/>
      <c r="P2" s="841" t="str">
        <f>G2&amp;"("&amp;J2&amp;")"</f>
        <v>()</v>
      </c>
      <c r="Q2" s="1501"/>
      <c r="R2" s="1501"/>
      <c r="S2" s="761"/>
      <c r="T2" s="1501"/>
      <c r="U2" s="1501"/>
      <c r="V2" s="1501"/>
      <c r="W2" s="763"/>
      <c r="X2" s="763"/>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3"/>
      <c r="BU2" s="763"/>
      <c r="BV2" s="763"/>
      <c r="BW2" s="763"/>
      <c r="BX2" s="763"/>
      <c r="BY2" s="763"/>
      <c r="BZ2" s="763"/>
      <c r="CA2" s="763"/>
      <c r="CB2" s="763"/>
      <c r="CC2" s="763"/>
      <c r="IU2" s="764">
        <v>0</v>
      </c>
    </row>
    <row s="17316" customFormat="1" customHeight="1" ht="4.2">
      <c r="A3" s="837"/>
      <c r="D3" s="835"/>
      <c r="F3" s="588" t="s">
        <v>83</v>
      </c>
      <c r="G3" s="835" t="s">
        <v>84</v>
      </c>
      <c r="H3" s="835"/>
      <c r="I3" s="835"/>
      <c r="J3" s="568" t="s">
        <v>85</v>
      </c>
      <c r="K3" s="588" t="s">
        <v>83</v>
      </c>
      <c r="L3" s="588"/>
      <c r="M3" s="588"/>
      <c r="N3" s="588"/>
      <c r="O3" s="589"/>
      <c r="P3" s="588"/>
      <c r="Q3" s="588"/>
      <c r="R3" s="588"/>
      <c r="S3" s="588"/>
      <c r="T3" s="58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852">
        <v>4</v>
      </c>
    </row>
    <row s="17331" customFormat="1" customHeight="1" ht="14.699999999999998">
      <c r="A4" s="1496"/>
      <c r="B4" s="1501"/>
      <c r="C4" s="1496"/>
      <c r="D4" s="1836"/>
      <c r="E4" s="850"/>
      <c r="F4" s="1983"/>
      <c r="G4" s="850"/>
      <c r="H4" s="850"/>
      <c r="I4" s="850"/>
      <c r="J4" s="507"/>
      <c r="K4" s="588"/>
      <c r="L4" s="841"/>
      <c r="M4" s="841"/>
      <c r="N4" s="841"/>
      <c r="O4" s="567"/>
      <c r="P4" s="841"/>
      <c r="Q4" s="566"/>
      <c r="R4" s="566"/>
      <c r="S4" s="566"/>
      <c r="T4" s="566"/>
      <c r="IU4" s="848">
        <v>14</v>
      </c>
    </row>
    <row s="17331" customFormat="1" customHeight="1" ht="27.299999999999997">
      <c r="A5" s="1496"/>
      <c r="B5" s="1501"/>
      <c r="C5" s="1496"/>
      <c r="D5" s="1836"/>
      <c r="E5" s="24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41"/>
      <c r="G5" s="2441"/>
      <c r="H5" s="2441"/>
      <c r="I5" s="2441"/>
      <c r="J5" s="2441"/>
      <c r="K5" s="588"/>
      <c r="L5" s="841"/>
      <c r="M5" s="841"/>
      <c r="N5" s="841"/>
      <c r="O5" s="567"/>
      <c r="P5" s="841"/>
      <c r="Q5" s="566"/>
      <c r="R5" s="566"/>
      <c r="S5" s="566"/>
      <c r="T5" s="566"/>
      <c r="IU5" s="848">
        <v>26</v>
      </c>
    </row>
    <row s="17331" customFormat="1" customHeight="1" ht="14.699999999999998">
      <c r="A6" s="1496"/>
      <c r="B6" s="1501"/>
      <c r="C6" s="1496"/>
      <c r="D6" s="1836"/>
      <c r="E6" s="850"/>
      <c r="F6" s="508"/>
      <c r="G6" s="508"/>
      <c r="H6" s="508"/>
      <c r="I6" s="508"/>
      <c r="J6" s="509"/>
      <c r="K6" s="841"/>
      <c r="L6" s="841"/>
      <c r="M6" s="841"/>
      <c r="N6" s="841"/>
      <c r="O6" s="567"/>
      <c r="P6" s="841"/>
      <c r="Q6" s="566"/>
      <c r="R6" s="566"/>
      <c r="S6" s="566"/>
      <c r="T6" s="566"/>
      <c r="IU6" s="848">
        <v>14</v>
      </c>
    </row>
    <row s="17331" customFormat="1" customHeight="1" ht="14.699999999999998">
      <c r="A7" s="1496"/>
      <c r="B7" s="1501"/>
      <c r="C7" s="1496"/>
      <c r="D7" s="1836"/>
      <c r="E7" s="2442" t="s">
        <v>295</v>
      </c>
      <c r="F7" s="2443"/>
      <c r="G7" s="2443"/>
      <c r="H7" s="2443"/>
      <c r="I7" s="2443"/>
      <c r="J7" s="2815" t="s">
        <v>296</v>
      </c>
      <c r="K7" s="841"/>
      <c r="L7" s="841"/>
      <c r="M7" s="841"/>
      <c r="N7" s="841"/>
      <c r="O7" s="567"/>
      <c r="P7" s="841"/>
      <c r="Q7" s="566"/>
      <c r="R7" s="566"/>
      <c r="S7" s="566"/>
      <c r="T7" s="566"/>
      <c r="IU7" s="848">
        <v>14</v>
      </c>
    </row>
    <row s="17331" customFormat="1" customHeight="1" ht="21">
      <c r="A8" s="1496"/>
      <c r="B8" s="1501"/>
      <c r="C8" s="1496"/>
      <c r="D8" s="1836"/>
      <c r="E8" s="1889" t="s">
        <v>88</v>
      </c>
      <c r="F8" s="1881" t="s">
        <v>2000</v>
      </c>
      <c r="G8" s="1881" t="s">
        <v>47</v>
      </c>
      <c r="H8" s="1881" t="s">
        <v>49</v>
      </c>
      <c r="I8" s="1881" t="s">
        <v>2001</v>
      </c>
      <c r="J8" s="2816"/>
      <c r="K8" s="841"/>
      <c r="L8" s="841"/>
      <c r="M8" s="841"/>
      <c r="N8" s="841"/>
      <c r="O8" s="567"/>
      <c r="P8" s="841"/>
      <c r="Q8" s="566"/>
      <c r="R8" s="566"/>
      <c r="S8" s="566"/>
      <c r="T8" s="566"/>
      <c r="IU8" s="848">
        <v>20</v>
      </c>
    </row>
    <row s="17376" customFormat="1" customHeight="1" ht="23.25">
      <c r="A9" s="1972"/>
      <c r="B9" s="1501">
        <v>1</v>
      </c>
      <c r="C9" s="1501"/>
      <c r="D9" s="1142"/>
      <c r="E9" s="1825">
        <v>1</v>
      </c>
      <c r="F9" s="1888"/>
      <c r="G9" s="1832"/>
      <c r="H9" s="1832"/>
      <c r="I9" s="1879"/>
      <c r="J9" s="25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876"/>
      <c r="L9" s="852"/>
      <c r="M9" s="852"/>
      <c r="N9" s="841" t="str">
        <f t="array" ref="N9:N9">IF(ISERROR(MATCH(MID(O9,1,250),MID(note_ter,1,250),0)),"n","y")</f>
        <v>n</v>
      </c>
      <c r="O9" s="852"/>
      <c r="P9" s="841"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01"/>
      <c r="R9" s="1501"/>
      <c r="S9" s="761"/>
      <c r="T9" s="1501"/>
      <c r="U9" s="1501"/>
      <c r="V9" s="1501"/>
      <c r="W9" s="763"/>
      <c r="X9" s="763"/>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3"/>
      <c r="BU9" s="763"/>
      <c r="BV9" s="763"/>
      <c r="BW9" s="763"/>
      <c r="BX9" s="763"/>
      <c r="BY9" s="763"/>
      <c r="BZ9" s="763"/>
      <c r="CA9" s="763"/>
      <c r="CB9" s="763"/>
      <c r="CC9" s="763"/>
      <c r="IU9" s="764">
        <v>22</v>
      </c>
    </row>
    <row s="17376" customFormat="1" customHeight="1" ht="15.75">
      <c r="A10" s="1972"/>
      <c r="B10" s="1501"/>
      <c r="C10" s="753"/>
      <c r="D10" s="1142"/>
      <c r="E10" s="1882"/>
      <c r="F10" s="1841" t="s">
        <v>2002</v>
      </c>
      <c r="G10" s="1883"/>
      <c r="H10" s="1883"/>
      <c r="I10" s="2240"/>
      <c r="J10" s="2512"/>
      <c r="K10" s="1877"/>
      <c r="L10" s="852"/>
      <c r="M10" s="852"/>
      <c r="N10" s="852"/>
      <c r="O10" s="841"/>
      <c r="P10" s="852"/>
      <c r="Q10" s="1501"/>
      <c r="R10" s="1501"/>
      <c r="S10" s="761"/>
      <c r="T10" s="1501"/>
      <c r="U10" s="1501"/>
      <c r="V10" s="1501"/>
      <c r="W10" s="763"/>
      <c r="X10" s="763"/>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3"/>
      <c r="BU10" s="763"/>
      <c r="BV10" s="763"/>
      <c r="BW10" s="763"/>
      <c r="BX10" s="763"/>
      <c r="BY10" s="763"/>
      <c r="BZ10" s="763"/>
      <c r="CA10" s="763"/>
      <c r="CB10" s="763"/>
      <c r="CC10" s="763"/>
      <c r="IU10" s="764">
        <v>15</v>
      </c>
    </row>
    <row s="17331" customFormat="1" customHeight="1" ht="22.049999999999997">
      <c r="A11" s="1496"/>
      <c r="B11" s="1501"/>
      <c r="C11" s="1496"/>
      <c r="D11" s="792"/>
      <c r="E11" s="521"/>
      <c r="F11" s="521"/>
      <c r="G11" s="521"/>
      <c r="H11" s="521"/>
      <c r="I11" s="521"/>
      <c r="J11" s="521"/>
      <c r="K11" s="841"/>
      <c r="L11" s="841"/>
      <c r="M11" s="841"/>
      <c r="N11" s="841"/>
      <c r="O11" s="567"/>
      <c r="P11" s="841"/>
      <c r="Q11" s="566"/>
      <c r="R11" s="566"/>
      <c r="S11" s="566"/>
      <c r="T11" s="566"/>
      <c r="IU11" s="848">
        <v>21</v>
      </c>
    </row>
    <row s="17331" customFormat="1" customHeight="1" ht="14.699999999999998">
      <c r="A12" s="1496"/>
      <c r="B12" s="1501"/>
      <c r="C12" s="1496"/>
      <c r="D12" s="792"/>
      <c r="E12" s="1496"/>
      <c r="F12" s="1496"/>
      <c r="G12" s="1496"/>
      <c r="H12" s="1496"/>
      <c r="I12" s="1496"/>
      <c r="J12" s="1496"/>
      <c r="K12" s="841"/>
      <c r="L12" s="841"/>
      <c r="M12" s="841"/>
      <c r="N12" s="841"/>
      <c r="O12" s="567"/>
      <c r="P12" s="841"/>
      <c r="Q12" s="566"/>
      <c r="R12" s="566"/>
      <c r="S12" s="566"/>
      <c r="T12" s="566"/>
      <c r="IU12" s="848">
        <v>14</v>
      </c>
    </row>
    <row s="17331" customFormat="1" customHeight="1" ht="1.05">
      <c r="A13" s="1496"/>
      <c r="B13" s="1501"/>
      <c r="C13" s="1496"/>
      <c r="D13" s="792"/>
      <c r="E13" s="1496"/>
      <c r="F13" s="1496"/>
      <c r="G13" s="1496"/>
      <c r="H13" s="1496"/>
      <c r="I13" s="1496"/>
      <c r="J13" s="1496"/>
      <c r="K13" s="841"/>
      <c r="L13" s="841"/>
      <c r="M13" s="841"/>
      <c r="N13" s="841"/>
      <c r="O13" s="567"/>
      <c r="P13" s="841"/>
      <c r="Q13" s="566"/>
      <c r="R13" s="566"/>
      <c r="S13" s="566"/>
      <c r="T13" s="566"/>
      <c r="IU13" s="848">
        <v>1</v>
      </c>
    </row>
    <row s="17399" customFormat="1" customHeight="1" ht="10.5">
      <c r="B14" s="1175"/>
      <c r="D14" s="523"/>
      <c r="K14" s="841"/>
      <c r="L14" s="841"/>
      <c r="M14" s="841"/>
      <c r="N14" s="841"/>
      <c r="O14" s="567"/>
      <c r="P14" s="841"/>
      <c r="Q14" s="566"/>
      <c r="R14" s="566"/>
      <c r="S14" s="566"/>
      <c r="T14" s="566"/>
      <c r="IU14" s="522">
        <v>10</v>
      </c>
    </row>
    <row s="17399" customFormat="1" customHeight="1" ht="10.5">
      <c r="B15" s="1175"/>
      <c r="D15" s="523"/>
      <c r="K15" s="841"/>
      <c r="L15" s="841"/>
      <c r="M15" s="841"/>
      <c r="N15" s="841"/>
      <c r="O15" s="567"/>
      <c r="P15" s="841"/>
      <c r="Q15" s="566"/>
      <c r="R15" s="566"/>
      <c r="S15" s="566"/>
      <c r="T15" s="566"/>
      <c r="IU15" s="522">
        <v>10</v>
      </c>
    </row>
    <row customHeight="1" ht="14.699999999999998">
      <c r="IU16" s="1496">
        <v>14</v>
      </c>
    </row>
    <row customHeight="1" ht="14.699999999999998">
      <c r="IU17" s="1496">
        <v>14</v>
      </c>
    </row>
    <row customHeight="1" ht="14.699999999999998">
      <c r="IU18" s="1496">
        <v>14</v>
      </c>
    </row>
    <row customHeight="1" ht="14.699999999999998">
      <c r="G19" s="714"/>
      <c r="H19" s="714"/>
      <c r="I19" s="714"/>
      <c r="IU19" s="1496">
        <v>14</v>
      </c>
    </row>
    <row customHeight="1" ht="14.699999999999998">
      <c r="IU20" s="1496">
        <v>14</v>
      </c>
    </row>
    <row customHeight="1" ht="14.699999999999998">
      <c r="IU21" s="1496">
        <v>14</v>
      </c>
    </row>
    <row customHeight="1" ht="14.699999999999998">
      <c r="IU22" s="1496">
        <v>14</v>
      </c>
    </row>
    <row customHeight="1" ht="14.699999999999998">
      <c r="K23" s="1496"/>
      <c r="L23" s="1496"/>
      <c r="M23" s="1496"/>
      <c r="IU23" s="1496">
        <v>14</v>
      </c>
    </row>
    <row customHeight="1" ht="22.5" hidden="1">
      <c r="A24" s="1496" t="s">
        <v>82</v>
      </c>
      <c r="B24" s="1501">
        <v>0</v>
      </c>
      <c r="C24" s="1496">
        <v>0</v>
      </c>
      <c r="D24" s="792">
        <v>3</v>
      </c>
      <c r="E24" s="1496">
        <v>6</v>
      </c>
      <c r="F24" s="1496">
        <v>46</v>
      </c>
      <c r="G24" s="1496">
        <v>16</v>
      </c>
      <c r="H24" s="1496">
        <v>16</v>
      </c>
      <c r="I24" s="1496">
        <v>35</v>
      </c>
      <c r="J24" s="1496">
        <v>89</v>
      </c>
      <c r="K24" s="841">
        <v>3</v>
      </c>
      <c r="L24" s="841">
        <v>8</v>
      </c>
      <c r="M24" s="841">
        <v>8</v>
      </c>
      <c r="N24" s="841">
        <v>8</v>
      </c>
      <c r="O24" s="567">
        <v>25</v>
      </c>
      <c r="P24" s="841">
        <v>14</v>
      </c>
      <c r="Q24" s="566">
        <v>8</v>
      </c>
      <c r="R24" s="566">
        <v>8</v>
      </c>
      <c r="S24" s="566">
        <v>8</v>
      </c>
      <c r="T24" s="566">
        <v>8</v>
      </c>
      <c r="U24" s="1496">
        <v>8</v>
      </c>
      <c r="V24" s="1496">
        <v>8</v>
      </c>
      <c r="W24" s="1496">
        <v>8</v>
      </c>
      <c r="X24" s="1496">
        <v>8</v>
      </c>
      <c r="Y24" s="1496">
        <v>8</v>
      </c>
      <c r="Z24" s="1496">
        <v>8</v>
      </c>
      <c r="AA24" s="1496">
        <v>8</v>
      </c>
      <c r="AB24" s="1496">
        <v>8</v>
      </c>
      <c r="AC24" s="1496">
        <v>8</v>
      </c>
      <c r="AD24" s="1496">
        <v>8</v>
      </c>
      <c r="AE24" s="1496">
        <v>8</v>
      </c>
      <c r="AF24" s="1496">
        <v>8</v>
      </c>
      <c r="AG24" s="1496">
        <v>8</v>
      </c>
      <c r="AH24" s="1496">
        <v>8</v>
      </c>
      <c r="AI24" s="1496">
        <v>8</v>
      </c>
      <c r="AJ24" s="1496">
        <v>8</v>
      </c>
      <c r="AK24" s="1496">
        <v>8</v>
      </c>
      <c r="AL24" s="1496">
        <v>8</v>
      </c>
      <c r="AM24" s="1496">
        <v>8</v>
      </c>
      <c r="AN24" s="1496">
        <v>8</v>
      </c>
      <c r="AO24" s="1496">
        <v>8</v>
      </c>
      <c r="AP24" s="1496">
        <v>8</v>
      </c>
      <c r="AQ24" s="1496">
        <v>8</v>
      </c>
      <c r="AR24" s="1496">
        <v>8</v>
      </c>
      <c r="AS24" s="1496">
        <v>8</v>
      </c>
      <c r="AT24" s="1496">
        <v>8</v>
      </c>
      <c r="AU24" s="1496">
        <v>8</v>
      </c>
      <c r="AV24" s="1496">
        <v>8</v>
      </c>
      <c r="AW24" s="1496">
        <v>8</v>
      </c>
      <c r="AX24" s="1496">
        <v>8</v>
      </c>
      <c r="AY24" s="1496">
        <v>8</v>
      </c>
      <c r="AZ24" s="1496">
        <v>8</v>
      </c>
      <c r="BA24" s="1496">
        <v>8</v>
      </c>
      <c r="BB24" s="1496">
        <v>8</v>
      </c>
      <c r="BC24" s="1496">
        <v>8</v>
      </c>
      <c r="BD24" s="1496">
        <v>8</v>
      </c>
      <c r="BE24" s="1496">
        <v>8</v>
      </c>
      <c r="BF24" s="1496">
        <v>8</v>
      </c>
      <c r="BG24" s="1496">
        <v>8</v>
      </c>
      <c r="BH24" s="1496">
        <v>8</v>
      </c>
      <c r="BI24" s="1496">
        <v>8</v>
      </c>
      <c r="BJ24" s="1496">
        <v>8</v>
      </c>
      <c r="BK24" s="1496">
        <v>8</v>
      </c>
      <c r="BL24" s="1496">
        <v>8</v>
      </c>
      <c r="BM24" s="1496">
        <v>8</v>
      </c>
      <c r="BN24" s="1496">
        <v>8</v>
      </c>
      <c r="BO24" s="1496">
        <v>8</v>
      </c>
      <c r="BP24" s="1496">
        <v>8</v>
      </c>
      <c r="BQ24" s="1496">
        <v>8</v>
      </c>
      <c r="BR24" s="1496">
        <v>8</v>
      </c>
      <c r="BS24" s="1496">
        <v>8</v>
      </c>
      <c r="BT24" s="1496">
        <v>8</v>
      </c>
      <c r="BU24" s="1496">
        <v>8</v>
      </c>
      <c r="BV24" s="1496">
        <v>8</v>
      </c>
      <c r="BW24" s="1496">
        <v>8</v>
      </c>
      <c r="BX24" s="1496">
        <v>8</v>
      </c>
      <c r="BY24" s="1496">
        <v>8</v>
      </c>
      <c r="BZ24" s="1496">
        <v>8</v>
      </c>
      <c r="CA24" s="1496">
        <v>8</v>
      </c>
      <c r="CB24" s="1496">
        <v>8</v>
      </c>
      <c r="CC24" s="1496">
        <v>8</v>
      </c>
      <c r="CD24" s="1496">
        <v>8</v>
      </c>
      <c r="CE24" s="1496">
        <v>8</v>
      </c>
      <c r="CF24" s="1496">
        <v>8</v>
      </c>
      <c r="CG24" s="1496">
        <v>8</v>
      </c>
      <c r="CH24" s="1496">
        <v>8</v>
      </c>
      <c r="CI24" s="1496">
        <v>8</v>
      </c>
      <c r="CJ24" s="1496">
        <v>8</v>
      </c>
      <c r="CK24" s="1496">
        <v>8</v>
      </c>
      <c r="CL24" s="1496">
        <v>8</v>
      </c>
      <c r="CM24" s="1496">
        <v>8</v>
      </c>
      <c r="CN24" s="1496">
        <v>8</v>
      </c>
      <c r="CO24" s="1496">
        <v>8</v>
      </c>
      <c r="CP24" s="1496">
        <v>8</v>
      </c>
      <c r="CQ24" s="1496">
        <v>8</v>
      </c>
      <c r="CR24" s="1496">
        <v>8</v>
      </c>
      <c r="CS24" s="1496">
        <v>8</v>
      </c>
      <c r="CT24" s="1496">
        <v>8</v>
      </c>
      <c r="CU24" s="1496">
        <v>8</v>
      </c>
      <c r="CV24" s="1496">
        <v>8</v>
      </c>
      <c r="CW24" s="1496">
        <v>8</v>
      </c>
      <c r="CX24" s="1496">
        <v>8</v>
      </c>
      <c r="CY24" s="1496">
        <v>8</v>
      </c>
      <c r="CZ24" s="1496">
        <v>8</v>
      </c>
      <c r="DA24" s="1496">
        <v>8</v>
      </c>
      <c r="DB24" s="1496">
        <v>8</v>
      </c>
      <c r="DC24" s="1496">
        <v>8</v>
      </c>
      <c r="DD24" s="1496">
        <v>8</v>
      </c>
      <c r="DE24" s="1496">
        <v>8</v>
      </c>
      <c r="DF24" s="1496">
        <v>8</v>
      </c>
      <c r="DG24" s="1496">
        <v>8</v>
      </c>
      <c r="DH24" s="1496">
        <v>8</v>
      </c>
      <c r="DI24" s="1496">
        <v>8</v>
      </c>
      <c r="DJ24" s="1496">
        <v>8</v>
      </c>
      <c r="DK24" s="1496">
        <v>8</v>
      </c>
      <c r="DL24" s="1496">
        <v>8</v>
      </c>
      <c r="DM24" s="1496">
        <v>8</v>
      </c>
      <c r="DN24" s="1496">
        <v>8</v>
      </c>
      <c r="DO24" s="1496">
        <v>8</v>
      </c>
      <c r="DP24" s="1496">
        <v>8</v>
      </c>
      <c r="DQ24" s="1496">
        <v>8</v>
      </c>
      <c r="DR24" s="1496">
        <v>8</v>
      </c>
      <c r="DS24" s="1496">
        <v>8</v>
      </c>
      <c r="DT24" s="1496">
        <v>8</v>
      </c>
      <c r="DU24" s="1496">
        <v>8</v>
      </c>
      <c r="DV24" s="1496">
        <v>8</v>
      </c>
      <c r="DW24" s="1496">
        <v>8</v>
      </c>
      <c r="DX24" s="1496">
        <v>8</v>
      </c>
      <c r="DY24" s="1496">
        <v>8</v>
      </c>
      <c r="DZ24" s="1496">
        <v>8</v>
      </c>
      <c r="EA24" s="1496">
        <v>8</v>
      </c>
      <c r="EB24" s="1496">
        <v>8</v>
      </c>
      <c r="EC24" s="1496">
        <v>8</v>
      </c>
      <c r="ED24" s="1496">
        <v>8</v>
      </c>
      <c r="EE24" s="1496">
        <v>8</v>
      </c>
      <c r="EF24" s="1496">
        <v>8</v>
      </c>
      <c r="EG24" s="1496">
        <v>8</v>
      </c>
      <c r="EH24" s="1496">
        <v>8</v>
      </c>
      <c r="EI24" s="1496">
        <v>8</v>
      </c>
      <c r="EJ24" s="1496">
        <v>8</v>
      </c>
      <c r="EK24" s="1496">
        <v>8</v>
      </c>
      <c r="EL24" s="1496">
        <v>8</v>
      </c>
      <c r="EM24" s="1496">
        <v>8</v>
      </c>
      <c r="EN24" s="1496">
        <v>8</v>
      </c>
      <c r="EO24" s="1496">
        <v>8</v>
      </c>
      <c r="EP24" s="1496">
        <v>8</v>
      </c>
      <c r="EQ24" s="1496">
        <v>8</v>
      </c>
      <c r="ER24" s="1496">
        <v>8</v>
      </c>
      <c r="ES24" s="1496">
        <v>8</v>
      </c>
      <c r="ET24" s="1496">
        <v>8</v>
      </c>
      <c r="EU24" s="1496">
        <v>8</v>
      </c>
      <c r="EV24" s="1496">
        <v>8</v>
      </c>
      <c r="EW24" s="1496">
        <v>8</v>
      </c>
      <c r="EX24" s="1496">
        <v>8</v>
      </c>
      <c r="EY24" s="1496">
        <v>8</v>
      </c>
      <c r="EZ24" s="1496">
        <v>8</v>
      </c>
      <c r="FA24" s="1496">
        <v>8</v>
      </c>
      <c r="FB24" s="1496">
        <v>8</v>
      </c>
      <c r="FC24" s="1496">
        <v>8</v>
      </c>
      <c r="FD24" s="1496">
        <v>8</v>
      </c>
      <c r="FE24" s="1496">
        <v>8</v>
      </c>
      <c r="FF24" s="1496">
        <v>8</v>
      </c>
      <c r="FG24" s="1496">
        <v>8</v>
      </c>
      <c r="FH24" s="1496">
        <v>8</v>
      </c>
      <c r="FI24" s="1496">
        <v>8</v>
      </c>
      <c r="FJ24" s="1496">
        <v>8</v>
      </c>
      <c r="FK24" s="1496">
        <v>8</v>
      </c>
      <c r="FL24" s="1496">
        <v>8</v>
      </c>
      <c r="FM24" s="1496">
        <v>8</v>
      </c>
      <c r="FN24" s="1496">
        <v>8</v>
      </c>
      <c r="FO24" s="1496">
        <v>8</v>
      </c>
      <c r="FP24" s="1496">
        <v>8</v>
      </c>
      <c r="FQ24" s="1496">
        <v>8</v>
      </c>
      <c r="FR24" s="1496">
        <v>8</v>
      </c>
      <c r="FS24" s="1496">
        <v>8</v>
      </c>
      <c r="FT24" s="1496">
        <v>8</v>
      </c>
      <c r="FU24" s="1496">
        <v>8</v>
      </c>
      <c r="FV24" s="1496">
        <v>8</v>
      </c>
      <c r="FW24" s="1496">
        <v>8</v>
      </c>
      <c r="FX24" s="1496">
        <v>8</v>
      </c>
      <c r="FY24" s="1496">
        <v>8</v>
      </c>
      <c r="FZ24" s="1496">
        <v>8</v>
      </c>
      <c r="GA24" s="1496">
        <v>8</v>
      </c>
      <c r="GB24" s="1496">
        <v>8</v>
      </c>
      <c r="GC24" s="1496">
        <v>8</v>
      </c>
      <c r="GD24" s="1496">
        <v>8</v>
      </c>
      <c r="GE24" s="1496">
        <v>8</v>
      </c>
      <c r="GF24" s="1496">
        <v>8</v>
      </c>
      <c r="GG24" s="1496">
        <v>8</v>
      </c>
      <c r="GH24" s="1496">
        <v>8</v>
      </c>
      <c r="GI24" s="1496">
        <v>8</v>
      </c>
      <c r="GJ24" s="1496">
        <v>8</v>
      </c>
      <c r="GK24" s="1496">
        <v>8</v>
      </c>
      <c r="GL24" s="1496">
        <v>8</v>
      </c>
      <c r="GM24" s="1496">
        <v>8</v>
      </c>
      <c r="GN24" s="1496">
        <v>8</v>
      </c>
      <c r="GO24" s="1496">
        <v>8</v>
      </c>
      <c r="GP24" s="1496">
        <v>8</v>
      </c>
      <c r="GQ24" s="1496">
        <v>8</v>
      </c>
      <c r="GR24" s="1496">
        <v>8</v>
      </c>
      <c r="GS24" s="1496">
        <v>8</v>
      </c>
      <c r="GT24" s="1496">
        <v>8</v>
      </c>
      <c r="GU24" s="1496">
        <v>8</v>
      </c>
      <c r="GV24" s="1496">
        <v>8</v>
      </c>
      <c r="GW24" s="1496">
        <v>8</v>
      </c>
      <c r="GX24" s="1496">
        <v>8</v>
      </c>
      <c r="GY24" s="1496">
        <v>8</v>
      </c>
      <c r="GZ24" s="1496">
        <v>8</v>
      </c>
      <c r="HA24" s="1496">
        <v>8</v>
      </c>
      <c r="HB24" s="1496">
        <v>8</v>
      </c>
      <c r="HC24" s="1496">
        <v>8</v>
      </c>
      <c r="HD24" s="1496">
        <v>8</v>
      </c>
      <c r="HE24" s="1496">
        <v>8</v>
      </c>
      <c r="HF24" s="1496">
        <v>8</v>
      </c>
      <c r="HG24" s="1496">
        <v>8</v>
      </c>
      <c r="HH24" s="1496">
        <v>8</v>
      </c>
      <c r="HI24" s="1496">
        <v>8</v>
      </c>
      <c r="HJ24" s="1496">
        <v>8</v>
      </c>
      <c r="HK24" s="1496">
        <v>8</v>
      </c>
      <c r="HL24" s="1496">
        <v>8</v>
      </c>
      <c r="HM24" s="1496">
        <v>8</v>
      </c>
      <c r="HN24" s="1496">
        <v>8</v>
      </c>
      <c r="HO24" s="1496">
        <v>8</v>
      </c>
      <c r="HP24" s="1496">
        <v>8</v>
      </c>
      <c r="HQ24" s="1496">
        <v>8</v>
      </c>
      <c r="HR24" s="1496">
        <v>8</v>
      </c>
      <c r="HS24" s="1496">
        <v>8</v>
      </c>
      <c r="HT24" s="1496">
        <v>8</v>
      </c>
      <c r="HU24" s="1496">
        <v>8</v>
      </c>
      <c r="HV24" s="1496">
        <v>8</v>
      </c>
      <c r="HW24" s="1496">
        <v>8</v>
      </c>
      <c r="HX24" s="1496">
        <v>8</v>
      </c>
      <c r="HY24" s="1496">
        <v>8</v>
      </c>
      <c r="HZ24" s="1496">
        <v>8</v>
      </c>
      <c r="IA24" s="1496">
        <v>8</v>
      </c>
      <c r="IB24" s="1496">
        <v>8</v>
      </c>
      <c r="IC24" s="1496">
        <v>8</v>
      </c>
      <c r="ID24" s="1496">
        <v>8</v>
      </c>
      <c r="IE24" s="1496">
        <v>8</v>
      </c>
      <c r="IF24" s="1496">
        <v>8</v>
      </c>
      <c r="IG24" s="1496">
        <v>8</v>
      </c>
      <c r="IH24" s="1496">
        <v>8</v>
      </c>
      <c r="II24" s="1496">
        <v>8</v>
      </c>
      <c r="IJ24" s="1496">
        <v>8</v>
      </c>
      <c r="IK24" s="1496">
        <v>8</v>
      </c>
      <c r="IL24" s="1496">
        <v>8</v>
      </c>
      <c r="IM24" s="1496">
        <v>8</v>
      </c>
      <c r="IN24" s="1496">
        <v>8</v>
      </c>
      <c r="IO24" s="1496">
        <v>8</v>
      </c>
      <c r="IP24" s="1496">
        <v>8</v>
      </c>
      <c r="IQ24" s="1496">
        <v>8</v>
      </c>
      <c r="IR24" s="1496">
        <v>8</v>
      </c>
      <c r="IS24" s="1496">
        <v>8</v>
      </c>
      <c r="IT24" s="1496">
        <v>8</v>
      </c>
      <c r="IU24" s="1496">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F83EBC-5C15-2E9F-C035-232BFE71F435}"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7239" width="9.140625" hidden="1"/>
    <col min="2" max="2" style="17315" width="9.140625" hidden="1"/>
    <col min="3" max="3" style="17239" width="3.7109375" hidden="1" customWidth="1"/>
    <col min="4" max="4" style="17404" width="3.00390625" customWidth="1"/>
    <col min="5" max="5" style="17239" width="6.00390625" customWidth="1"/>
    <col min="6" max="6" style="17239" width="27.00390625" customWidth="1"/>
    <col min="7" max="7" style="17239" width="16.00390625" customWidth="1"/>
    <col min="8" max="8" style="17239" width="12.00390625" customWidth="1"/>
    <col min="9" max="9" style="17239" width="32.00390625" customWidth="1"/>
    <col min="10" max="11" style="17239" width="41.00390625" customWidth="1"/>
    <col min="12" max="12" style="17239" width="89.00390625" customWidth="1"/>
    <col min="13" max="13" style="17405" width="3.00390625" customWidth="1"/>
    <col min="14" max="16" style="17405" width="8.00390625" customWidth="1"/>
    <col min="17" max="17" style="17405" width="25.00390625" customWidth="1"/>
    <col min="18" max="18" style="17405" width="14.00390625" customWidth="1"/>
    <col min="19" max="22" style="17406" width="8.00390625" customWidth="1"/>
    <col min="23" max="256" style="17239" width="8.00390625" customWidth="1"/>
    <col min="257" max="257" style="17239" width="9.140625" hidden="1"/>
  </cols>
  <sheetData>
    <row customHeight="1" ht="22.5" hidden="1">
      <c r="IW1" s="1496" t="s">
        <v>14</v>
      </c>
    </row>
    <row s="17376" customFormat="1" customHeight="1" ht="22.5" hidden="1">
      <c r="A2" s="1172"/>
      <c r="B2" s="1501">
        <v>1</v>
      </c>
      <c r="C2" s="1501"/>
      <c r="D2" s="2269" t="s">
        <v>684</v>
      </c>
      <c r="E2" s="2230"/>
      <c r="F2" s="2233" t="str">
        <f>IF(ROIV_INFO_NAME="","",ROIV_INFO_NAME)</f>
        <v>АО "ДГК"</v>
      </c>
      <c r="G2" s="2258" t="s">
        <v>22</v>
      </c>
      <c r="H2" s="2257"/>
      <c r="I2" s="1879"/>
      <c r="J2" s="1159"/>
      <c r="K2" s="1159"/>
      <c r="L2" s="569"/>
      <c r="M2" s="1876">
        <f>MERGEVALUE(F2)</f>
      </c>
      <c r="N2" s="852"/>
      <c r="O2" s="852"/>
      <c r="P2" s="841" t="str">
        <f t="array" ref="P2:P2">IF(ISERROR(MATCH(MID(Q2,1,250),MID(note_ter,1,250),0)),"n","y")</f>
        <v>n</v>
      </c>
      <c r="Q2" s="852"/>
      <c r="R2" s="841" t="str">
        <f>G2&amp;"("&amp;L2&amp;")"</f>
        <v>()</v>
      </c>
      <c r="S2" s="1501"/>
      <c r="T2" s="1501"/>
      <c r="U2" s="761"/>
      <c r="V2" s="1501"/>
      <c r="W2" s="1501"/>
      <c r="X2" s="1501"/>
      <c r="Y2" s="763"/>
      <c r="Z2" s="763"/>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c r="BU2" s="760"/>
      <c r="BV2" s="763"/>
      <c r="BW2" s="763"/>
      <c r="BX2" s="763"/>
      <c r="BY2" s="763"/>
      <c r="BZ2" s="763"/>
      <c r="CA2" s="763"/>
      <c r="CB2" s="763"/>
      <c r="CC2" s="763"/>
      <c r="CD2" s="763"/>
      <c r="CE2" s="763"/>
      <c r="IW2" s="764">
        <v>0</v>
      </c>
    </row>
    <row s="17316" customFormat="1" customHeight="1" ht="5.25" hidden="1">
      <c r="A3" s="837"/>
      <c r="D3" s="835"/>
      <c r="F3" s="588" t="s">
        <v>83</v>
      </c>
      <c r="G3" s="2076" t="s">
        <v>84</v>
      </c>
      <c r="H3" s="835"/>
      <c r="I3" s="835"/>
      <c r="J3" s="835"/>
      <c r="K3" s="835"/>
      <c r="L3" s="568" t="s">
        <v>85</v>
      </c>
      <c r="M3" s="588" t="s">
        <v>83</v>
      </c>
      <c r="N3" s="588"/>
      <c r="O3" s="588"/>
      <c r="P3" s="588"/>
      <c r="Q3" s="589"/>
      <c r="R3" s="588"/>
      <c r="S3" s="588"/>
      <c r="T3" s="588"/>
      <c r="U3" s="588"/>
      <c r="V3" s="58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568"/>
      <c r="IV3" s="568"/>
      <c r="IW3" s="852">
        <v>0</v>
      </c>
    </row>
    <row s="17331" customFormat="1" customHeight="1" ht="14.699999999999998">
      <c r="A4" s="1496"/>
      <c r="B4" s="1501"/>
      <c r="C4" s="1496"/>
      <c r="D4" s="1836"/>
      <c r="E4" s="850"/>
      <c r="F4" s="850"/>
      <c r="G4" s="850"/>
      <c r="H4" s="850"/>
      <c r="I4" s="850"/>
      <c r="J4" s="850"/>
      <c r="K4" s="850"/>
      <c r="L4" s="507"/>
      <c r="M4" s="588"/>
      <c r="N4" s="841"/>
      <c r="O4" s="841"/>
      <c r="P4" s="841"/>
      <c r="Q4" s="567"/>
      <c r="R4" s="841"/>
      <c r="S4" s="566"/>
      <c r="T4" s="566"/>
      <c r="U4" s="566"/>
      <c r="V4" s="566"/>
      <c r="IW4" s="848">
        <v>14</v>
      </c>
    </row>
    <row s="17331" customFormat="1" customHeight="1" ht="27.299999999999997">
      <c r="A5" s="1496"/>
      <c r="B5" s="1501"/>
      <c r="C5" s="1496"/>
      <c r="D5" s="1836"/>
      <c r="E5" s="24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41"/>
      <c r="G5" s="2441"/>
      <c r="H5" s="2441"/>
      <c r="I5" s="2441"/>
      <c r="J5" s="2441"/>
      <c r="K5" s="2441"/>
      <c r="L5" s="929"/>
      <c r="M5" s="588"/>
      <c r="N5" s="841"/>
      <c r="O5" s="841"/>
      <c r="P5" s="841"/>
      <c r="Q5" s="567"/>
      <c r="R5" s="841"/>
      <c r="S5" s="566"/>
      <c r="T5" s="566"/>
      <c r="U5" s="566"/>
      <c r="V5" s="566"/>
      <c r="IW5" s="848">
        <v>26</v>
      </c>
    </row>
    <row s="17331" customFormat="1" customHeight="1" ht="14.699999999999998">
      <c r="A6" s="1496"/>
      <c r="B6" s="1501"/>
      <c r="C6" s="1496"/>
      <c r="D6" s="1836"/>
      <c r="E6" s="850"/>
      <c r="F6" s="508"/>
      <c r="G6" s="508"/>
      <c r="H6" s="508"/>
      <c r="I6" s="508"/>
      <c r="J6" s="508"/>
      <c r="K6" s="508"/>
      <c r="L6" s="509"/>
      <c r="M6" s="841"/>
      <c r="N6" s="841"/>
      <c r="O6" s="841"/>
      <c r="P6" s="841"/>
      <c r="Q6" s="567"/>
      <c r="R6" s="841"/>
      <c r="S6" s="566"/>
      <c r="T6" s="566"/>
      <c r="U6" s="566"/>
      <c r="V6" s="566"/>
      <c r="IW6" s="848">
        <v>14</v>
      </c>
    </row>
    <row s="17331" customFormat="1" customHeight="1" ht="14.699999999999998">
      <c r="A7" s="1496"/>
      <c r="B7" s="1501"/>
      <c r="C7" s="1496"/>
      <c r="D7" s="1836"/>
      <c r="E7" s="2442" t="s">
        <v>295</v>
      </c>
      <c r="F7" s="2443"/>
      <c r="G7" s="2443"/>
      <c r="H7" s="2443"/>
      <c r="I7" s="2443"/>
      <c r="J7" s="2443"/>
      <c r="K7" s="2443"/>
      <c r="L7" s="2815" t="s">
        <v>296</v>
      </c>
      <c r="M7" s="841"/>
      <c r="N7" s="841"/>
      <c r="O7" s="841"/>
      <c r="P7" s="841"/>
      <c r="Q7" s="567"/>
      <c r="R7" s="841"/>
      <c r="S7" s="566"/>
      <c r="T7" s="566"/>
      <c r="U7" s="566"/>
      <c r="V7" s="566"/>
      <c r="IW7" s="848">
        <v>14</v>
      </c>
    </row>
    <row s="17331" customFormat="1" customHeight="1" ht="67.2">
      <c r="A8" s="1496"/>
      <c r="B8" s="1501"/>
      <c r="C8" s="1496"/>
      <c r="D8" s="1836"/>
      <c r="E8" s="2819" t="s">
        <v>88</v>
      </c>
      <c r="F8" s="281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2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22"/>
      <c r="I8" s="2823"/>
      <c r="J8" s="281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17"/>
      <c r="M8" s="841"/>
      <c r="N8" s="841"/>
      <c r="O8" s="841"/>
      <c r="P8" s="841"/>
      <c r="Q8" s="567"/>
      <c r="R8" s="841"/>
      <c r="S8" s="566"/>
      <c r="T8" s="566"/>
      <c r="U8" s="566"/>
      <c r="V8" s="566"/>
      <c r="IW8" s="848">
        <v>64</v>
      </c>
    </row>
    <row s="17331" customFormat="1" customHeight="1" ht="29.25">
      <c r="A9" s="1496"/>
      <c r="B9" s="1501"/>
      <c r="C9" s="1496"/>
      <c r="D9" s="1836"/>
      <c r="E9" s="2820"/>
      <c r="F9" s="2820"/>
      <c r="G9" s="1878" t="s">
        <v>2003</v>
      </c>
      <c r="H9" s="1878" t="s">
        <v>2004</v>
      </c>
      <c r="I9" s="1878" t="s">
        <v>2005</v>
      </c>
      <c r="J9" s="2820"/>
      <c r="K9" s="2820"/>
      <c r="L9" s="2816"/>
      <c r="M9" s="841"/>
      <c r="N9" s="841"/>
      <c r="O9" s="841"/>
      <c r="P9" s="841"/>
      <c r="Q9" s="567"/>
      <c r="R9" s="841"/>
      <c r="S9" s="566"/>
      <c r="T9" s="566"/>
      <c r="U9" s="566"/>
      <c r="V9" s="566"/>
      <c r="IW9" s="848">
        <v>28</v>
      </c>
    </row>
    <row s="17376" customFormat="1" customHeight="1" ht="23.25">
      <c r="A10" s="2440"/>
      <c r="B10" s="1501">
        <v>1</v>
      </c>
      <c r="C10" s="1501"/>
      <c r="D10" s="1141"/>
      <c r="E10" s="1139">
        <v>1</v>
      </c>
      <c r="F10" s="1880" t="str">
        <f>IF(ROIV_INFO_NAME="","",ROIV_INFO_NAME)</f>
        <v>АО "ДГК"</v>
      </c>
      <c r="G10" s="2073" t="s">
        <v>22</v>
      </c>
      <c r="H10" s="2257"/>
      <c r="I10" s="1875"/>
      <c r="J10" s="1159"/>
      <c r="K10" s="1159"/>
      <c r="L10" s="27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76">
        <f>MERGEVALUE(F10)</f>
      </c>
      <c r="N10" s="852"/>
      <c r="O10" s="852"/>
      <c r="P10" s="841" t="str">
        <f t="array" ref="P10:P10">IF(ISERROR(MATCH(MID(Q10,1,250),MID(note_ter,1,250),0)),"n","y")</f>
        <v>n</v>
      </c>
      <c r="Q10" s="852"/>
      <c r="R10" s="8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01"/>
      <c r="T10" s="1501"/>
      <c r="U10" s="761"/>
      <c r="V10" s="1501"/>
      <c r="W10" s="1501"/>
      <c r="X10" s="1501"/>
      <c r="Y10" s="763"/>
      <c r="Z10" s="763"/>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3"/>
      <c r="BW10" s="763"/>
      <c r="BX10" s="763"/>
      <c r="BY10" s="763"/>
      <c r="BZ10" s="763"/>
      <c r="CA10" s="763"/>
      <c r="CB10" s="763"/>
      <c r="CC10" s="763"/>
      <c r="CD10" s="763"/>
      <c r="CE10" s="763"/>
      <c r="IW10" s="764">
        <v>22</v>
      </c>
    </row>
    <row s="17376" customFormat="1" customHeight="1" ht="15.75">
      <c r="A11" s="2440"/>
      <c r="B11" s="1501"/>
      <c r="C11" s="753"/>
      <c r="D11" s="1142"/>
      <c r="E11" s="762"/>
      <c r="F11" s="757" t="s">
        <v>2006</v>
      </c>
      <c r="G11" s="528"/>
      <c r="H11" s="528"/>
      <c r="I11" s="528"/>
      <c r="J11" s="528"/>
      <c r="K11" s="765"/>
      <c r="L11" s="2818"/>
      <c r="M11" s="1877"/>
      <c r="N11" s="852"/>
      <c r="O11" s="852"/>
      <c r="P11" s="852"/>
      <c r="Q11" s="841"/>
      <c r="R11" s="852"/>
      <c r="S11" s="1501"/>
      <c r="T11" s="1501"/>
      <c r="U11" s="761"/>
      <c r="V11" s="1501"/>
      <c r="W11" s="1501"/>
      <c r="X11" s="1501"/>
      <c r="Y11" s="763"/>
      <c r="Z11" s="763"/>
      <c r="AA11" s="760"/>
      <c r="AB11" s="760"/>
      <c r="AC11" s="760"/>
      <c r="AD11" s="760"/>
      <c r="AE11" s="760"/>
      <c r="AF11" s="760"/>
      <c r="AG11" s="760"/>
      <c r="AH11" s="760"/>
      <c r="AI11" s="760"/>
      <c r="AJ11" s="760"/>
      <c r="AK11" s="760"/>
      <c r="AL11" s="760"/>
      <c r="AM11" s="760"/>
      <c r="AN11" s="760"/>
      <c r="AO11" s="760"/>
      <c r="AP11" s="760"/>
      <c r="AQ11" s="760"/>
      <c r="AR11" s="760"/>
      <c r="AS11" s="760"/>
      <c r="AT11" s="760"/>
      <c r="AU11" s="760"/>
      <c r="AV11" s="760"/>
      <c r="AW11" s="760"/>
      <c r="AX11" s="760"/>
      <c r="AY11" s="760"/>
      <c r="AZ11" s="760"/>
      <c r="BA11" s="760"/>
      <c r="BB11" s="760"/>
      <c r="BC11" s="760"/>
      <c r="BD11" s="760"/>
      <c r="BE11" s="760"/>
      <c r="BF11" s="760"/>
      <c r="BG11" s="760"/>
      <c r="BH11" s="760"/>
      <c r="BI11" s="760"/>
      <c r="BJ11" s="760"/>
      <c r="BK11" s="760"/>
      <c r="BL11" s="760"/>
      <c r="BM11" s="760"/>
      <c r="BN11" s="760"/>
      <c r="BO11" s="760"/>
      <c r="BP11" s="760"/>
      <c r="BQ11" s="760"/>
      <c r="BR11" s="760"/>
      <c r="BS11" s="760"/>
      <c r="BT11" s="760"/>
      <c r="BU11" s="760"/>
      <c r="BV11" s="763"/>
      <c r="BW11" s="763"/>
      <c r="BX11" s="763"/>
      <c r="BY11" s="763"/>
      <c r="BZ11" s="763"/>
      <c r="CA11" s="763"/>
      <c r="CB11" s="763"/>
      <c r="CC11" s="763"/>
      <c r="CD11" s="763"/>
      <c r="CE11" s="763"/>
      <c r="IW11" s="764">
        <v>15</v>
      </c>
    </row>
    <row s="17331" customFormat="1" customHeight="1" ht="22.049999999999997">
      <c r="A12" s="1496"/>
      <c r="B12" s="1501"/>
      <c r="C12" s="1496"/>
      <c r="D12" s="792"/>
      <c r="E12" s="521"/>
      <c r="F12" s="521"/>
      <c r="G12" s="521"/>
      <c r="H12" s="521"/>
      <c r="I12" s="521"/>
      <c r="J12" s="521"/>
      <c r="K12" s="521"/>
      <c r="L12" s="521"/>
      <c r="M12" s="841"/>
      <c r="N12" s="841"/>
      <c r="O12" s="841"/>
      <c r="P12" s="841"/>
      <c r="Q12" s="567"/>
      <c r="R12" s="841"/>
      <c r="S12" s="566"/>
      <c r="T12" s="566"/>
      <c r="U12" s="566"/>
      <c r="V12" s="566"/>
      <c r="IW12" s="848">
        <v>21</v>
      </c>
    </row>
    <row s="17331" customFormat="1" customHeight="1" ht="14.699999999999998">
      <c r="A13" s="1496"/>
      <c r="B13" s="1501"/>
      <c r="C13" s="1496"/>
      <c r="D13" s="792"/>
      <c r="E13" s="1496"/>
      <c r="F13" s="1496"/>
      <c r="G13" s="1496"/>
      <c r="H13" s="1496"/>
      <c r="I13" s="1496"/>
      <c r="J13" s="1496"/>
      <c r="K13" s="1496"/>
      <c r="L13" s="1496"/>
      <c r="M13" s="841"/>
      <c r="N13" s="841"/>
      <c r="O13" s="841"/>
      <c r="P13" s="841"/>
      <c r="Q13" s="567"/>
      <c r="R13" s="841"/>
      <c r="S13" s="566"/>
      <c r="T13" s="566"/>
      <c r="U13" s="566"/>
      <c r="V13" s="566"/>
      <c r="IW13" s="848">
        <v>14</v>
      </c>
    </row>
    <row s="17331" customFormat="1" customHeight="1" ht="1.05">
      <c r="A14" s="1496"/>
      <c r="B14" s="1501"/>
      <c r="C14" s="1496"/>
      <c r="D14" s="792"/>
      <c r="E14" s="1496"/>
      <c r="F14" s="1496"/>
      <c r="G14" s="1496"/>
      <c r="H14" s="1496"/>
      <c r="I14" s="1496"/>
      <c r="J14" s="1496"/>
      <c r="K14" s="1496"/>
      <c r="L14" s="1496"/>
      <c r="M14" s="841"/>
      <c r="N14" s="841"/>
      <c r="O14" s="841"/>
      <c r="P14" s="841"/>
      <c r="Q14" s="567"/>
      <c r="R14" s="841"/>
      <c r="S14" s="566"/>
      <c r="T14" s="566"/>
      <c r="U14" s="566"/>
      <c r="V14" s="566"/>
      <c r="IW14" s="848">
        <v>1</v>
      </c>
    </row>
    <row customHeight="1" ht="22.5" hidden="1">
      <c r="A15" s="1496" t="s">
        <v>82</v>
      </c>
      <c r="B15" s="1501">
        <v>0</v>
      </c>
      <c r="C15" s="1496">
        <v>0</v>
      </c>
      <c r="D15" s="792">
        <v>3</v>
      </c>
      <c r="E15" s="1496">
        <v>6</v>
      </c>
      <c r="F15" s="1496">
        <v>27</v>
      </c>
      <c r="G15" s="1496">
        <v>16</v>
      </c>
      <c r="H15" s="1496">
        <v>12</v>
      </c>
      <c r="I15" s="1496">
        <v>32</v>
      </c>
      <c r="J15" s="1496">
        <v>41</v>
      </c>
      <c r="K15" s="1496">
        <v>41</v>
      </c>
      <c r="L15" s="1496">
        <v>89</v>
      </c>
      <c r="M15" s="841">
        <v>3</v>
      </c>
      <c r="N15" s="841">
        <v>8</v>
      </c>
      <c r="O15" s="841">
        <v>8</v>
      </c>
      <c r="P15" s="841">
        <v>8</v>
      </c>
      <c r="Q15" s="567">
        <v>25</v>
      </c>
      <c r="R15" s="841">
        <v>14</v>
      </c>
      <c r="S15" s="566">
        <v>8</v>
      </c>
      <c r="T15" s="566">
        <v>8</v>
      </c>
      <c r="U15" s="566">
        <v>8</v>
      </c>
      <c r="V15" s="566">
        <v>8</v>
      </c>
      <c r="W15" s="1496">
        <v>8</v>
      </c>
      <c r="X15" s="1496">
        <v>8</v>
      </c>
      <c r="Y15" s="1496">
        <v>8</v>
      </c>
      <c r="Z15" s="1496">
        <v>8</v>
      </c>
      <c r="AA15" s="1496">
        <v>8</v>
      </c>
      <c r="AB15" s="1496">
        <v>8</v>
      </c>
      <c r="AC15" s="1496">
        <v>8</v>
      </c>
      <c r="AD15" s="1496">
        <v>8</v>
      </c>
      <c r="AE15" s="1496">
        <v>8</v>
      </c>
      <c r="AF15" s="1496">
        <v>8</v>
      </c>
      <c r="AG15" s="1496">
        <v>8</v>
      </c>
      <c r="AH15" s="1496">
        <v>8</v>
      </c>
      <c r="AI15" s="1496">
        <v>8</v>
      </c>
      <c r="AJ15" s="1496">
        <v>8</v>
      </c>
      <c r="AK15" s="1496">
        <v>8</v>
      </c>
      <c r="AL15" s="1496">
        <v>8</v>
      </c>
      <c r="AM15" s="1496">
        <v>8</v>
      </c>
      <c r="AN15" s="1496">
        <v>8</v>
      </c>
      <c r="AO15" s="1496">
        <v>8</v>
      </c>
      <c r="AP15" s="1496">
        <v>8</v>
      </c>
      <c r="AQ15" s="1496">
        <v>8</v>
      </c>
      <c r="AR15" s="1496">
        <v>8</v>
      </c>
      <c r="AS15" s="1496">
        <v>8</v>
      </c>
      <c r="AT15" s="1496">
        <v>8</v>
      </c>
      <c r="AU15" s="1496">
        <v>8</v>
      </c>
      <c r="AV15" s="1496">
        <v>8</v>
      </c>
      <c r="AW15" s="1496">
        <v>8</v>
      </c>
      <c r="AX15" s="1496">
        <v>8</v>
      </c>
      <c r="AY15" s="1496">
        <v>8</v>
      </c>
      <c r="AZ15" s="1496">
        <v>8</v>
      </c>
      <c r="BA15" s="1496">
        <v>8</v>
      </c>
      <c r="BB15" s="1496">
        <v>8</v>
      </c>
      <c r="BC15" s="1496">
        <v>8</v>
      </c>
      <c r="BD15" s="1496">
        <v>8</v>
      </c>
      <c r="BE15" s="1496">
        <v>8</v>
      </c>
      <c r="BF15" s="1496">
        <v>8</v>
      </c>
      <c r="BG15" s="1496">
        <v>8</v>
      </c>
      <c r="BH15" s="1496">
        <v>8</v>
      </c>
      <c r="BI15" s="1496">
        <v>8</v>
      </c>
      <c r="BJ15" s="1496">
        <v>8</v>
      </c>
      <c r="BK15" s="1496">
        <v>8</v>
      </c>
      <c r="BL15" s="1496">
        <v>8</v>
      </c>
      <c r="BM15" s="1496">
        <v>8</v>
      </c>
      <c r="BN15" s="1496">
        <v>8</v>
      </c>
      <c r="BO15" s="1496">
        <v>8</v>
      </c>
      <c r="BP15" s="1496">
        <v>8</v>
      </c>
      <c r="BQ15" s="1496">
        <v>8</v>
      </c>
      <c r="BR15" s="1496">
        <v>8</v>
      </c>
      <c r="BS15" s="1496">
        <v>8</v>
      </c>
      <c r="BT15" s="1496">
        <v>8</v>
      </c>
      <c r="BU15" s="1496">
        <v>8</v>
      </c>
      <c r="BV15" s="1496">
        <v>8</v>
      </c>
      <c r="BW15" s="1496">
        <v>8</v>
      </c>
      <c r="BX15" s="1496">
        <v>8</v>
      </c>
      <c r="BY15" s="1496">
        <v>8</v>
      </c>
      <c r="BZ15" s="1496">
        <v>8</v>
      </c>
      <c r="CA15" s="1496">
        <v>8</v>
      </c>
      <c r="CB15" s="1496">
        <v>8</v>
      </c>
      <c r="CC15" s="1496">
        <v>8</v>
      </c>
      <c r="CD15" s="1496">
        <v>8</v>
      </c>
      <c r="CE15" s="1496">
        <v>8</v>
      </c>
      <c r="CF15" s="1496">
        <v>8</v>
      </c>
      <c r="CG15" s="1496">
        <v>8</v>
      </c>
      <c r="CH15" s="1496">
        <v>8</v>
      </c>
      <c r="CI15" s="1496">
        <v>8</v>
      </c>
      <c r="CJ15" s="1496">
        <v>8</v>
      </c>
      <c r="CK15" s="1496">
        <v>8</v>
      </c>
      <c r="CL15" s="1496">
        <v>8</v>
      </c>
      <c r="CM15" s="1496">
        <v>8</v>
      </c>
      <c r="CN15" s="1496">
        <v>8</v>
      </c>
      <c r="CO15" s="1496">
        <v>8</v>
      </c>
      <c r="CP15" s="1496">
        <v>8</v>
      </c>
      <c r="CQ15" s="1496">
        <v>8</v>
      </c>
      <c r="CR15" s="1496">
        <v>8</v>
      </c>
      <c r="CS15" s="1496">
        <v>8</v>
      </c>
      <c r="CT15" s="1496">
        <v>8</v>
      </c>
      <c r="CU15" s="1496">
        <v>8</v>
      </c>
      <c r="CV15" s="1496">
        <v>8</v>
      </c>
      <c r="CW15" s="1496">
        <v>8</v>
      </c>
      <c r="CX15" s="1496">
        <v>8</v>
      </c>
      <c r="CY15" s="1496">
        <v>8</v>
      </c>
      <c r="CZ15" s="1496">
        <v>8</v>
      </c>
      <c r="DA15" s="1496">
        <v>8</v>
      </c>
      <c r="DB15" s="1496">
        <v>8</v>
      </c>
      <c r="DC15" s="1496">
        <v>8</v>
      </c>
      <c r="DD15" s="1496">
        <v>8</v>
      </c>
      <c r="DE15" s="1496">
        <v>8</v>
      </c>
      <c r="DF15" s="1496">
        <v>8</v>
      </c>
      <c r="DG15" s="1496">
        <v>8</v>
      </c>
      <c r="DH15" s="1496">
        <v>8</v>
      </c>
      <c r="DI15" s="1496">
        <v>8</v>
      </c>
      <c r="DJ15" s="1496">
        <v>8</v>
      </c>
      <c r="DK15" s="1496">
        <v>8</v>
      </c>
      <c r="DL15" s="1496">
        <v>8</v>
      </c>
      <c r="DM15" s="1496">
        <v>8</v>
      </c>
      <c r="DN15" s="1496">
        <v>8</v>
      </c>
      <c r="DO15" s="1496">
        <v>8</v>
      </c>
      <c r="DP15" s="1496">
        <v>8</v>
      </c>
      <c r="DQ15" s="1496">
        <v>8</v>
      </c>
      <c r="DR15" s="1496">
        <v>8</v>
      </c>
      <c r="DS15" s="1496">
        <v>8</v>
      </c>
      <c r="DT15" s="1496">
        <v>8</v>
      </c>
      <c r="DU15" s="1496">
        <v>8</v>
      </c>
      <c r="DV15" s="1496">
        <v>8</v>
      </c>
      <c r="DW15" s="1496">
        <v>8</v>
      </c>
      <c r="DX15" s="1496">
        <v>8</v>
      </c>
      <c r="DY15" s="1496">
        <v>8</v>
      </c>
      <c r="DZ15" s="1496">
        <v>8</v>
      </c>
      <c r="EA15" s="1496">
        <v>8</v>
      </c>
      <c r="EB15" s="1496">
        <v>8</v>
      </c>
      <c r="EC15" s="1496">
        <v>8</v>
      </c>
      <c r="ED15" s="1496">
        <v>8</v>
      </c>
      <c r="EE15" s="1496">
        <v>8</v>
      </c>
      <c r="EF15" s="1496">
        <v>8</v>
      </c>
      <c r="EG15" s="1496">
        <v>8</v>
      </c>
      <c r="EH15" s="1496">
        <v>8</v>
      </c>
      <c r="EI15" s="1496">
        <v>8</v>
      </c>
      <c r="EJ15" s="1496">
        <v>8</v>
      </c>
      <c r="EK15" s="1496">
        <v>8</v>
      </c>
      <c r="EL15" s="1496">
        <v>8</v>
      </c>
      <c r="EM15" s="1496">
        <v>8</v>
      </c>
      <c r="EN15" s="1496">
        <v>8</v>
      </c>
      <c r="EO15" s="1496">
        <v>8</v>
      </c>
      <c r="EP15" s="1496">
        <v>8</v>
      </c>
      <c r="EQ15" s="1496">
        <v>8</v>
      </c>
      <c r="ER15" s="1496">
        <v>8</v>
      </c>
      <c r="ES15" s="1496">
        <v>8</v>
      </c>
      <c r="ET15" s="1496">
        <v>8</v>
      </c>
      <c r="EU15" s="1496">
        <v>8</v>
      </c>
      <c r="EV15" s="1496">
        <v>8</v>
      </c>
      <c r="EW15" s="1496">
        <v>8</v>
      </c>
      <c r="EX15" s="1496">
        <v>8</v>
      </c>
      <c r="EY15" s="1496">
        <v>8</v>
      </c>
      <c r="EZ15" s="1496">
        <v>8</v>
      </c>
      <c r="FA15" s="1496">
        <v>8</v>
      </c>
      <c r="FB15" s="1496">
        <v>8</v>
      </c>
      <c r="FC15" s="1496">
        <v>8</v>
      </c>
      <c r="FD15" s="1496">
        <v>8</v>
      </c>
      <c r="FE15" s="1496">
        <v>8</v>
      </c>
      <c r="FF15" s="1496">
        <v>8</v>
      </c>
      <c r="FG15" s="1496">
        <v>8</v>
      </c>
      <c r="FH15" s="1496">
        <v>8</v>
      </c>
      <c r="FI15" s="1496">
        <v>8</v>
      </c>
      <c r="FJ15" s="1496">
        <v>8</v>
      </c>
      <c r="FK15" s="1496">
        <v>8</v>
      </c>
      <c r="FL15" s="1496">
        <v>8</v>
      </c>
      <c r="FM15" s="1496">
        <v>8</v>
      </c>
      <c r="FN15" s="1496">
        <v>8</v>
      </c>
      <c r="FO15" s="1496">
        <v>8</v>
      </c>
      <c r="FP15" s="1496">
        <v>8</v>
      </c>
      <c r="FQ15" s="1496">
        <v>8</v>
      </c>
      <c r="FR15" s="1496">
        <v>8</v>
      </c>
      <c r="FS15" s="1496">
        <v>8</v>
      </c>
      <c r="FT15" s="1496">
        <v>8</v>
      </c>
      <c r="FU15" s="1496">
        <v>8</v>
      </c>
      <c r="FV15" s="1496">
        <v>8</v>
      </c>
      <c r="FW15" s="1496">
        <v>8</v>
      </c>
      <c r="FX15" s="1496">
        <v>8</v>
      </c>
      <c r="FY15" s="1496">
        <v>8</v>
      </c>
      <c r="FZ15" s="1496">
        <v>8</v>
      </c>
      <c r="GA15" s="1496">
        <v>8</v>
      </c>
      <c r="GB15" s="1496">
        <v>8</v>
      </c>
      <c r="GC15" s="1496">
        <v>8</v>
      </c>
      <c r="GD15" s="1496">
        <v>8</v>
      </c>
      <c r="GE15" s="1496">
        <v>8</v>
      </c>
      <c r="GF15" s="1496">
        <v>8</v>
      </c>
      <c r="GG15" s="1496">
        <v>8</v>
      </c>
      <c r="GH15" s="1496">
        <v>8</v>
      </c>
      <c r="GI15" s="1496">
        <v>8</v>
      </c>
      <c r="GJ15" s="1496">
        <v>8</v>
      </c>
      <c r="GK15" s="1496">
        <v>8</v>
      </c>
      <c r="GL15" s="1496">
        <v>8</v>
      </c>
      <c r="GM15" s="1496">
        <v>8</v>
      </c>
      <c r="GN15" s="1496">
        <v>8</v>
      </c>
      <c r="GO15" s="1496">
        <v>8</v>
      </c>
      <c r="GP15" s="1496">
        <v>8</v>
      </c>
      <c r="GQ15" s="1496">
        <v>8</v>
      </c>
      <c r="GR15" s="1496">
        <v>8</v>
      </c>
      <c r="GS15" s="1496">
        <v>8</v>
      </c>
      <c r="GT15" s="1496">
        <v>8</v>
      </c>
      <c r="GU15" s="1496">
        <v>8</v>
      </c>
      <c r="GV15" s="1496">
        <v>8</v>
      </c>
      <c r="GW15" s="1496">
        <v>8</v>
      </c>
      <c r="GX15" s="1496">
        <v>8</v>
      </c>
      <c r="GY15" s="1496">
        <v>8</v>
      </c>
      <c r="GZ15" s="1496">
        <v>8</v>
      </c>
      <c r="HA15" s="1496">
        <v>8</v>
      </c>
      <c r="HB15" s="1496">
        <v>8</v>
      </c>
      <c r="HC15" s="1496">
        <v>8</v>
      </c>
      <c r="HD15" s="1496">
        <v>8</v>
      </c>
      <c r="HE15" s="1496">
        <v>8</v>
      </c>
      <c r="HF15" s="1496">
        <v>8</v>
      </c>
      <c r="HG15" s="1496">
        <v>8</v>
      </c>
      <c r="HH15" s="1496">
        <v>8</v>
      </c>
      <c r="HI15" s="1496">
        <v>8</v>
      </c>
      <c r="HJ15" s="1496">
        <v>8</v>
      </c>
      <c r="HK15" s="1496">
        <v>8</v>
      </c>
      <c r="HL15" s="1496">
        <v>8</v>
      </c>
      <c r="HM15" s="1496">
        <v>8</v>
      </c>
      <c r="HN15" s="1496">
        <v>8</v>
      </c>
      <c r="HO15" s="1496">
        <v>8</v>
      </c>
      <c r="HP15" s="1496">
        <v>8</v>
      </c>
      <c r="HQ15" s="1496">
        <v>8</v>
      </c>
      <c r="HR15" s="1496">
        <v>8</v>
      </c>
      <c r="HS15" s="1496">
        <v>8</v>
      </c>
      <c r="HT15" s="1496">
        <v>8</v>
      </c>
      <c r="HU15" s="1496">
        <v>8</v>
      </c>
      <c r="HV15" s="1496">
        <v>8</v>
      </c>
      <c r="HW15" s="1496">
        <v>8</v>
      </c>
      <c r="HX15" s="1496">
        <v>8</v>
      </c>
      <c r="HY15" s="1496">
        <v>8</v>
      </c>
      <c r="HZ15" s="1496">
        <v>8</v>
      </c>
      <c r="IA15" s="1496">
        <v>8</v>
      </c>
      <c r="IB15" s="1496">
        <v>8</v>
      </c>
      <c r="IC15" s="1496">
        <v>8</v>
      </c>
      <c r="ID15" s="1496">
        <v>8</v>
      </c>
      <c r="IE15" s="1496">
        <v>8</v>
      </c>
      <c r="IF15" s="1496">
        <v>8</v>
      </c>
      <c r="IG15" s="1496">
        <v>8</v>
      </c>
      <c r="IH15" s="1496">
        <v>8</v>
      </c>
      <c r="II15" s="1496">
        <v>8</v>
      </c>
      <c r="IJ15" s="1496">
        <v>8</v>
      </c>
      <c r="IK15" s="1496">
        <v>8</v>
      </c>
      <c r="IL15" s="1496">
        <v>8</v>
      </c>
      <c r="IM15" s="1496">
        <v>8</v>
      </c>
      <c r="IN15" s="1496">
        <v>8</v>
      </c>
      <c r="IO15" s="1496">
        <v>8</v>
      </c>
      <c r="IP15" s="1496">
        <v>8</v>
      </c>
      <c r="IQ15" s="1496">
        <v>8</v>
      </c>
      <c r="IR15" s="1496">
        <v>8</v>
      </c>
      <c r="IS15" s="1496">
        <v>8</v>
      </c>
      <c r="IT15" s="1496">
        <v>8</v>
      </c>
      <c r="IU15" s="1496">
        <v>8</v>
      </c>
      <c r="IV15" s="1496">
        <v>8</v>
      </c>
      <c r="IW15" s="1496">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2B8AA9-9941-25CB-D4D2-7CD6D16B29D1}"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7239" width="9.140625" hidden="1"/>
    <col min="2" max="2" style="17315" width="9.140625" hidden="1"/>
    <col min="3" max="3" style="17239" width="3.7109375" hidden="1" customWidth="1"/>
    <col min="4" max="4" style="17404" width="3.00390625" customWidth="1"/>
    <col min="5" max="5" style="17239" width="6.00390625" customWidth="1"/>
    <col min="6" max="6" style="17239" width="27.00390625" customWidth="1"/>
    <col min="7" max="7" style="17239" width="16.00390625" customWidth="1"/>
    <col min="8" max="8" style="17239" width="12.00390625" customWidth="1"/>
    <col min="9" max="9" style="17239" width="32.00390625" customWidth="1"/>
    <col min="10" max="11" style="17239" width="41.00390625" customWidth="1"/>
    <col min="12" max="12" style="17239" width="89.00390625" customWidth="1"/>
    <col min="13" max="13" style="17405" width="3.00390625" customWidth="1"/>
    <col min="14" max="16" style="17405" width="8.00390625" customWidth="1"/>
    <col min="17" max="17" style="17405" width="25.00390625" customWidth="1"/>
    <col min="18" max="18" style="17405" width="14.00390625" customWidth="1"/>
    <col min="19" max="22" style="17406" width="8.00390625" customWidth="1"/>
    <col min="23" max="256" style="17239" width="8.00390625" customWidth="1"/>
    <col min="257" max="257" style="17239" width="9.140625" hidden="1"/>
  </cols>
  <sheetData>
    <row customHeight="1" ht="22.5" hidden="1">
      <c r="IW1" s="1972" t="s">
        <v>14</v>
      </c>
    </row>
    <row s="17376" customFormat="1" customHeight="1" ht="22.5" hidden="1">
      <c r="A2" s="1172"/>
      <c r="B2" s="1707">
        <v>1</v>
      </c>
      <c r="C2" s="1707"/>
      <c r="D2" s="2269" t="s">
        <v>684</v>
      </c>
      <c r="E2" s="2245"/>
      <c r="F2" s="2247" t="str">
        <f>IF(ROIV_INFO_NAME="","",ROIV_INFO_NAME)</f>
        <v>АО "ДГК"</v>
      </c>
      <c r="G2" s="2073" t="s">
        <v>22</v>
      </c>
      <c r="H2" s="2257"/>
      <c r="I2" s="1879"/>
      <c r="J2" s="1159"/>
      <c r="K2" s="1159"/>
      <c r="L2" s="569"/>
      <c r="M2" s="1876">
        <f>MERGEVALUE(F2)</f>
      </c>
      <c r="N2" s="1977"/>
      <c r="O2" s="1977"/>
      <c r="P2" s="1965" t="str">
        <f t="array" ref="P2:P2">IF(ISERROR(MATCH(MID(Q2,1,250),MID(note_ter,1,250),0)),"n","y")</f>
        <v>n</v>
      </c>
      <c r="Q2" s="1977"/>
      <c r="R2" s="1965" t="str">
        <f>G2&amp;"("&amp;L2&amp;")"</f>
        <v>()</v>
      </c>
      <c r="S2" s="1707"/>
      <c r="T2" s="1707"/>
      <c r="U2" s="761"/>
      <c r="V2" s="1707"/>
      <c r="W2" s="1707"/>
      <c r="X2" s="1707"/>
      <c r="Y2" s="1174"/>
      <c r="Z2" s="1174"/>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1174"/>
      <c r="BW2" s="1174"/>
      <c r="BX2" s="1174"/>
      <c r="BY2" s="1174"/>
      <c r="BZ2" s="1174"/>
      <c r="CA2" s="1174"/>
      <c r="CB2" s="1174"/>
      <c r="CC2" s="1174"/>
      <c r="CD2" s="1174"/>
      <c r="CE2" s="1174"/>
      <c r="IW2" s="965">
        <v>0</v>
      </c>
    </row>
    <row s="17316" customFormat="1" customHeight="1" ht="5.25" hidden="1">
      <c r="A3" s="1982"/>
      <c r="D3" s="2234"/>
      <c r="F3" s="589" t="s">
        <v>83</v>
      </c>
      <c r="G3" s="2076" t="s">
        <v>84</v>
      </c>
      <c r="H3" s="2234"/>
      <c r="I3" s="2234"/>
      <c r="J3" s="2234"/>
      <c r="K3" s="2234"/>
      <c r="L3" s="568" t="s">
        <v>85</v>
      </c>
      <c r="M3" s="589" t="s">
        <v>83</v>
      </c>
      <c r="N3" s="589"/>
      <c r="O3" s="589"/>
      <c r="P3" s="589"/>
      <c r="Q3" s="589"/>
      <c r="R3" s="589"/>
      <c r="S3" s="589"/>
      <c r="T3" s="589"/>
      <c r="U3" s="589"/>
      <c r="V3" s="589"/>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568"/>
      <c r="IV3" s="568"/>
      <c r="IW3" s="1977">
        <v>0</v>
      </c>
    </row>
    <row s="17331" customFormat="1" customHeight="1" ht="14.699999999999998">
      <c r="A4" s="1972"/>
      <c r="B4" s="1707"/>
      <c r="C4" s="1972"/>
      <c r="D4" s="1856"/>
      <c r="E4" s="1976"/>
      <c r="F4" s="1976"/>
      <c r="G4" s="1976"/>
      <c r="H4" s="1976"/>
      <c r="I4" s="1976"/>
      <c r="J4" s="1976"/>
      <c r="K4" s="1976"/>
      <c r="L4" s="2236"/>
      <c r="M4" s="589"/>
      <c r="N4" s="1965"/>
      <c r="O4" s="1965"/>
      <c r="P4" s="1965"/>
      <c r="Q4" s="1965"/>
      <c r="R4" s="1965"/>
      <c r="S4" s="566"/>
      <c r="T4" s="566"/>
      <c r="U4" s="566"/>
      <c r="V4" s="566"/>
      <c r="IW4" s="1950">
        <v>14</v>
      </c>
    </row>
    <row s="17331" customFormat="1" customHeight="1" ht="27.299999999999997">
      <c r="A5" s="1972"/>
      <c r="B5" s="1707"/>
      <c r="C5" s="1972"/>
      <c r="D5" s="1856"/>
      <c r="E5" s="24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41"/>
      <c r="G5" s="2441"/>
      <c r="H5" s="2441"/>
      <c r="I5" s="2441"/>
      <c r="J5" s="2441"/>
      <c r="K5" s="2441"/>
      <c r="L5" s="1976"/>
      <c r="M5" s="589"/>
      <c r="N5" s="1965"/>
      <c r="O5" s="1965"/>
      <c r="P5" s="1965"/>
      <c r="Q5" s="1965"/>
      <c r="R5" s="1965"/>
      <c r="S5" s="566"/>
      <c r="T5" s="566"/>
      <c r="U5" s="566"/>
      <c r="V5" s="566"/>
      <c r="IW5" s="1950">
        <v>26</v>
      </c>
    </row>
    <row s="17331" customFormat="1" customHeight="1" ht="14.699999999999998">
      <c r="A6" s="1972"/>
      <c r="B6" s="1707"/>
      <c r="C6" s="1972"/>
      <c r="D6" s="1856"/>
      <c r="E6" s="1976"/>
      <c r="F6" s="957"/>
      <c r="G6" s="957"/>
      <c r="H6" s="957"/>
      <c r="I6" s="957"/>
      <c r="J6" s="957"/>
      <c r="K6" s="957"/>
      <c r="L6" s="1593"/>
      <c r="M6" s="1965"/>
      <c r="N6" s="1965"/>
      <c r="O6" s="1965"/>
      <c r="P6" s="1965"/>
      <c r="Q6" s="1965"/>
      <c r="R6" s="1965"/>
      <c r="S6" s="566"/>
      <c r="T6" s="566"/>
      <c r="U6" s="566"/>
      <c r="V6" s="566"/>
      <c r="IW6" s="1950">
        <v>14</v>
      </c>
    </row>
    <row s="17331" customFormat="1" customHeight="1" ht="14.699999999999998">
      <c r="A7" s="1972"/>
      <c r="B7" s="1707"/>
      <c r="C7" s="1972"/>
      <c r="D7" s="1856"/>
      <c r="E7" s="2442" t="s">
        <v>295</v>
      </c>
      <c r="F7" s="2443"/>
      <c r="G7" s="2443"/>
      <c r="H7" s="2443"/>
      <c r="I7" s="2443"/>
      <c r="J7" s="2443"/>
      <c r="K7" s="2443"/>
      <c r="L7" s="2815" t="s">
        <v>296</v>
      </c>
      <c r="M7" s="1965"/>
      <c r="N7" s="1965"/>
      <c r="O7" s="1965"/>
      <c r="P7" s="1965"/>
      <c r="Q7" s="1965"/>
      <c r="R7" s="1965"/>
      <c r="S7" s="566"/>
      <c r="T7" s="566"/>
      <c r="U7" s="566"/>
      <c r="V7" s="566"/>
      <c r="IW7" s="1950">
        <v>14</v>
      </c>
    </row>
    <row s="17331" customFormat="1" customHeight="1" ht="67.2">
      <c r="A8" s="1972"/>
      <c r="B8" s="1707"/>
      <c r="C8" s="1972"/>
      <c r="D8" s="1856"/>
      <c r="E8" s="2819" t="s">
        <v>88</v>
      </c>
      <c r="F8" s="2819" t="s">
        <v>2007</v>
      </c>
      <c r="G8" s="2821" t="s">
        <v>2008</v>
      </c>
      <c r="H8" s="2822"/>
      <c r="I8" s="2823"/>
      <c r="J8" s="2819" t="s">
        <v>2009</v>
      </c>
      <c r="K8" s="28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17"/>
      <c r="M8" s="1965"/>
      <c r="N8" s="1965"/>
      <c r="O8" s="1965"/>
      <c r="P8" s="1965"/>
      <c r="Q8" s="1965"/>
      <c r="R8" s="1965"/>
      <c r="S8" s="566"/>
      <c r="T8" s="566"/>
      <c r="U8" s="566"/>
      <c r="V8" s="566"/>
      <c r="IW8" s="1950">
        <v>64</v>
      </c>
    </row>
    <row s="17331" customFormat="1" customHeight="1" ht="29.25">
      <c r="A9" s="1972"/>
      <c r="B9" s="1707"/>
      <c r="C9" s="1972"/>
      <c r="D9" s="1856"/>
      <c r="E9" s="2820"/>
      <c r="F9" s="2820"/>
      <c r="G9" s="2235" t="s">
        <v>2003</v>
      </c>
      <c r="H9" s="2235" t="s">
        <v>2004</v>
      </c>
      <c r="I9" s="2235" t="s">
        <v>2005</v>
      </c>
      <c r="J9" s="2820"/>
      <c r="K9" s="2820"/>
      <c r="L9" s="2816"/>
      <c r="M9" s="1965"/>
      <c r="N9" s="1965"/>
      <c r="O9" s="1965"/>
      <c r="P9" s="1965"/>
      <c r="Q9" s="1965"/>
      <c r="R9" s="1965"/>
      <c r="S9" s="566"/>
      <c r="T9" s="566"/>
      <c r="U9" s="566"/>
      <c r="V9" s="566"/>
      <c r="IW9" s="1950">
        <v>28</v>
      </c>
    </row>
    <row s="17376" customFormat="1" customHeight="1" ht="1.05">
      <c r="A10" s="2440"/>
      <c r="B10" s="1707">
        <v>1</v>
      </c>
      <c r="C10" s="1707"/>
      <c r="D10" s="1141"/>
      <c r="E10" s="1136">
        <v>0</v>
      </c>
      <c r="F10" s="2232" t="str">
        <f>IF(ROIV_INFO_NAME="","",ROIV_INFO_NAME)</f>
        <v>АО "ДГК"</v>
      </c>
      <c r="G10" s="2074" t="s">
        <v>22</v>
      </c>
      <c r="H10" s="2244"/>
      <c r="I10" s="2244"/>
      <c r="J10" s="860"/>
      <c r="K10" s="860"/>
      <c r="L10" s="27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76">
        <f>MERGEVALUE(F10)</f>
      </c>
      <c r="N10" s="1977"/>
      <c r="O10" s="1977"/>
      <c r="P10" s="1965" t="str">
        <f t="array" ref="P10:P10">IF(ISERROR(MATCH(MID(Q10,1,250),MID(note_ter,1,250),0)),"n","y")</f>
        <v>n</v>
      </c>
      <c r="Q10" s="1977"/>
      <c r="R10" s="196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07"/>
      <c r="T10" s="1707"/>
      <c r="U10" s="761"/>
      <c r="V10" s="1707"/>
      <c r="W10" s="1707"/>
      <c r="X10" s="1707"/>
      <c r="Y10" s="1174"/>
      <c r="Z10" s="1174"/>
      <c r="AA10" s="968"/>
      <c r="AB10" s="968"/>
      <c r="AC10" s="968"/>
      <c r="AD10" s="968"/>
      <c r="AE10" s="968"/>
      <c r="AF10" s="968"/>
      <c r="AG10" s="968"/>
      <c r="AH10" s="968"/>
      <c r="AI10" s="968"/>
      <c r="AJ10" s="968"/>
      <c r="AK10" s="968"/>
      <c r="AL10" s="968"/>
      <c r="AM10" s="968"/>
      <c r="AN10" s="968"/>
      <c r="AO10" s="968"/>
      <c r="AP10" s="968"/>
      <c r="AQ10" s="968"/>
      <c r="AR10" s="968"/>
      <c r="AS10" s="968"/>
      <c r="AT10" s="968"/>
      <c r="AU10" s="968"/>
      <c r="AV10" s="968"/>
      <c r="AW10" s="968"/>
      <c r="AX10" s="968"/>
      <c r="AY10" s="968"/>
      <c r="AZ10" s="968"/>
      <c r="BA10" s="968"/>
      <c r="BB10" s="968"/>
      <c r="BC10" s="968"/>
      <c r="BD10" s="968"/>
      <c r="BE10" s="968"/>
      <c r="BF10" s="968"/>
      <c r="BG10" s="968"/>
      <c r="BH10" s="968"/>
      <c r="BI10" s="968"/>
      <c r="BJ10" s="968"/>
      <c r="BK10" s="968"/>
      <c r="BL10" s="968"/>
      <c r="BM10" s="968"/>
      <c r="BN10" s="968"/>
      <c r="BO10" s="968"/>
      <c r="BP10" s="968"/>
      <c r="BQ10" s="968"/>
      <c r="BR10" s="968"/>
      <c r="BS10" s="968"/>
      <c r="BT10" s="968"/>
      <c r="BU10" s="968"/>
      <c r="BV10" s="1174"/>
      <c r="BW10" s="1174"/>
      <c r="BX10" s="1174"/>
      <c r="BY10" s="1174"/>
      <c r="BZ10" s="1174"/>
      <c r="CA10" s="1174"/>
      <c r="CB10" s="1174"/>
      <c r="CC10" s="1174"/>
      <c r="CD10" s="1174"/>
      <c r="CE10" s="1174"/>
      <c r="IW10" s="965">
        <v>1</v>
      </c>
    </row>
    <row s="17376" customFormat="1" customHeight="1" ht="15.75">
      <c r="A11" s="2440"/>
      <c r="B11" s="1707"/>
      <c r="C11" s="753"/>
      <c r="D11" s="1142"/>
      <c r="E11" s="762"/>
      <c r="F11" s="992" t="s">
        <v>2006</v>
      </c>
      <c r="G11" s="528"/>
      <c r="H11" s="528"/>
      <c r="I11" s="528"/>
      <c r="J11" s="528"/>
      <c r="K11" s="765"/>
      <c r="L11" s="2818"/>
      <c r="M11" s="1877"/>
      <c r="N11" s="1977"/>
      <c r="O11" s="1977"/>
      <c r="P11" s="1977"/>
      <c r="Q11" s="1965"/>
      <c r="R11" s="1977"/>
      <c r="S11" s="1707"/>
      <c r="T11" s="1707"/>
      <c r="U11" s="761"/>
      <c r="V11" s="1707"/>
      <c r="W11" s="1707"/>
      <c r="X11" s="1707"/>
      <c r="Y11" s="1174"/>
      <c r="Z11" s="1174"/>
      <c r="AA11" s="968"/>
      <c r="AB11" s="968"/>
      <c r="AC11" s="968"/>
      <c r="AD11" s="968"/>
      <c r="AE11" s="968"/>
      <c r="AF11" s="968"/>
      <c r="AG11" s="968"/>
      <c r="AH11" s="968"/>
      <c r="AI11" s="968"/>
      <c r="AJ11" s="968"/>
      <c r="AK11" s="968"/>
      <c r="AL11" s="968"/>
      <c r="AM11" s="968"/>
      <c r="AN11" s="968"/>
      <c r="AO11" s="968"/>
      <c r="AP11" s="968"/>
      <c r="AQ11" s="968"/>
      <c r="AR11" s="968"/>
      <c r="AS11" s="968"/>
      <c r="AT11" s="968"/>
      <c r="AU11" s="968"/>
      <c r="AV11" s="968"/>
      <c r="AW11" s="968"/>
      <c r="AX11" s="968"/>
      <c r="AY11" s="968"/>
      <c r="AZ11" s="968"/>
      <c r="BA11" s="968"/>
      <c r="BB11" s="968"/>
      <c r="BC11" s="968"/>
      <c r="BD11" s="968"/>
      <c r="BE11" s="968"/>
      <c r="BF11" s="968"/>
      <c r="BG11" s="968"/>
      <c r="BH11" s="968"/>
      <c r="BI11" s="968"/>
      <c r="BJ11" s="968"/>
      <c r="BK11" s="968"/>
      <c r="BL11" s="968"/>
      <c r="BM11" s="968"/>
      <c r="BN11" s="968"/>
      <c r="BO11" s="968"/>
      <c r="BP11" s="968"/>
      <c r="BQ11" s="968"/>
      <c r="BR11" s="968"/>
      <c r="BS11" s="968"/>
      <c r="BT11" s="968"/>
      <c r="BU11" s="968"/>
      <c r="BV11" s="1174"/>
      <c r="BW11" s="1174"/>
      <c r="BX11" s="1174"/>
      <c r="BY11" s="1174"/>
      <c r="BZ11" s="1174"/>
      <c r="CA11" s="1174"/>
      <c r="CB11" s="1174"/>
      <c r="CC11" s="1174"/>
      <c r="CD11" s="1174"/>
      <c r="CE11" s="1174"/>
      <c r="IW11" s="965">
        <v>15</v>
      </c>
    </row>
    <row s="17331" customFormat="1" customHeight="1" ht="22.049999999999997">
      <c r="A12" s="1972"/>
      <c r="B12" s="1707"/>
      <c r="C12" s="1972"/>
      <c r="D12" s="1974"/>
      <c r="E12" s="521"/>
      <c r="F12" s="521"/>
      <c r="G12" s="521"/>
      <c r="H12" s="521"/>
      <c r="I12" s="521"/>
      <c r="J12" s="521"/>
      <c r="K12" s="521"/>
      <c r="L12" s="521"/>
      <c r="M12" s="1965"/>
      <c r="N12" s="1965"/>
      <c r="O12" s="1965"/>
      <c r="P12" s="1965"/>
      <c r="Q12" s="1965"/>
      <c r="R12" s="1965"/>
      <c r="S12" s="566"/>
      <c r="T12" s="566"/>
      <c r="U12" s="566"/>
      <c r="V12" s="566"/>
      <c r="IW12" s="1950">
        <v>21</v>
      </c>
    </row>
    <row s="17331" customFormat="1" customHeight="1" ht="14.699999999999998">
      <c r="A13" s="1972"/>
      <c r="B13" s="1707"/>
      <c r="C13" s="1972"/>
      <c r="D13" s="1974"/>
      <c r="E13" s="1972"/>
      <c r="F13" s="1972"/>
      <c r="G13" s="1972"/>
      <c r="H13" s="1972"/>
      <c r="I13" s="1972"/>
      <c r="J13" s="1972"/>
      <c r="K13" s="1972"/>
      <c r="L13" s="1972"/>
      <c r="M13" s="1965"/>
      <c r="N13" s="1965"/>
      <c r="O13" s="1965"/>
      <c r="P13" s="1965"/>
      <c r="Q13" s="1965"/>
      <c r="R13" s="1965"/>
      <c r="S13" s="566"/>
      <c r="T13" s="566"/>
      <c r="U13" s="566"/>
      <c r="V13" s="566"/>
      <c r="IW13" s="1950">
        <v>14</v>
      </c>
    </row>
    <row s="17331" customFormat="1" customHeight="1" ht="1.05">
      <c r="A14" s="1972"/>
      <c r="B14" s="1707"/>
      <c r="C14" s="1972"/>
      <c r="D14" s="1974"/>
      <c r="E14" s="1972"/>
      <c r="F14" s="1972"/>
      <c r="G14" s="1972"/>
      <c r="H14" s="1972"/>
      <c r="I14" s="1972"/>
      <c r="J14" s="1972"/>
      <c r="K14" s="1972"/>
      <c r="L14" s="1972"/>
      <c r="M14" s="1965"/>
      <c r="N14" s="1965"/>
      <c r="O14" s="1965"/>
      <c r="P14" s="1965"/>
      <c r="Q14" s="1965"/>
      <c r="R14" s="1965"/>
      <c r="S14" s="566"/>
      <c r="T14" s="566"/>
      <c r="U14" s="566"/>
      <c r="V14" s="566"/>
      <c r="IW14" s="1950">
        <v>1</v>
      </c>
    </row>
    <row customHeight="1" ht="22.5" hidden="1">
      <c r="A15" s="1972" t="s">
        <v>82</v>
      </c>
      <c r="B15" s="1707">
        <v>0</v>
      </c>
      <c r="C15" s="1972">
        <v>0</v>
      </c>
      <c r="D15" s="1974">
        <v>3</v>
      </c>
      <c r="E15" s="1972">
        <v>6</v>
      </c>
      <c r="F15" s="1972">
        <v>27</v>
      </c>
      <c r="G15" s="1972">
        <v>16</v>
      </c>
      <c r="H15" s="1972">
        <v>12</v>
      </c>
      <c r="I15" s="1972">
        <v>32</v>
      </c>
      <c r="J15" s="1972">
        <v>41</v>
      </c>
      <c r="K15" s="1972">
        <v>41</v>
      </c>
      <c r="L15" s="1972">
        <v>89</v>
      </c>
      <c r="M15" s="1965">
        <v>3</v>
      </c>
      <c r="N15" s="1965">
        <v>8</v>
      </c>
      <c r="O15" s="1965">
        <v>8</v>
      </c>
      <c r="P15" s="1965">
        <v>8</v>
      </c>
      <c r="Q15" s="1965">
        <v>25</v>
      </c>
      <c r="R15" s="1965">
        <v>14</v>
      </c>
      <c r="S15" s="566">
        <v>8</v>
      </c>
      <c r="T15" s="566">
        <v>8</v>
      </c>
      <c r="U15" s="566">
        <v>8</v>
      </c>
      <c r="V15" s="566">
        <v>8</v>
      </c>
      <c r="W15" s="1972">
        <v>8</v>
      </c>
      <c r="X15" s="1972">
        <v>8</v>
      </c>
      <c r="Y15" s="1972">
        <v>8</v>
      </c>
      <c r="Z15" s="1972">
        <v>8</v>
      </c>
      <c r="AA15" s="1972">
        <v>8</v>
      </c>
      <c r="AB15" s="1972">
        <v>8</v>
      </c>
      <c r="AC15" s="1972">
        <v>8</v>
      </c>
      <c r="AD15" s="1972">
        <v>8</v>
      </c>
      <c r="AE15" s="1972">
        <v>8</v>
      </c>
      <c r="AF15" s="1972">
        <v>8</v>
      </c>
      <c r="AG15" s="1972">
        <v>8</v>
      </c>
      <c r="AH15" s="1972">
        <v>8</v>
      </c>
      <c r="AI15" s="1972">
        <v>8</v>
      </c>
      <c r="AJ15" s="1972">
        <v>8</v>
      </c>
      <c r="AK15" s="1972">
        <v>8</v>
      </c>
      <c r="AL15" s="1972">
        <v>8</v>
      </c>
      <c r="AM15" s="1972">
        <v>8</v>
      </c>
      <c r="AN15" s="1972">
        <v>8</v>
      </c>
      <c r="AO15" s="1972">
        <v>8</v>
      </c>
      <c r="AP15" s="1972">
        <v>8</v>
      </c>
      <c r="AQ15" s="1972">
        <v>8</v>
      </c>
      <c r="AR15" s="1972">
        <v>8</v>
      </c>
      <c r="AS15" s="1972">
        <v>8</v>
      </c>
      <c r="AT15" s="1972">
        <v>8</v>
      </c>
      <c r="AU15" s="1972">
        <v>8</v>
      </c>
      <c r="AV15" s="1972">
        <v>8</v>
      </c>
      <c r="AW15" s="1972">
        <v>8</v>
      </c>
      <c r="AX15" s="1972">
        <v>8</v>
      </c>
      <c r="AY15" s="1972">
        <v>8</v>
      </c>
      <c r="AZ15" s="1972">
        <v>8</v>
      </c>
      <c r="BA15" s="1972">
        <v>8</v>
      </c>
      <c r="BB15" s="1972">
        <v>8</v>
      </c>
      <c r="BC15" s="1972">
        <v>8</v>
      </c>
      <c r="BD15" s="1972">
        <v>8</v>
      </c>
      <c r="BE15" s="1972">
        <v>8</v>
      </c>
      <c r="BF15" s="1972">
        <v>8</v>
      </c>
      <c r="BG15" s="1972">
        <v>8</v>
      </c>
      <c r="BH15" s="1972">
        <v>8</v>
      </c>
      <c r="BI15" s="1972">
        <v>8</v>
      </c>
      <c r="BJ15" s="1972">
        <v>8</v>
      </c>
      <c r="BK15" s="1972">
        <v>8</v>
      </c>
      <c r="BL15" s="1972">
        <v>8</v>
      </c>
      <c r="BM15" s="1972">
        <v>8</v>
      </c>
      <c r="BN15" s="1972">
        <v>8</v>
      </c>
      <c r="BO15" s="1972">
        <v>8</v>
      </c>
      <c r="BP15" s="1972">
        <v>8</v>
      </c>
      <c r="BQ15" s="1972">
        <v>8</v>
      </c>
      <c r="BR15" s="1972">
        <v>8</v>
      </c>
      <c r="BS15" s="1972">
        <v>8</v>
      </c>
      <c r="BT15" s="1972">
        <v>8</v>
      </c>
      <c r="BU15" s="1972">
        <v>8</v>
      </c>
      <c r="BV15" s="1972">
        <v>8</v>
      </c>
      <c r="BW15" s="1972">
        <v>8</v>
      </c>
      <c r="BX15" s="1972">
        <v>8</v>
      </c>
      <c r="BY15" s="1972">
        <v>8</v>
      </c>
      <c r="BZ15" s="1972">
        <v>8</v>
      </c>
      <c r="CA15" s="1972">
        <v>8</v>
      </c>
      <c r="CB15" s="1972">
        <v>8</v>
      </c>
      <c r="CC15" s="1972">
        <v>8</v>
      </c>
      <c r="CD15" s="1972">
        <v>8</v>
      </c>
      <c r="CE15" s="1972">
        <v>8</v>
      </c>
      <c r="CF15" s="1972">
        <v>8</v>
      </c>
      <c r="CG15" s="1972">
        <v>8</v>
      </c>
      <c r="CH15" s="1972">
        <v>8</v>
      </c>
      <c r="CI15" s="1972">
        <v>8</v>
      </c>
      <c r="CJ15" s="1972">
        <v>8</v>
      </c>
      <c r="CK15" s="1972">
        <v>8</v>
      </c>
      <c r="CL15" s="1972">
        <v>8</v>
      </c>
      <c r="CM15" s="1972">
        <v>8</v>
      </c>
      <c r="CN15" s="1972">
        <v>8</v>
      </c>
      <c r="CO15" s="1972">
        <v>8</v>
      </c>
      <c r="CP15" s="1972">
        <v>8</v>
      </c>
      <c r="CQ15" s="1972">
        <v>8</v>
      </c>
      <c r="CR15" s="1972">
        <v>8</v>
      </c>
      <c r="CS15" s="1972">
        <v>8</v>
      </c>
      <c r="CT15" s="1972">
        <v>8</v>
      </c>
      <c r="CU15" s="1972">
        <v>8</v>
      </c>
      <c r="CV15" s="1972">
        <v>8</v>
      </c>
      <c r="CW15" s="1972">
        <v>8</v>
      </c>
      <c r="CX15" s="1972">
        <v>8</v>
      </c>
      <c r="CY15" s="1972">
        <v>8</v>
      </c>
      <c r="CZ15" s="1972">
        <v>8</v>
      </c>
      <c r="DA15" s="1972">
        <v>8</v>
      </c>
      <c r="DB15" s="1972">
        <v>8</v>
      </c>
      <c r="DC15" s="1972">
        <v>8</v>
      </c>
      <c r="DD15" s="1972">
        <v>8</v>
      </c>
      <c r="DE15" s="1972">
        <v>8</v>
      </c>
      <c r="DF15" s="1972">
        <v>8</v>
      </c>
      <c r="DG15" s="1972">
        <v>8</v>
      </c>
      <c r="DH15" s="1972">
        <v>8</v>
      </c>
      <c r="DI15" s="1972">
        <v>8</v>
      </c>
      <c r="DJ15" s="1972">
        <v>8</v>
      </c>
      <c r="DK15" s="1972">
        <v>8</v>
      </c>
      <c r="DL15" s="1972">
        <v>8</v>
      </c>
      <c r="DM15" s="1972">
        <v>8</v>
      </c>
      <c r="DN15" s="1972">
        <v>8</v>
      </c>
      <c r="DO15" s="1972">
        <v>8</v>
      </c>
      <c r="DP15" s="1972">
        <v>8</v>
      </c>
      <c r="DQ15" s="1972">
        <v>8</v>
      </c>
      <c r="DR15" s="1972">
        <v>8</v>
      </c>
      <c r="DS15" s="1972">
        <v>8</v>
      </c>
      <c r="DT15" s="1972">
        <v>8</v>
      </c>
      <c r="DU15" s="1972">
        <v>8</v>
      </c>
      <c r="DV15" s="1972">
        <v>8</v>
      </c>
      <c r="DW15" s="1972">
        <v>8</v>
      </c>
      <c r="DX15" s="1972">
        <v>8</v>
      </c>
      <c r="DY15" s="1972">
        <v>8</v>
      </c>
      <c r="DZ15" s="1972">
        <v>8</v>
      </c>
      <c r="EA15" s="1972">
        <v>8</v>
      </c>
      <c r="EB15" s="1972">
        <v>8</v>
      </c>
      <c r="EC15" s="1972">
        <v>8</v>
      </c>
      <c r="ED15" s="1972">
        <v>8</v>
      </c>
      <c r="EE15" s="1972">
        <v>8</v>
      </c>
      <c r="EF15" s="1972">
        <v>8</v>
      </c>
      <c r="EG15" s="1972">
        <v>8</v>
      </c>
      <c r="EH15" s="1972">
        <v>8</v>
      </c>
      <c r="EI15" s="1972">
        <v>8</v>
      </c>
      <c r="EJ15" s="1972">
        <v>8</v>
      </c>
      <c r="EK15" s="1972">
        <v>8</v>
      </c>
      <c r="EL15" s="1972">
        <v>8</v>
      </c>
      <c r="EM15" s="1972">
        <v>8</v>
      </c>
      <c r="EN15" s="1972">
        <v>8</v>
      </c>
      <c r="EO15" s="1972">
        <v>8</v>
      </c>
      <c r="EP15" s="1972">
        <v>8</v>
      </c>
      <c r="EQ15" s="1972">
        <v>8</v>
      </c>
      <c r="ER15" s="1972">
        <v>8</v>
      </c>
      <c r="ES15" s="1972">
        <v>8</v>
      </c>
      <c r="ET15" s="1972">
        <v>8</v>
      </c>
      <c r="EU15" s="1972">
        <v>8</v>
      </c>
      <c r="EV15" s="1972">
        <v>8</v>
      </c>
      <c r="EW15" s="1972">
        <v>8</v>
      </c>
      <c r="EX15" s="1972">
        <v>8</v>
      </c>
      <c r="EY15" s="1972">
        <v>8</v>
      </c>
      <c r="EZ15" s="1972">
        <v>8</v>
      </c>
      <c r="FA15" s="1972">
        <v>8</v>
      </c>
      <c r="FB15" s="1972">
        <v>8</v>
      </c>
      <c r="FC15" s="1972">
        <v>8</v>
      </c>
      <c r="FD15" s="1972">
        <v>8</v>
      </c>
      <c r="FE15" s="1972">
        <v>8</v>
      </c>
      <c r="FF15" s="1972">
        <v>8</v>
      </c>
      <c r="FG15" s="1972">
        <v>8</v>
      </c>
      <c r="FH15" s="1972">
        <v>8</v>
      </c>
      <c r="FI15" s="1972">
        <v>8</v>
      </c>
      <c r="FJ15" s="1972">
        <v>8</v>
      </c>
      <c r="FK15" s="1972">
        <v>8</v>
      </c>
      <c r="FL15" s="1972">
        <v>8</v>
      </c>
      <c r="FM15" s="1972">
        <v>8</v>
      </c>
      <c r="FN15" s="1972">
        <v>8</v>
      </c>
      <c r="FO15" s="1972">
        <v>8</v>
      </c>
      <c r="FP15" s="1972">
        <v>8</v>
      </c>
      <c r="FQ15" s="1972">
        <v>8</v>
      </c>
      <c r="FR15" s="1972">
        <v>8</v>
      </c>
      <c r="FS15" s="1972">
        <v>8</v>
      </c>
      <c r="FT15" s="1972">
        <v>8</v>
      </c>
      <c r="FU15" s="1972">
        <v>8</v>
      </c>
      <c r="FV15" s="1972">
        <v>8</v>
      </c>
      <c r="FW15" s="1972">
        <v>8</v>
      </c>
      <c r="FX15" s="1972">
        <v>8</v>
      </c>
      <c r="FY15" s="1972">
        <v>8</v>
      </c>
      <c r="FZ15" s="1972">
        <v>8</v>
      </c>
      <c r="GA15" s="1972">
        <v>8</v>
      </c>
      <c r="GB15" s="1972">
        <v>8</v>
      </c>
      <c r="GC15" s="1972">
        <v>8</v>
      </c>
      <c r="GD15" s="1972">
        <v>8</v>
      </c>
      <c r="GE15" s="1972">
        <v>8</v>
      </c>
      <c r="GF15" s="1972">
        <v>8</v>
      </c>
      <c r="GG15" s="1972">
        <v>8</v>
      </c>
      <c r="GH15" s="1972">
        <v>8</v>
      </c>
      <c r="GI15" s="1972">
        <v>8</v>
      </c>
      <c r="GJ15" s="1972">
        <v>8</v>
      </c>
      <c r="GK15" s="1972">
        <v>8</v>
      </c>
      <c r="GL15" s="1972">
        <v>8</v>
      </c>
      <c r="GM15" s="1972">
        <v>8</v>
      </c>
      <c r="GN15" s="1972">
        <v>8</v>
      </c>
      <c r="GO15" s="1972">
        <v>8</v>
      </c>
      <c r="GP15" s="1972">
        <v>8</v>
      </c>
      <c r="GQ15" s="1972">
        <v>8</v>
      </c>
      <c r="GR15" s="1972">
        <v>8</v>
      </c>
      <c r="GS15" s="1972">
        <v>8</v>
      </c>
      <c r="GT15" s="1972">
        <v>8</v>
      </c>
      <c r="GU15" s="1972">
        <v>8</v>
      </c>
      <c r="GV15" s="1972">
        <v>8</v>
      </c>
      <c r="GW15" s="1972">
        <v>8</v>
      </c>
      <c r="GX15" s="1972">
        <v>8</v>
      </c>
      <c r="GY15" s="1972">
        <v>8</v>
      </c>
      <c r="GZ15" s="1972">
        <v>8</v>
      </c>
      <c r="HA15" s="1972">
        <v>8</v>
      </c>
      <c r="HB15" s="1972">
        <v>8</v>
      </c>
      <c r="HC15" s="1972">
        <v>8</v>
      </c>
      <c r="HD15" s="1972">
        <v>8</v>
      </c>
      <c r="HE15" s="1972">
        <v>8</v>
      </c>
      <c r="HF15" s="1972">
        <v>8</v>
      </c>
      <c r="HG15" s="1972">
        <v>8</v>
      </c>
      <c r="HH15" s="1972">
        <v>8</v>
      </c>
      <c r="HI15" s="1972">
        <v>8</v>
      </c>
      <c r="HJ15" s="1972">
        <v>8</v>
      </c>
      <c r="HK15" s="1972">
        <v>8</v>
      </c>
      <c r="HL15" s="1972">
        <v>8</v>
      </c>
      <c r="HM15" s="1972">
        <v>8</v>
      </c>
      <c r="HN15" s="1972">
        <v>8</v>
      </c>
      <c r="HO15" s="1972">
        <v>8</v>
      </c>
      <c r="HP15" s="1972">
        <v>8</v>
      </c>
      <c r="HQ15" s="1972">
        <v>8</v>
      </c>
      <c r="HR15" s="1972">
        <v>8</v>
      </c>
      <c r="HS15" s="1972">
        <v>8</v>
      </c>
      <c r="HT15" s="1972">
        <v>8</v>
      </c>
      <c r="HU15" s="1972">
        <v>8</v>
      </c>
      <c r="HV15" s="1972">
        <v>8</v>
      </c>
      <c r="HW15" s="1972">
        <v>8</v>
      </c>
      <c r="HX15" s="1972">
        <v>8</v>
      </c>
      <c r="HY15" s="1972">
        <v>8</v>
      </c>
      <c r="HZ15" s="1972">
        <v>8</v>
      </c>
      <c r="IA15" s="1972">
        <v>8</v>
      </c>
      <c r="IB15" s="1972">
        <v>8</v>
      </c>
      <c r="IC15" s="1972">
        <v>8</v>
      </c>
      <c r="ID15" s="1972">
        <v>8</v>
      </c>
      <c r="IE15" s="1972">
        <v>8</v>
      </c>
      <c r="IF15" s="1972">
        <v>8</v>
      </c>
      <c r="IG15" s="1972">
        <v>8</v>
      </c>
      <c r="IH15" s="1972">
        <v>8</v>
      </c>
      <c r="II15" s="1972">
        <v>8</v>
      </c>
      <c r="IJ15" s="1972">
        <v>8</v>
      </c>
      <c r="IK15" s="1972">
        <v>8</v>
      </c>
      <c r="IL15" s="1972">
        <v>8</v>
      </c>
      <c r="IM15" s="1972">
        <v>8</v>
      </c>
      <c r="IN15" s="1972">
        <v>8</v>
      </c>
      <c r="IO15" s="1972">
        <v>8</v>
      </c>
      <c r="IP15" s="1972">
        <v>8</v>
      </c>
      <c r="IQ15" s="1972">
        <v>8</v>
      </c>
      <c r="IR15" s="1972">
        <v>8</v>
      </c>
      <c r="IS15" s="1972">
        <v>8</v>
      </c>
      <c r="IT15" s="1972">
        <v>8</v>
      </c>
      <c r="IU15" s="1972">
        <v>8</v>
      </c>
      <c r="IV15" s="1972">
        <v>8</v>
      </c>
      <c r="IW15" s="1972">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FB5015-21FB-8DEE-372D-1212136234BF}"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7239" width="9.140625" hidden="1"/>
    <col min="2" max="2" style="17315" width="9.140625" hidden="1"/>
    <col min="3" max="3" style="17239" width="3.7109375" hidden="1" customWidth="1"/>
    <col min="4" max="4" style="17404" width="3.00390625" customWidth="1"/>
    <col min="5" max="5" style="17239" width="6.00390625" customWidth="1"/>
    <col min="6" max="6" style="17239" width="27.00390625" customWidth="1"/>
    <col min="7" max="7" style="17239" width="29.00390625" customWidth="1"/>
    <col min="8" max="8" style="17239" width="25.00390625" customWidth="1"/>
    <col min="9" max="9" style="17239" width="5.00390625" customWidth="1"/>
    <col min="10" max="10" style="17239" width="6.00390625" customWidth="1"/>
    <col min="11" max="11" style="17239" width="41.00390625" customWidth="1"/>
    <col min="12" max="12" style="17239" width="42.00390625" customWidth="1"/>
    <col min="13" max="13" style="17239" width="41.00390625" customWidth="1"/>
    <col min="14" max="14" style="17239" width="89.00390625" customWidth="1"/>
    <col min="15" max="15" style="17405" width="3.00390625" customWidth="1"/>
    <col min="16" max="16" style="17405" width="8.00390625" customWidth="1"/>
    <col min="17" max="17" style="17239" width="9.140625" hidden="1"/>
  </cols>
  <sheetData>
    <row customHeight="1" ht="22.5" hidden="1">
      <c r="Q1" s="1496" t="s">
        <v>14</v>
      </c>
    </row>
    <row s="17376" customFormat="1" customHeight="1" ht="22.5" hidden="1">
      <c r="A2" s="837"/>
      <c r="B2" s="1501">
        <v>1</v>
      </c>
      <c r="C2" s="1501"/>
      <c r="D2" s="2269" t="s">
        <v>684</v>
      </c>
      <c r="E2" s="2468">
        <v>1</v>
      </c>
      <c r="F2" s="2644" t="str">
        <f>IF(region_name="","",region_name)</f>
        <v>Хабаровский край</v>
      </c>
      <c r="G2" s="2824"/>
      <c r="H2" s="2825"/>
      <c r="I2" s="815"/>
      <c r="J2" s="2251">
        <v>1</v>
      </c>
      <c r="K2" s="2253"/>
      <c r="L2" s="2253"/>
      <c r="M2" s="2253"/>
      <c r="N2" s="833"/>
      <c r="O2" s="1876"/>
      <c r="P2" s="852"/>
      <c r="Q2" s="764">
        <v>0</v>
      </c>
    </row>
    <row s="17376" customFormat="1" customHeight="1" ht="22.5" hidden="1">
      <c r="A3" s="1172"/>
      <c r="B3" s="1501"/>
      <c r="C3" s="1501"/>
      <c r="D3" s="1142"/>
      <c r="E3" s="2468"/>
      <c r="F3" s="2644"/>
      <c r="G3" s="2824"/>
      <c r="H3" s="2826"/>
      <c r="I3" s="762"/>
      <c r="J3" s="1841"/>
      <c r="K3" s="1841" t="s">
        <v>2010</v>
      </c>
      <c r="L3" s="1884"/>
      <c r="M3" s="2261"/>
      <c r="N3" s="2254"/>
      <c r="O3" s="1876"/>
      <c r="P3" s="852"/>
      <c r="Q3" s="764">
        <v>0</v>
      </c>
    </row>
    <row s="17316" customFormat="1" customHeight="1" ht="5.25" hidden="1">
      <c r="A4" s="837"/>
      <c r="D4" s="835"/>
      <c r="F4" s="588" t="s">
        <v>83</v>
      </c>
      <c r="G4" s="835" t="s">
        <v>84</v>
      </c>
      <c r="H4" s="835"/>
      <c r="I4" s="2264"/>
      <c r="J4" s="1885"/>
      <c r="K4" s="2252"/>
      <c r="L4" s="2252"/>
      <c r="M4" s="2252"/>
      <c r="N4" s="2248"/>
      <c r="O4" s="588" t="s">
        <v>83</v>
      </c>
      <c r="P4" s="588"/>
      <c r="Q4" s="852">
        <v>0</v>
      </c>
    </row>
    <row s="17376" customFormat="1" customHeight="1" ht="22.5" hidden="1">
      <c r="A5" s="1982"/>
      <c r="B5" s="1707">
        <v>1</v>
      </c>
      <c r="C5" s="1707"/>
      <c r="D5" s="1142"/>
      <c r="E5" s="2254"/>
      <c r="F5" s="2254"/>
      <c r="G5" s="2254"/>
      <c r="H5" s="2265"/>
      <c r="I5" s="2270" t="s">
        <v>684</v>
      </c>
      <c r="J5" s="2263">
        <v>1</v>
      </c>
      <c r="K5" s="2253"/>
      <c r="L5" s="2253"/>
      <c r="M5" s="2253"/>
      <c r="N5" s="833"/>
      <c r="O5" s="1876"/>
      <c r="P5" s="1977"/>
      <c r="Q5" s="965">
        <v>0</v>
      </c>
    </row>
    <row s="17331" customFormat="1" customHeight="1" ht="14.699999999999998">
      <c r="A6" s="1496"/>
      <c r="B6" s="1501"/>
      <c r="C6" s="1496"/>
      <c r="D6" s="1836"/>
      <c r="E6" s="850"/>
      <c r="F6" s="850"/>
      <c r="G6" s="850"/>
      <c r="H6" s="850"/>
      <c r="I6" s="850"/>
      <c r="J6" s="850"/>
      <c r="K6" s="850"/>
      <c r="L6" s="850"/>
      <c r="M6" s="850"/>
      <c r="N6" s="1976"/>
      <c r="O6" s="588"/>
      <c r="P6" s="841"/>
      <c r="Q6" s="848">
        <v>14</v>
      </c>
    </row>
    <row s="17331" customFormat="1" customHeight="1" ht="27.299999999999997">
      <c r="A7" s="1496"/>
      <c r="B7" s="1501"/>
      <c r="C7" s="1496"/>
      <c r="D7" s="1836"/>
      <c r="E7" s="283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31"/>
      <c r="G7" s="2831"/>
      <c r="H7" s="2831"/>
      <c r="I7" s="2831"/>
      <c r="J7" s="2831"/>
      <c r="K7" s="2831"/>
      <c r="L7" s="2831"/>
      <c r="M7" s="2831"/>
      <c r="N7" s="1593"/>
      <c r="O7" s="588"/>
      <c r="P7" s="841"/>
      <c r="Q7" s="848">
        <v>26</v>
      </c>
    </row>
    <row s="17331" customFormat="1" customHeight="1" ht="14.699999999999998">
      <c r="A8" s="1496"/>
      <c r="B8" s="1501"/>
      <c r="C8" s="1496"/>
      <c r="D8" s="1836"/>
      <c r="E8" s="850"/>
      <c r="F8" s="508"/>
      <c r="G8" s="508"/>
      <c r="H8" s="508"/>
      <c r="I8" s="508"/>
      <c r="J8" s="508"/>
      <c r="K8" s="508"/>
      <c r="L8" s="508"/>
      <c r="M8" s="508"/>
      <c r="N8" s="957"/>
      <c r="O8" s="841"/>
      <c r="P8" s="841"/>
      <c r="Q8" s="848">
        <v>14</v>
      </c>
    </row>
    <row s="19574" customFormat="1" customHeight="1" ht="14.25" hidden="1">
      <c r="A9" s="1809"/>
      <c r="B9" s="1819"/>
      <c r="C9" s="1809"/>
      <c r="D9" s="1836"/>
      <c r="E9" s="2255"/>
      <c r="F9" s="2255"/>
      <c r="G9" s="2255"/>
      <c r="H9" s="2255"/>
      <c r="I9" s="2834"/>
      <c r="J9" s="2834"/>
      <c r="K9" s="2834"/>
      <c r="L9" s="2255"/>
      <c r="M9" s="2256"/>
      <c r="O9" s="1886"/>
      <c r="P9" s="1886"/>
      <c r="Q9" s="1887">
        <v>0</v>
      </c>
    </row>
    <row s="17331" customFormat="1" customHeight="1" ht="14.699999999999998">
      <c r="A10" s="1496"/>
      <c r="B10" s="1501"/>
      <c r="C10" s="1496"/>
      <c r="D10" s="1836"/>
      <c r="E10" s="2468" t="s">
        <v>295</v>
      </c>
      <c r="F10" s="2468"/>
      <c r="G10" s="2468"/>
      <c r="H10" s="2468"/>
      <c r="I10" s="2468"/>
      <c r="J10" s="2468"/>
      <c r="K10" s="2468"/>
      <c r="L10" s="2468"/>
      <c r="M10" s="2442"/>
      <c r="N10" s="2819" t="s">
        <v>296</v>
      </c>
      <c r="O10" s="841"/>
      <c r="P10" s="841"/>
      <c r="Q10" s="848">
        <v>14</v>
      </c>
    </row>
    <row s="17331" customFormat="1" customHeight="1" ht="44.25">
      <c r="A11" s="1972"/>
      <c r="B11" s="1707"/>
      <c r="C11" s="1972"/>
      <c r="D11" s="1856"/>
      <c r="E11" s="2833" t="s">
        <v>88</v>
      </c>
      <c r="F11" s="2833" t="s">
        <v>299</v>
      </c>
      <c r="G11" s="2833" t="s">
        <v>2011</v>
      </c>
      <c r="H11" s="2833"/>
      <c r="I11" s="2833" t="s">
        <v>2012</v>
      </c>
      <c r="J11" s="2833"/>
      <c r="K11" s="2833"/>
      <c r="L11" s="2833" t="s">
        <v>2013</v>
      </c>
      <c r="M11" s="2821" t="s">
        <v>2014</v>
      </c>
      <c r="N11" s="2832"/>
      <c r="O11" s="1965"/>
      <c r="P11" s="1965"/>
      <c r="Q11" s="1950">
        <v>42</v>
      </c>
    </row>
    <row s="17331" customFormat="1" customHeight="1" ht="29.25">
      <c r="A12" s="1496"/>
      <c r="B12" s="1501"/>
      <c r="C12" s="1496"/>
      <c r="D12" s="1836"/>
      <c r="E12" s="2819"/>
      <c r="F12" s="2833"/>
      <c r="G12" s="2250" t="s">
        <v>2015</v>
      </c>
      <c r="H12" s="2250" t="s">
        <v>303</v>
      </c>
      <c r="I12" s="2833"/>
      <c r="J12" s="2833"/>
      <c r="K12" s="2833"/>
      <c r="L12" s="2833"/>
      <c r="M12" s="2821"/>
      <c r="N12" s="2820"/>
      <c r="O12" s="841"/>
      <c r="P12" s="841"/>
      <c r="Q12" s="848">
        <v>28</v>
      </c>
    </row>
    <row s="17376" customFormat="1" customHeight="1" ht="23.25">
      <c r="A13" s="2440">
        <v>26379339</v>
      </c>
      <c r="B13" s="1501">
        <v>1</v>
      </c>
      <c r="C13" s="1501"/>
      <c r="D13" s="1142"/>
      <c r="E13" s="2468">
        <v>1</v>
      </c>
      <c r="F13" s="2827" t="str">
        <f>IF(region_name="","",region_name)</f>
        <v>Хабаровский край</v>
      </c>
      <c r="G13" s="2828"/>
      <c r="H13" s="2835"/>
      <c r="I13" s="815"/>
      <c r="J13" s="2246">
        <v>1</v>
      </c>
      <c r="K13" s="2259"/>
      <c r="L13" s="2260"/>
      <c r="M13" s="2260"/>
      <c r="N13" s="2829" t="s">
        <v>2016</v>
      </c>
      <c r="O13" s="1876"/>
      <c r="P13" s="852"/>
      <c r="Q13" s="764">
        <v>22</v>
      </c>
    </row>
    <row s="17376" customFormat="1" customHeight="1" ht="23.25">
      <c r="A14" s="2440"/>
      <c r="B14" s="1501"/>
      <c r="C14" s="1501"/>
      <c r="D14" s="1142"/>
      <c r="E14" s="2468"/>
      <c r="F14" s="2827"/>
      <c r="G14" s="2828"/>
      <c r="H14" s="2836"/>
      <c r="I14" s="762"/>
      <c r="J14" s="1841"/>
      <c r="K14" s="1841" t="s">
        <v>2010</v>
      </c>
      <c r="L14" s="1884"/>
      <c r="M14" s="1884"/>
      <c r="N14" s="2830"/>
      <c r="O14" s="1876"/>
      <c r="P14" s="852"/>
      <c r="Q14" s="764">
        <v>22</v>
      </c>
    </row>
    <row s="17376" customFormat="1" customHeight="1" ht="23.25">
      <c r="A15" s="2440"/>
      <c r="B15" s="1501"/>
      <c r="C15" s="753"/>
      <c r="D15" s="1142"/>
      <c r="E15" s="762"/>
      <c r="F15" s="1841" t="s">
        <v>2002</v>
      </c>
      <c r="G15" s="1883"/>
      <c r="H15" s="1883"/>
      <c r="I15" s="528"/>
      <c r="J15" s="528"/>
      <c r="K15" s="528"/>
      <c r="L15" s="528"/>
      <c r="M15" s="528"/>
      <c r="N15" s="2830"/>
      <c r="O15" s="1877"/>
      <c r="P15" s="852"/>
      <c r="Q15" s="764">
        <v>22</v>
      </c>
    </row>
    <row s="17331" customFormat="1" customHeight="1" ht="22.049999999999997">
      <c r="A16" s="1496"/>
      <c r="B16" s="1501"/>
      <c r="C16" s="1496"/>
      <c r="D16" s="792"/>
      <c r="E16" s="521"/>
      <c r="F16" s="521"/>
      <c r="G16" s="521"/>
      <c r="H16" s="521"/>
      <c r="I16" s="521"/>
      <c r="J16" s="521"/>
      <c r="K16" s="521"/>
      <c r="L16" s="521"/>
      <c r="M16" s="850"/>
      <c r="N16" s="1976"/>
      <c r="O16" s="841"/>
      <c r="P16" s="841"/>
      <c r="Q16" s="848">
        <v>21</v>
      </c>
    </row>
    <row s="17331" customFormat="1" customHeight="1" ht="14.699999999999998">
      <c r="A17" s="1496"/>
      <c r="B17" s="1501"/>
      <c r="C17" s="1496"/>
      <c r="D17" s="792"/>
      <c r="E17" s="1496"/>
      <c r="F17" s="1496"/>
      <c r="G17" s="1496"/>
      <c r="H17" s="1496"/>
      <c r="I17" s="1496"/>
      <c r="J17" s="1496"/>
      <c r="K17" s="1496"/>
      <c r="L17" s="1496"/>
      <c r="M17" s="1496"/>
      <c r="N17" s="1972"/>
      <c r="O17" s="841"/>
      <c r="P17" s="841"/>
      <c r="Q17" s="848">
        <v>14</v>
      </c>
    </row>
    <row s="17331" customFormat="1" customHeight="1" ht="1.05">
      <c r="A18" s="1496"/>
      <c r="B18" s="1501"/>
      <c r="C18" s="1496"/>
      <c r="D18" s="792"/>
      <c r="E18" s="1496"/>
      <c r="F18" s="1496"/>
      <c r="G18" s="1496"/>
      <c r="H18" s="1496"/>
      <c r="I18" s="1496"/>
      <c r="J18" s="1496"/>
      <c r="K18" s="1496"/>
      <c r="L18" s="1496"/>
      <c r="M18" s="1496"/>
      <c r="N18" s="1972"/>
      <c r="O18" s="841"/>
      <c r="P18" s="841"/>
      <c r="Q18" s="848">
        <v>1</v>
      </c>
    </row>
    <row customHeight="1" ht="22.5" hidden="1">
      <c r="A19" s="1496" t="s">
        <v>82</v>
      </c>
      <c r="B19" s="1501">
        <v>0</v>
      </c>
      <c r="C19" s="1496">
        <v>0</v>
      </c>
      <c r="D19" s="792">
        <v>3</v>
      </c>
      <c r="E19" s="1496">
        <v>6</v>
      </c>
      <c r="F19" s="1496">
        <v>27</v>
      </c>
      <c r="G19" s="1496">
        <v>29</v>
      </c>
      <c r="H19" s="1496">
        <v>25</v>
      </c>
      <c r="I19" s="1496">
        <v>5</v>
      </c>
      <c r="J19" s="1496">
        <v>6</v>
      </c>
      <c r="K19" s="1496">
        <v>41</v>
      </c>
      <c r="L19" s="1496">
        <v>42</v>
      </c>
      <c r="M19" s="1496">
        <v>41</v>
      </c>
      <c r="N19" s="1972">
        <v>89</v>
      </c>
      <c r="O19" s="841">
        <v>3</v>
      </c>
      <c r="P19" s="841">
        <v>8</v>
      </c>
      <c r="Q19" s="1496">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69FFC6-67AF-876F-D854-351FD258301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17699" width="9.140625" hidden="1"/>
    <col min="2" max="2" style="19333" width="9.140625" hidden="1"/>
    <col min="3" max="3" style="19614" width="3.00390625" customWidth="1"/>
    <col min="4" max="4" style="19333" width="6.00390625" customWidth="1"/>
    <col min="5" max="5" style="19333" width="22.00390625" customWidth="1"/>
    <col min="6" max="6" style="19333" width="15.00390625" customWidth="1"/>
    <col min="7" max="7" style="19333" width="14.00390625" customWidth="1"/>
    <col min="8" max="8" style="19333" width="47.00390625" customWidth="1"/>
    <col min="9" max="9" style="19333" width="115.00390625" customWidth="1"/>
    <col min="10" max="10" style="19333" width="3.00390625" customWidth="1"/>
    <col min="11" max="12" style="19333" width="8.00390625" customWidth="1"/>
    <col min="13" max="13" style="19333" width="9.140625" hidden="1"/>
  </cols>
  <sheetData>
    <row customHeight="1" ht="14.25" hidden="1">
      <c r="M1" s="462" t="s">
        <v>14</v>
      </c>
    </row>
    <row customHeight="1" ht="14.25" hidden="1">
      <c r="M2" s="462">
        <v>0</v>
      </c>
    </row>
    <row customHeight="1" ht="14.25" hidden="1">
      <c r="M3" s="462">
        <v>0</v>
      </c>
    </row>
    <row customHeight="1" ht="3">
      <c r="M4" s="462">
        <v>3</v>
      </c>
    </row>
    <row s="17239" customFormat="1" customHeight="1" ht="31.5">
      <c r="A5" s="456"/>
      <c r="C5" s="431"/>
      <c r="D5" s="2441" t="s">
        <v>2017</v>
      </c>
      <c r="E5" s="2441"/>
      <c r="F5" s="2441"/>
      <c r="G5" s="2441"/>
      <c r="H5" s="2441"/>
      <c r="I5" s="606"/>
      <c r="M5" s="424">
        <v>30</v>
      </c>
    </row>
    <row customHeight="1" ht="3" hidden="1">
      <c r="D6" s="463"/>
      <c r="E6" s="463"/>
      <c r="F6" s="463"/>
      <c r="G6" s="463"/>
      <c r="H6" s="463"/>
      <c r="I6" s="463"/>
      <c r="M6" s="462">
        <v>0</v>
      </c>
    </row>
    <row s="17699" customFormat="1" customHeight="1" ht="14.699999999999998">
      <c r="B7" s="460"/>
      <c r="C7" s="461"/>
      <c r="D7" s="464"/>
      <c r="E7" s="464"/>
      <c r="F7" s="464"/>
      <c r="G7" s="464"/>
      <c r="H7" s="1093"/>
      <c r="I7" s="464"/>
      <c r="J7" s="465"/>
      <c r="M7" s="459">
        <v>14</v>
      </c>
    </row>
    <row customHeight="1" ht="14.699999999999998">
      <c r="D8" s="2550" t="s">
        <v>295</v>
      </c>
      <c r="E8" s="2550"/>
      <c r="F8" s="2550"/>
      <c r="G8" s="2550"/>
      <c r="H8" s="2550"/>
      <c r="I8" s="2550" t="s">
        <v>296</v>
      </c>
      <c r="M8" s="462">
        <v>14</v>
      </c>
    </row>
    <row customHeight="1" ht="29.25">
      <c r="D9" s="2550" t="s">
        <v>88</v>
      </c>
      <c r="E9" s="2550" t="s">
        <v>2018</v>
      </c>
      <c r="F9" s="2550"/>
      <c r="G9" s="2550"/>
      <c r="H9" s="2550"/>
      <c r="I9" s="2550"/>
      <c r="M9" s="462">
        <v>28</v>
      </c>
    </row>
    <row customHeight="1" ht="24">
      <c r="D10" s="2550"/>
      <c r="E10" s="468" t="s">
        <v>2019</v>
      </c>
      <c r="F10" s="468" t="s">
        <v>2020</v>
      </c>
      <c r="G10" s="468" t="s">
        <v>2021</v>
      </c>
      <c r="H10" s="468" t="s">
        <v>385</v>
      </c>
      <c r="I10" s="2550"/>
      <c r="M10" s="462">
        <v>23</v>
      </c>
    </row>
    <row customHeight="1" ht="12" hidden="1">
      <c r="D11" s="428" t="s">
        <v>106</v>
      </c>
      <c r="E11" s="428" t="s">
        <v>91</v>
      </c>
      <c r="F11" s="428" t="s">
        <v>108</v>
      </c>
      <c r="G11" s="428" t="s">
        <v>92</v>
      </c>
      <c r="H11" s="428" t="s">
        <v>93</v>
      </c>
      <c r="I11" s="428" t="s">
        <v>109</v>
      </c>
      <c r="M11" s="462">
        <v>0</v>
      </c>
    </row>
    <row s="19333" customFormat="1" customHeight="1" ht="26.25">
      <c r="A12" s="486" t="s">
        <v>90</v>
      </c>
      <c r="B12" s="466" t="s">
        <v>22</v>
      </c>
      <c r="C12" s="467"/>
      <c r="D12" s="469" t="s">
        <v>106</v>
      </c>
      <c r="E12" s="722"/>
      <c r="F12" s="722"/>
      <c r="G12" s="2075" t="s">
        <v>22</v>
      </c>
      <c r="H12" s="723"/>
      <c r="I12" s="2510" t="s">
        <v>2022</v>
      </c>
      <c r="K12" s="613"/>
      <c r="L12" s="614"/>
      <c r="M12" s="458">
        <v>25</v>
      </c>
    </row>
    <row customHeight="1" ht="15.75">
      <c r="A13" s="462"/>
      <c r="B13" s="462"/>
      <c r="C13" s="462"/>
      <c r="D13" s="450"/>
      <c r="E13" s="471" t="s">
        <v>463</v>
      </c>
      <c r="F13" s="470"/>
      <c r="G13" s="470"/>
      <c r="H13" s="555"/>
      <c r="I13" s="2512"/>
      <c r="M13" s="462">
        <v>15</v>
      </c>
    </row>
    <row customHeight="1" ht="3">
      <c r="A14" s="462"/>
      <c r="B14" s="462"/>
      <c r="C14" s="462"/>
      <c r="M14" s="462">
        <v>3</v>
      </c>
    </row>
    <row customHeight="1" ht="29.25">
      <c r="E15" s="2837" t="s">
        <v>2023</v>
      </c>
      <c r="F15" s="2837"/>
      <c r="G15" s="2837"/>
      <c r="H15" s="2837"/>
      <c r="M15" s="462">
        <v>28</v>
      </c>
    </row>
    <row customHeight="1" ht="14.25" hidden="1">
      <c r="A16" s="459" t="s">
        <v>82</v>
      </c>
      <c r="B16" s="460">
        <v>0</v>
      </c>
      <c r="C16" s="461">
        <v>3</v>
      </c>
      <c r="D16" s="462">
        <v>6</v>
      </c>
      <c r="E16" s="462">
        <v>22</v>
      </c>
      <c r="F16" s="462">
        <v>15</v>
      </c>
      <c r="G16" s="462">
        <v>14</v>
      </c>
      <c r="H16" s="462">
        <v>47</v>
      </c>
      <c r="I16" s="462">
        <v>115</v>
      </c>
      <c r="J16" s="462">
        <v>3</v>
      </c>
      <c r="K16" s="462">
        <v>8</v>
      </c>
      <c r="L16" s="462">
        <v>8</v>
      </c>
      <c r="M16" s="462">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703B53-E823-29CF-593C-383988D2390B}"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19633" width="9.140625" hidden="1"/>
    <col min="3" max="3" style="19634" width="3.00390625" customWidth="1"/>
    <col min="4" max="4" style="19633" width="6.00390625" customWidth="1"/>
    <col min="5" max="5" style="19633" width="94.00390625" customWidth="1"/>
    <col min="6" max="9" style="19633" width="8.00390625" customWidth="1"/>
    <col min="10" max="10" style="19633" width="9.140625" hidden="1"/>
  </cols>
  <sheetData>
    <row customHeight="1" ht="14.25" hidden="1">
      <c r="J1" s="410" t="s">
        <v>14</v>
      </c>
    </row>
    <row customHeight="1" ht="14.25" hidden="1">
      <c r="J2" s="410">
        <v>0</v>
      </c>
    </row>
    <row customHeight="1" ht="14.25" hidden="1">
      <c r="J3" s="410">
        <v>0</v>
      </c>
    </row>
    <row customHeight="1" ht="14.25" hidden="1">
      <c r="J4" s="410">
        <v>0</v>
      </c>
    </row>
    <row customHeight="1" ht="14.25" hidden="1">
      <c r="J5" s="410">
        <v>0</v>
      </c>
    </row>
    <row customHeight="1" ht="3">
      <c r="C6" s="433"/>
      <c r="D6" s="411"/>
      <c r="E6" s="411"/>
      <c r="J6" s="410">
        <v>3</v>
      </c>
    </row>
    <row customHeight="1" ht="23.25">
      <c r="C7" s="433"/>
      <c r="D7" s="2838" t="s">
        <v>2024</v>
      </c>
      <c r="E7" s="2839"/>
      <c r="F7" s="608"/>
      <c r="J7" s="410">
        <v>22</v>
      </c>
    </row>
    <row customHeight="1" ht="3">
      <c r="C8" s="433"/>
      <c r="D8" s="411"/>
      <c r="E8" s="411"/>
      <c r="J8" s="410">
        <v>3</v>
      </c>
    </row>
    <row customHeight="1" ht="16.8">
      <c r="C9" s="433"/>
      <c r="D9" s="446" t="s">
        <v>88</v>
      </c>
      <c r="E9" s="601" t="s">
        <v>2025</v>
      </c>
      <c r="J9" s="410">
        <v>16</v>
      </c>
    </row>
    <row customHeight="1" ht="1.05">
      <c r="C10" s="433"/>
      <c r="D10" s="428"/>
      <c r="E10" s="428"/>
      <c r="J10" s="410">
        <v>1</v>
      </c>
    </row>
    <row customHeight="1" ht="11.25" hidden="1">
      <c r="C11" s="433"/>
      <c r="D11" s="491">
        <v>0</v>
      </c>
      <c r="E11" s="602"/>
      <c r="J11" s="410">
        <v>0</v>
      </c>
    </row>
    <row customHeight="1" ht="15.75">
      <c r="C12" s="477"/>
      <c r="D12" s="454">
        <v>1</v>
      </c>
      <c r="E12" s="718"/>
      <c r="J12" s="410">
        <v>15</v>
      </c>
    </row>
    <row customHeight="1" ht="12.75">
      <c r="C13" s="433"/>
      <c r="D13" s="603"/>
      <c r="E13" s="604" t="s">
        <v>2026</v>
      </c>
      <c r="J13" s="410">
        <v>12</v>
      </c>
    </row>
    <row customHeight="1" ht="3">
      <c r="J14" s="410">
        <v>3</v>
      </c>
    </row>
    <row customHeight="1" ht="23.25">
      <c r="C15" s="478"/>
      <c r="D15" s="2840" t="s">
        <v>2027</v>
      </c>
      <c r="E15" s="2840"/>
      <c r="F15" s="479"/>
      <c r="G15" s="479"/>
      <c r="H15" s="479"/>
      <c r="I15" s="479"/>
      <c r="J15" s="410">
        <v>22</v>
      </c>
    </row>
    <row customHeight="1" ht="14.25" hidden="1">
      <c r="A16" s="410" t="s">
        <v>82</v>
      </c>
      <c r="B16" s="410">
        <v>0</v>
      </c>
      <c r="C16" s="432">
        <v>3</v>
      </c>
      <c r="D16" s="410">
        <v>6</v>
      </c>
      <c r="E16" s="410">
        <v>94</v>
      </c>
      <c r="F16" s="410">
        <v>8</v>
      </c>
      <c r="G16" s="410">
        <v>8</v>
      </c>
      <c r="H16" s="410">
        <v>8</v>
      </c>
      <c r="I16" s="410">
        <v>8</v>
      </c>
      <c r="J16" s="410">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87AA43-08C2-4255-32EF-50B6BA594762}" mc:Ignorable="x14ac xr xr2 xr3">
  <sheetPr>
    <tabColor rgb="FFCCCCFF"/>
    <pageSetUpPr fitToPage="1"/>
  </sheetPr>
  <dimension ref="A1:M17"/>
  <sheetViews>
    <sheetView topLeftCell="C6" showGridLines="0" zoomScale="90" workbookViewId="0">
      <selection activeCell="E15" sqref="E15"/>
    </sheetView>
  </sheetViews>
  <sheetFormatPr defaultColWidth="9.140625" customHeight="1" defaultRowHeight="14.25"/>
  <cols>
    <col min="1" max="2" style="19633" width="9.140625" hidden="1"/>
    <col min="3" max="3" style="19634" width="3.00390625" customWidth="1"/>
    <col min="4" max="4" style="19633" width="6.00390625" customWidth="1"/>
    <col min="5" max="5" style="19633" width="94.00390625" customWidth="1"/>
    <col min="6" max="12" style="19633" width="8.00390625" customWidth="1"/>
    <col min="13" max="13" style="19633" width="9.140625" hidden="1"/>
  </cols>
  <sheetData>
    <row customHeight="1" ht="14.25" hidden="1">
      <c r="L1" s="605"/>
      <c r="M1" s="410" t="s">
        <v>14</v>
      </c>
    </row>
    <row customHeight="1" ht="14.25" hidden="1">
      <c r="M2" s="410">
        <v>0</v>
      </c>
    </row>
    <row customHeight="1" ht="14.25" hidden="1">
      <c r="M3" s="410">
        <v>0</v>
      </c>
    </row>
    <row customHeight="1" ht="14.25" hidden="1">
      <c r="M4" s="410">
        <v>0</v>
      </c>
    </row>
    <row customHeight="1" ht="14.25" hidden="1">
      <c r="M5" s="410">
        <v>0</v>
      </c>
    </row>
    <row customHeight="1" ht="3">
      <c r="C6" s="433"/>
      <c r="D6" s="411"/>
      <c r="E6" s="411"/>
      <c r="M6" s="410">
        <v>3</v>
      </c>
    </row>
    <row customHeight="1" ht="23.25">
      <c r="C7" s="433"/>
      <c r="D7" s="2441" t="s">
        <v>2028</v>
      </c>
      <c r="E7" s="2441"/>
      <c r="F7" s="608"/>
      <c r="M7" s="410">
        <v>22</v>
      </c>
    </row>
    <row customHeight="1" ht="3">
      <c r="C8" s="433"/>
      <c r="D8" s="411"/>
      <c r="E8" s="411"/>
      <c r="M8" s="410">
        <v>3</v>
      </c>
    </row>
    <row customHeight="1" ht="16.8">
      <c r="C9" s="433"/>
      <c r="D9" s="446" t="s">
        <v>88</v>
      </c>
      <c r="E9" s="449" t="s">
        <v>282</v>
      </c>
      <c r="M9" s="410">
        <v>16</v>
      </c>
    </row>
    <row customHeight="1" ht="12.75">
      <c r="C10" s="433"/>
      <c r="D10" s="428" t="s">
        <v>106</v>
      </c>
      <c r="E10" s="428" t="s">
        <v>107</v>
      </c>
      <c r="M10" s="410">
        <v>12</v>
      </c>
    </row>
    <row customHeight="1" ht="15" hidden="1">
      <c r="C11" s="433"/>
      <c r="D11" s="454">
        <v>0</v>
      </c>
      <c r="E11" s="490"/>
      <c r="M11" s="410">
        <v>0</v>
      </c>
    </row>
    <row customHeight="1" ht="165">
      <c r="A12" s="5387"/>
      <c r="B12" s="5387"/>
      <c r="C12" s="2158" t="s">
        <v>684</v>
      </c>
      <c r="D12" s="454" t="s">
        <v>106</v>
      </c>
      <c r="E12" s="455" t="s">
        <v>2029</v>
      </c>
      <c r="F12" s="5387"/>
      <c r="G12" s="5387"/>
      <c r="H12" s="5387"/>
      <c r="I12" s="5387"/>
      <c r="J12" s="5387"/>
      <c r="K12" s="5387"/>
      <c r="L12" s="5387"/>
      <c r="M12" s="5387"/>
    </row>
    <row customHeight="1" ht="203.25">
      <c r="A13" s="8229"/>
      <c r="B13" s="8229"/>
      <c r="C13" s="2158" t="s">
        <v>684</v>
      </c>
      <c r="D13" s="454" t="s">
        <v>107</v>
      </c>
      <c r="E13" s="455" t="s">
        <v>2030</v>
      </c>
      <c r="F13" s="8229"/>
      <c r="G13" s="8229"/>
      <c r="H13" s="8229"/>
      <c r="I13" s="8229"/>
      <c r="J13" s="8229"/>
      <c r="K13" s="8229"/>
      <c r="L13" s="8229"/>
      <c r="M13" s="8229"/>
    </row>
    <row customHeight="1" ht="166.5">
      <c r="A14" s="8229"/>
      <c r="B14" s="8229"/>
      <c r="C14" s="2158" t="s">
        <v>684</v>
      </c>
      <c r="D14" s="454" t="s">
        <v>90</v>
      </c>
      <c r="E14" s="455" t="s">
        <v>2031</v>
      </c>
      <c r="F14" s="8229"/>
      <c r="G14" s="8229"/>
      <c r="H14" s="8229"/>
      <c r="I14" s="8229"/>
      <c r="J14" s="8229"/>
      <c r="K14" s="8229"/>
      <c r="L14" s="8229"/>
      <c r="M14" s="8229"/>
    </row>
    <row customHeight="1" ht="87">
      <c r="A15" s="8229"/>
      <c r="B15" s="8229"/>
      <c r="C15" s="2158" t="s">
        <v>684</v>
      </c>
      <c r="D15" s="454" t="s">
        <v>91</v>
      </c>
      <c r="E15" s="455" t="s">
        <v>2032</v>
      </c>
      <c r="F15" s="8229"/>
      <c r="G15" s="8229"/>
      <c r="H15" s="8229"/>
      <c r="I15" s="8229"/>
      <c r="J15" s="8229"/>
      <c r="K15" s="8229"/>
      <c r="L15" s="8229"/>
      <c r="M15" s="8229"/>
    </row>
    <row customHeight="1" ht="14.699999999999998">
      <c r="C16" s="433"/>
      <c r="D16" s="450"/>
      <c r="E16" s="448" t="s">
        <v>2026</v>
      </c>
      <c r="M16" s="410">
        <v>14</v>
      </c>
    </row>
    <row customHeight="1" ht="14.25" hidden="1">
      <c r="A17" s="410" t="s">
        <v>82</v>
      </c>
      <c r="B17" s="410">
        <v>0</v>
      </c>
      <c r="C17" s="432">
        <v>3</v>
      </c>
      <c r="D17" s="410">
        <v>6</v>
      </c>
      <c r="E17" s="410">
        <v>94</v>
      </c>
      <c r="F17" s="410">
        <v>8</v>
      </c>
      <c r="G17" s="410">
        <v>8</v>
      </c>
      <c r="H17" s="410">
        <v>8</v>
      </c>
      <c r="I17" s="410">
        <v>8</v>
      </c>
      <c r="J17" s="410">
        <v>8</v>
      </c>
      <c r="K17" s="410">
        <v>8</v>
      </c>
      <c r="L17" s="410">
        <v>8</v>
      </c>
      <c r="M17" s="410">
        <v>14</v>
      </c>
    </row>
  </sheetData>
  <sheetProtection sheet="1" formatColumns="0" formatRows="0" autoFilter="0" sort="1" insertRows="1" insertColumns="1" deleteRows="1" deleteColumns="1"/>
  <mergeCells count="1">
    <mergeCell ref="D7:E7"/>
  </mergeCells>
  <dataValidations count="5">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D728DB-61CD-64AE-A854-6D58F47AAB26}"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7376" width="9.140625" hidden="1"/>
    <col min="3" max="4" style="17376" width="3.00390625" customWidth="1"/>
    <col min="5" max="6" style="17376" width="15.00390625" customWidth="1"/>
    <col min="7" max="7" style="17376" width="11.57421875" customWidth="1"/>
    <col min="8" max="9" style="17376" width="3.00390625" customWidth="1"/>
    <col min="10" max="10" style="17376" width="12.00390625" customWidth="1"/>
    <col min="11" max="11" style="17376" width="0.28125" customWidth="1"/>
    <col min="12" max="13" style="17376" width="10.00390625" customWidth="1"/>
    <col min="14" max="15" style="17376" width="3.00390625" customWidth="1"/>
    <col min="16" max="16" style="17376" width="19.00390625" customWidth="1"/>
    <col min="17" max="17" style="17376" width="0.28125" customWidth="1"/>
    <col min="18" max="19" style="17376" width="10.00390625" customWidth="1"/>
    <col min="20" max="21" style="17376" width="3.00390625" customWidth="1"/>
    <col min="22" max="22" style="17376" width="25.00390625" customWidth="1"/>
    <col min="23" max="23" style="17376" width="0.28125" customWidth="1"/>
    <col min="24" max="25" style="17376" width="10.00390625" customWidth="1"/>
    <col min="26" max="27" style="17376" width="3.00390625" customWidth="1"/>
    <col min="28" max="28" style="17376" width="16.00390625" customWidth="1"/>
    <col min="29" max="29" style="17376" width="0.28125" customWidth="1"/>
    <col min="30" max="31" style="17376" width="10.00390625" customWidth="1"/>
    <col min="32" max="33" style="17376" width="3.00390625" customWidth="1"/>
    <col min="34" max="34" style="17376" width="8.00390625" customWidth="1"/>
    <col min="35" max="35" style="17376" width="21.00390625" customWidth="1"/>
    <col min="36" max="36" style="17376" width="8.00390625" customWidth="1"/>
    <col min="37" max="37" style="17699" width="8.00390625" customWidth="1"/>
    <col min="38" max="64" style="17376" width="8.00390625" customWidth="1"/>
    <col min="65" max="65" style="17376" width="9.140625" hidden="1"/>
  </cols>
  <sheetData>
    <row s="17623" customFormat="1" customHeight="1" ht="11.25" hidden="1">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0" t="s">
        <v>14</v>
      </c>
    </row>
    <row s="17624" customFormat="1" customHeight="1" ht="11.25" hidden="1">
      <c r="L2" s="1894" t="s">
        <v>274</v>
      </c>
      <c r="M2" s="1894" t="s">
        <v>275</v>
      </c>
      <c r="R2" s="1894" t="s">
        <v>276</v>
      </c>
      <c r="S2" s="1894" t="s">
        <v>275</v>
      </c>
      <c r="X2" s="1894" t="s">
        <v>274</v>
      </c>
      <c r="Y2" s="1894" t="s">
        <v>275</v>
      </c>
      <c r="AD2" s="1894" t="s">
        <v>274</v>
      </c>
      <c r="AE2" s="1894" t="s">
        <v>275</v>
      </c>
      <c r="AJ2" s="1916"/>
      <c r="AK2" s="1916"/>
      <c r="AL2" s="1916"/>
      <c r="AM2" s="1916"/>
      <c r="AN2" s="1916"/>
      <c r="AO2" s="1916"/>
      <c r="AP2" s="1916"/>
      <c r="AQ2" s="1916"/>
      <c r="AR2" s="1916"/>
      <c r="AS2" s="1916"/>
      <c r="AT2" s="1916"/>
      <c r="AU2" s="1916"/>
      <c r="AV2" s="1916"/>
      <c r="AW2" s="1916"/>
      <c r="AX2" s="1916"/>
      <c r="AY2" s="1916"/>
      <c r="AZ2" s="1916"/>
      <c r="BA2" s="1916"/>
      <c r="BB2" s="1916"/>
      <c r="BC2" s="1916"/>
      <c r="BD2" s="1916"/>
      <c r="BE2" s="1916"/>
      <c r="BF2" s="1916"/>
      <c r="BG2" s="1916"/>
      <c r="BH2" s="1916"/>
      <c r="BI2" s="1916"/>
      <c r="BJ2" s="1916"/>
      <c r="BK2" s="1916"/>
      <c r="BL2" s="1916"/>
      <c r="BM2" s="1894">
        <v>0</v>
      </c>
    </row>
    <row s="17627" customFormat="1" customHeight="1" ht="11.549999999999999">
      <c r="AJ3" s="1915"/>
      <c r="AK3" s="647"/>
      <c r="AL3" s="1915"/>
      <c r="AM3" s="1915"/>
      <c r="AN3" s="1915"/>
      <c r="AO3" s="1915"/>
      <c r="AP3" s="1915"/>
      <c r="AQ3" s="1915"/>
      <c r="AR3" s="1915"/>
      <c r="AS3" s="1915"/>
      <c r="AT3" s="1915"/>
      <c r="AU3" s="1915"/>
      <c r="AV3" s="1915"/>
      <c r="AW3" s="1915"/>
      <c r="AX3" s="1915"/>
      <c r="AY3" s="1915"/>
      <c r="AZ3" s="1915"/>
      <c r="BA3" s="1915"/>
      <c r="BB3" s="1915"/>
      <c r="BC3" s="1915"/>
      <c r="BD3" s="1915"/>
      <c r="BE3" s="1915"/>
      <c r="BF3" s="1915"/>
      <c r="BG3" s="1915"/>
      <c r="BH3" s="1915"/>
      <c r="BI3" s="1915"/>
      <c r="BJ3" s="1915"/>
      <c r="BK3" s="1915"/>
      <c r="BL3" s="1915"/>
      <c r="BM3" s="1895">
        <v>11</v>
      </c>
    </row>
    <row s="17331" customFormat="1" customHeight="1" ht="34.5">
      <c r="A4" s="1497"/>
      <c r="B4" s="1496"/>
      <c r="C4" s="1856"/>
      <c r="D4" s="2532" t="s">
        <v>277</v>
      </c>
      <c r="E4" s="2532"/>
      <c r="F4" s="2532"/>
      <c r="G4" s="2532"/>
      <c r="H4" s="2532"/>
      <c r="I4" s="2532"/>
      <c r="J4" s="2532"/>
      <c r="K4" s="1040"/>
      <c r="T4" s="1896"/>
      <c r="AJ4" s="1917"/>
      <c r="AK4" s="1918"/>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848">
        <v>33</v>
      </c>
    </row>
    <row s="17331" customFormat="1" customHeight="1" ht="14.699999999999998">
      <c r="A5" s="1973"/>
      <c r="B5" s="1972"/>
      <c r="C5" s="1856"/>
      <c r="D5" s="2517" t="str">
        <f>IF(org=0,"Не определено",org)</f>
        <v>АО "ДГК"</v>
      </c>
      <c r="E5" s="2517"/>
      <c r="F5" s="2517"/>
      <c r="G5" s="2517"/>
      <c r="H5" s="2517"/>
      <c r="I5" s="2517"/>
      <c r="J5" s="2517"/>
      <c r="K5" s="1040"/>
      <c r="T5" s="1896"/>
      <c r="AJ5" s="1917"/>
      <c r="AK5" s="1918"/>
      <c r="AL5" s="1917"/>
      <c r="AM5" s="1917"/>
      <c r="AN5" s="1917"/>
      <c r="AO5" s="1917"/>
      <c r="AP5" s="1917"/>
      <c r="AQ5" s="1917"/>
      <c r="AR5" s="1917"/>
      <c r="AS5" s="1917"/>
      <c r="AT5" s="1917"/>
      <c r="AU5" s="1917"/>
      <c r="AV5" s="1917"/>
      <c r="AW5" s="1917"/>
      <c r="AX5" s="1917"/>
      <c r="AY5" s="1917"/>
      <c r="AZ5" s="1917"/>
      <c r="BA5" s="1917"/>
      <c r="BB5" s="1917"/>
      <c r="BC5" s="1917"/>
      <c r="BD5" s="1917"/>
      <c r="BE5" s="1917"/>
      <c r="BF5" s="1917"/>
      <c r="BG5" s="1917"/>
      <c r="BH5" s="1917"/>
      <c r="BI5" s="1917"/>
      <c r="BJ5" s="1917"/>
      <c r="BK5" s="1917"/>
      <c r="BL5" s="1917"/>
      <c r="BM5" s="1950">
        <v>14</v>
      </c>
    </row>
    <row s="17331" customFormat="1" customHeight="1" ht="14.699999999999998">
      <c r="A6" s="1497"/>
      <c r="B6" s="1496"/>
      <c r="C6" s="1856"/>
      <c r="D6" s="1040"/>
      <c r="E6" s="1040"/>
      <c r="F6" s="1040"/>
      <c r="G6" s="1040"/>
      <c r="H6" s="1040"/>
      <c r="I6" s="1040"/>
      <c r="J6" s="1040"/>
      <c r="K6" s="1040"/>
      <c r="T6" s="1896"/>
      <c r="AJ6" s="1917"/>
      <c r="AK6" s="1918"/>
      <c r="AL6" s="1917"/>
      <c r="AM6" s="1917"/>
      <c r="AN6" s="1917"/>
      <c r="AO6" s="1917"/>
      <c r="AP6" s="1917"/>
      <c r="AQ6" s="1917"/>
      <c r="AR6" s="1917"/>
      <c r="AS6" s="1917"/>
      <c r="AT6" s="1917"/>
      <c r="AU6" s="1917"/>
      <c r="AV6" s="1917"/>
      <c r="AW6" s="1917"/>
      <c r="AX6" s="1917"/>
      <c r="AY6" s="1917"/>
      <c r="AZ6" s="1917"/>
      <c r="BA6" s="1917"/>
      <c r="BB6" s="1917"/>
      <c r="BC6" s="1917"/>
      <c r="BD6" s="1917"/>
      <c r="BE6" s="1917"/>
      <c r="BF6" s="1917"/>
      <c r="BG6" s="1917"/>
      <c r="BH6" s="1917"/>
      <c r="BI6" s="1917"/>
      <c r="BJ6" s="1917"/>
      <c r="BK6" s="1917"/>
      <c r="BL6" s="1917"/>
      <c r="BM6" s="848">
        <v>14</v>
      </c>
    </row>
    <row s="17623" customFormat="1" customHeight="1" ht="1.05">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0">
        <v>1</v>
      </c>
    </row>
    <row customHeight="1" ht="33.75">
      <c r="D8" s="2468" t="s">
        <v>88</v>
      </c>
      <c r="E8" s="2468" t="s">
        <v>102</v>
      </c>
      <c r="F8" s="2533" t="s">
        <v>119</v>
      </c>
      <c r="G8" s="2534"/>
      <c r="H8" s="2533" t="s">
        <v>88</v>
      </c>
      <c r="I8" s="2534"/>
      <c r="J8" s="2468" t="s">
        <v>120</v>
      </c>
      <c r="K8" s="1897"/>
      <c r="L8" s="2537" t="s">
        <v>278</v>
      </c>
      <c r="M8" s="2537"/>
      <c r="N8" s="2537"/>
      <c r="O8" s="2537"/>
      <c r="P8" s="2537"/>
      <c r="Q8" s="1898"/>
      <c r="R8" s="2437" t="s">
        <v>279</v>
      </c>
      <c r="S8" s="2538"/>
      <c r="T8" s="2538"/>
      <c r="U8" s="2538"/>
      <c r="V8" s="2538"/>
      <c r="W8" s="1898"/>
      <c r="X8" s="2539" t="s">
        <v>280</v>
      </c>
      <c r="Y8" s="2539"/>
      <c r="Z8" s="2539"/>
      <c r="AA8" s="2539"/>
      <c r="AB8" s="2539"/>
      <c r="AC8" s="1899"/>
      <c r="AD8" s="2468" t="s">
        <v>281</v>
      </c>
      <c r="AE8" s="2468"/>
      <c r="AF8" s="2468"/>
      <c r="AG8" s="2468"/>
      <c r="AH8" s="2442"/>
      <c r="AI8" s="2468" t="s">
        <v>282</v>
      </c>
      <c r="AJ8" s="1915"/>
      <c r="BM8" s="634">
        <v>32</v>
      </c>
    </row>
    <row customHeight="1" ht="23.25">
      <c r="D9" s="2468"/>
      <c r="E9" s="2468"/>
      <c r="F9" s="2516" t="s">
        <v>89</v>
      </c>
      <c r="G9" s="2516" t="s">
        <v>125</v>
      </c>
      <c r="H9" s="2535"/>
      <c r="I9" s="2536"/>
      <c r="J9" s="2442"/>
      <c r="K9" s="1900"/>
      <c r="L9" s="2468" t="s">
        <v>283</v>
      </c>
      <c r="M9" s="2442"/>
      <c r="N9" s="2533" t="s">
        <v>88</v>
      </c>
      <c r="O9" s="2534"/>
      <c r="P9" s="2468" t="s">
        <v>126</v>
      </c>
      <c r="Q9" s="1897"/>
      <c r="R9" s="2468" t="s">
        <v>283</v>
      </c>
      <c r="S9" s="2442"/>
      <c r="T9" s="2533" t="s">
        <v>88</v>
      </c>
      <c r="U9" s="2534"/>
      <c r="V9" s="2468" t="s">
        <v>126</v>
      </c>
      <c r="W9" s="1897"/>
      <c r="X9" s="2468" t="s">
        <v>283</v>
      </c>
      <c r="Y9" s="2442"/>
      <c r="Z9" s="2533" t="s">
        <v>88</v>
      </c>
      <c r="AA9" s="2534"/>
      <c r="AB9" s="2468" t="s">
        <v>284</v>
      </c>
      <c r="AC9" s="1897"/>
      <c r="AD9" s="2468" t="s">
        <v>283</v>
      </c>
      <c r="AE9" s="2442"/>
      <c r="AF9" s="2533" t="s">
        <v>88</v>
      </c>
      <c r="AG9" s="2534"/>
      <c r="AH9" s="2442" t="s">
        <v>284</v>
      </c>
      <c r="AI9" s="2468"/>
      <c r="AJ9" s="1915"/>
      <c r="BM9" s="634">
        <v>22</v>
      </c>
    </row>
    <row customHeight="1" ht="24">
      <c r="D10" s="2516"/>
      <c r="E10" s="2516"/>
      <c r="F10" s="2540"/>
      <c r="G10" s="2540"/>
      <c r="H10" s="2541"/>
      <c r="I10" s="2542"/>
      <c r="J10" s="2533"/>
      <c r="K10" s="1900"/>
      <c r="L10" s="1919" t="s">
        <v>285</v>
      </c>
      <c r="M10" s="1914" t="s">
        <v>286</v>
      </c>
      <c r="N10" s="2535"/>
      <c r="O10" s="2536"/>
      <c r="P10" s="2516"/>
      <c r="Q10" s="1897"/>
      <c r="R10" s="1919" t="s">
        <v>285</v>
      </c>
      <c r="S10" s="1914" t="s">
        <v>286</v>
      </c>
      <c r="T10" s="2535"/>
      <c r="U10" s="2536"/>
      <c r="V10" s="2516"/>
      <c r="W10" s="1897"/>
      <c r="X10" s="1919" t="s">
        <v>285</v>
      </c>
      <c r="Y10" s="1914" t="s">
        <v>286</v>
      </c>
      <c r="Z10" s="2535"/>
      <c r="AA10" s="2536"/>
      <c r="AB10" s="2516"/>
      <c r="AC10" s="1897"/>
      <c r="AD10" s="1919" t="s">
        <v>285</v>
      </c>
      <c r="AE10" s="1914" t="s">
        <v>286</v>
      </c>
      <c r="AF10" s="2535"/>
      <c r="AG10" s="2536"/>
      <c r="AH10" s="2533"/>
      <c r="AI10" s="2516"/>
      <c r="AJ10" s="1915"/>
      <c r="AK10" s="595" t="s">
        <v>287</v>
      </c>
      <c r="AL10" s="595" t="s">
        <v>127</v>
      </c>
      <c r="BM10" s="634">
        <v>23</v>
      </c>
    </row>
    <row customHeight="1" ht="15">
      <c r="D11" s="2524" t="s">
        <v>106</v>
      </c>
      <c r="E11" s="2520" t="s">
        <v>288</v>
      </c>
      <c r="F11" s="2520" t="s">
        <v>289</v>
      </c>
      <c r="G11" s="2526" t="s">
        <v>19</v>
      </c>
      <c r="H11" s="1940"/>
      <c r="I11" s="2522"/>
      <c r="J11" s="2493"/>
      <c r="K11" s="1855"/>
      <c r="L11" s="2478"/>
      <c r="M11" s="2478"/>
      <c r="N11" s="1925"/>
      <c r="O11" s="2478"/>
      <c r="P11" s="2493"/>
      <c r="Q11" s="1926"/>
      <c r="R11" s="2478"/>
      <c r="S11" s="2478"/>
      <c r="T11" s="1927"/>
      <c r="U11" s="2478"/>
      <c r="V11" s="2493"/>
      <c r="W11" s="1928"/>
      <c r="X11" s="2478"/>
      <c r="Y11" s="2478"/>
      <c r="Z11" s="1925"/>
      <c r="AA11" s="2478"/>
      <c r="AB11" s="2493"/>
      <c r="AC11" s="1929"/>
      <c r="AD11" s="2478"/>
      <c r="AE11" s="2478"/>
      <c r="AF11" s="1854"/>
      <c r="AG11" s="1854"/>
      <c r="AH11" s="1930"/>
      <c r="AI11" s="1637"/>
      <c r="AJ11" s="1915"/>
      <c r="BM11" s="634">
        <v>14</v>
      </c>
    </row>
    <row customHeight="1" ht="14.699999999999998">
      <c r="D12" s="2524"/>
      <c r="E12" s="2520"/>
      <c r="F12" s="2520"/>
      <c r="G12" s="2527"/>
      <c r="H12" s="1941"/>
      <c r="I12" s="2523"/>
      <c r="J12" s="2494"/>
      <c r="K12" s="1951"/>
      <c r="L12" s="2479"/>
      <c r="M12" s="2479"/>
      <c r="N12" s="1931"/>
      <c r="O12" s="2479"/>
      <c r="P12" s="2494"/>
      <c r="Q12" s="1932"/>
      <c r="R12" s="2479"/>
      <c r="S12" s="2479"/>
      <c r="T12" s="1933"/>
      <c r="U12" s="2479"/>
      <c r="V12" s="2494"/>
      <c r="W12" s="1934"/>
      <c r="X12" s="2479"/>
      <c r="Y12" s="2479"/>
      <c r="Z12" s="1931"/>
      <c r="AA12" s="2479"/>
      <c r="AB12" s="2494"/>
      <c r="AC12" s="1935"/>
      <c r="AD12" s="2479"/>
      <c r="AE12" s="2479"/>
      <c r="AF12" s="1936"/>
      <c r="AG12" s="1936"/>
      <c r="AH12" s="2518"/>
      <c r="AI12" s="2519"/>
      <c r="AJ12" s="1915"/>
      <c r="BM12" s="634">
        <v>14</v>
      </c>
    </row>
    <row customHeight="1" ht="14.699999999999998">
      <c r="D13" s="2524"/>
      <c r="E13" s="2520"/>
      <c r="F13" s="2520"/>
      <c r="G13" s="2527"/>
      <c r="H13" s="1941"/>
      <c r="I13" s="2523"/>
      <c r="J13" s="2494"/>
      <c r="K13" s="1951"/>
      <c r="L13" s="2479"/>
      <c r="M13" s="2479"/>
      <c r="N13" s="1931"/>
      <c r="O13" s="2479"/>
      <c r="P13" s="2494"/>
      <c r="Q13" s="1932"/>
      <c r="R13" s="2479"/>
      <c r="S13" s="2479"/>
      <c r="T13" s="1933"/>
      <c r="U13" s="2479"/>
      <c r="V13" s="2494"/>
      <c r="W13" s="1934"/>
      <c r="X13" s="2479"/>
      <c r="Y13" s="2479"/>
      <c r="Z13" s="1853"/>
      <c r="AA13" s="1936"/>
      <c r="AB13" s="2518"/>
      <c r="AC13" s="2518"/>
      <c r="AD13" s="2518"/>
      <c r="AE13" s="2518"/>
      <c r="AF13" s="2518"/>
      <c r="AG13" s="2518"/>
      <c r="AH13" s="2518"/>
      <c r="AI13" s="2519"/>
      <c r="AJ13" s="1915"/>
      <c r="BM13" s="634">
        <v>14</v>
      </c>
    </row>
    <row customHeight="1" ht="14.699999999999998">
      <c r="D14" s="2524"/>
      <c r="E14" s="2520"/>
      <c r="F14" s="2520"/>
      <c r="G14" s="2527"/>
      <c r="H14" s="1941"/>
      <c r="I14" s="2523"/>
      <c r="J14" s="2494"/>
      <c r="K14" s="1951"/>
      <c r="L14" s="2479"/>
      <c r="M14" s="2479"/>
      <c r="N14" s="1931"/>
      <c r="O14" s="2479"/>
      <c r="P14" s="2494"/>
      <c r="Q14" s="1932"/>
      <c r="R14" s="2479"/>
      <c r="S14" s="2479"/>
      <c r="T14" s="1937"/>
      <c r="U14" s="1938"/>
      <c r="V14" s="2518"/>
      <c r="W14" s="2518"/>
      <c r="X14" s="2518"/>
      <c r="Y14" s="2518"/>
      <c r="Z14" s="2518"/>
      <c r="AA14" s="2518"/>
      <c r="AB14" s="2518"/>
      <c r="AC14" s="2518"/>
      <c r="AD14" s="2518"/>
      <c r="AE14" s="2518"/>
      <c r="AF14" s="2518"/>
      <c r="AG14" s="2518"/>
      <c r="AH14" s="2518"/>
      <c r="AI14" s="2519"/>
      <c r="AJ14" s="1915"/>
      <c r="BM14" s="634">
        <v>14</v>
      </c>
    </row>
    <row customHeight="1" ht="11.549999999999999">
      <c r="D15" s="2524"/>
      <c r="E15" s="2520"/>
      <c r="F15" s="2520"/>
      <c r="G15" s="2527"/>
      <c r="H15" s="1942"/>
      <c r="I15" s="2523"/>
      <c r="J15" s="2494"/>
      <c r="K15" s="1951"/>
      <c r="L15" s="2479"/>
      <c r="M15" s="2479"/>
      <c r="N15" s="1936"/>
      <c r="O15" s="1936"/>
      <c r="P15" s="2518"/>
      <c r="Q15" s="2518"/>
      <c r="R15" s="2518"/>
      <c r="S15" s="2518"/>
      <c r="T15" s="2518"/>
      <c r="U15" s="2518"/>
      <c r="V15" s="2518"/>
      <c r="W15" s="2518"/>
      <c r="X15" s="2518"/>
      <c r="Y15" s="2518"/>
      <c r="Z15" s="2518"/>
      <c r="AA15" s="2518"/>
      <c r="AB15" s="2518"/>
      <c r="AC15" s="2518"/>
      <c r="AD15" s="2518"/>
      <c r="AE15" s="2518"/>
      <c r="AF15" s="2518"/>
      <c r="AG15" s="2518"/>
      <c r="AH15" s="2518"/>
      <c r="AI15" s="2519"/>
      <c r="AJ15" s="1915"/>
      <c r="BM15" s="634">
        <v>11</v>
      </c>
    </row>
    <row s="17627" customFormat="1" customHeight="1" ht="11.549999999999999">
      <c r="D16" s="2530"/>
      <c r="E16" s="2531"/>
      <c r="F16" s="2521"/>
      <c r="G16" s="2453"/>
      <c r="H16" s="1939"/>
      <c r="I16" s="1943"/>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9"/>
      <c r="AJ16" s="1915"/>
      <c r="AK16" s="647"/>
      <c r="AL16" s="1915"/>
      <c r="AM16" s="1915"/>
      <c r="AN16" s="1915"/>
      <c r="AO16" s="1915"/>
      <c r="AP16" s="1915"/>
      <c r="AQ16" s="1915"/>
      <c r="AR16" s="1915"/>
      <c r="AS16" s="1915"/>
      <c r="AT16" s="1915"/>
      <c r="AU16" s="1915"/>
      <c r="AV16" s="1915"/>
      <c r="AW16" s="1915"/>
      <c r="AX16" s="1915"/>
      <c r="AY16" s="1915"/>
      <c r="AZ16" s="1915"/>
      <c r="BA16" s="1915"/>
      <c r="BB16" s="1915"/>
      <c r="BC16" s="1915"/>
      <c r="BD16" s="1915"/>
      <c r="BE16" s="1915"/>
      <c r="BF16" s="1915"/>
      <c r="BG16" s="1915"/>
      <c r="BH16" s="1915"/>
      <c r="BI16" s="1915"/>
      <c r="BJ16" s="1915"/>
      <c r="BK16" s="1915"/>
      <c r="BL16" s="1915"/>
      <c r="BM16" s="1895">
        <v>11</v>
      </c>
    </row>
    <row customHeight="1" ht="15">
      <c r="D17" s="2524" t="s">
        <v>107</v>
      </c>
      <c r="E17" s="2520" t="s">
        <v>288</v>
      </c>
      <c r="F17" s="2520" t="s">
        <v>290</v>
      </c>
      <c r="G17" s="2526" t="s">
        <v>19</v>
      </c>
      <c r="H17" s="1940"/>
      <c r="I17" s="2522"/>
      <c r="J17" s="2493"/>
      <c r="K17" s="1855"/>
      <c r="L17" s="2478"/>
      <c r="M17" s="2478"/>
      <c r="N17" s="1925"/>
      <c r="O17" s="2478"/>
      <c r="P17" s="2493"/>
      <c r="Q17" s="1926"/>
      <c r="R17" s="2478"/>
      <c r="S17" s="2478"/>
      <c r="T17" s="1927"/>
      <c r="U17" s="2478"/>
      <c r="V17" s="2493"/>
      <c r="W17" s="1928"/>
      <c r="X17" s="2478"/>
      <c r="Y17" s="2478"/>
      <c r="Z17" s="1925"/>
      <c r="AA17" s="2478"/>
      <c r="AB17" s="2493"/>
      <c r="AC17" s="1929"/>
      <c r="AD17" s="2478"/>
      <c r="AE17" s="2478"/>
      <c r="AF17" s="1854"/>
      <c r="AG17" s="1854"/>
      <c r="AH17" s="1930"/>
      <c r="AI17" s="1637"/>
      <c r="AJ17" s="1915"/>
      <c r="BM17" s="634">
        <v>14</v>
      </c>
    </row>
    <row customHeight="1" ht="14.699999999999998">
      <c r="D18" s="2524"/>
      <c r="E18" s="2520"/>
      <c r="F18" s="2520"/>
      <c r="G18" s="2527"/>
      <c r="H18" s="1941"/>
      <c r="I18" s="2523"/>
      <c r="J18" s="2494"/>
      <c r="K18" s="1924"/>
      <c r="L18" s="2479"/>
      <c r="M18" s="2479"/>
      <c r="N18" s="1931"/>
      <c r="O18" s="2479"/>
      <c r="P18" s="2494"/>
      <c r="Q18" s="1932"/>
      <c r="R18" s="2479"/>
      <c r="S18" s="2479"/>
      <c r="T18" s="1933"/>
      <c r="U18" s="2479"/>
      <c r="V18" s="2494"/>
      <c r="W18" s="1934"/>
      <c r="X18" s="2479"/>
      <c r="Y18" s="2479"/>
      <c r="Z18" s="1931"/>
      <c r="AA18" s="2479"/>
      <c r="AB18" s="2494"/>
      <c r="AC18" s="1935"/>
      <c r="AD18" s="2479"/>
      <c r="AE18" s="2479"/>
      <c r="AF18" s="1936"/>
      <c r="AG18" s="1936"/>
      <c r="AH18" s="2518"/>
      <c r="AI18" s="2519"/>
      <c r="AJ18" s="1915"/>
      <c r="BM18" s="634">
        <v>14</v>
      </c>
    </row>
    <row customHeight="1" ht="14.699999999999998">
      <c r="D19" s="2524"/>
      <c r="E19" s="2520"/>
      <c r="F19" s="2520"/>
      <c r="G19" s="2527"/>
      <c r="H19" s="1941"/>
      <c r="I19" s="2523"/>
      <c r="J19" s="2494"/>
      <c r="K19" s="1924"/>
      <c r="L19" s="2479"/>
      <c r="M19" s="2479"/>
      <c r="N19" s="1931"/>
      <c r="O19" s="2479"/>
      <c r="P19" s="2494"/>
      <c r="Q19" s="1932"/>
      <c r="R19" s="2479"/>
      <c r="S19" s="2479"/>
      <c r="T19" s="1933"/>
      <c r="U19" s="2479"/>
      <c r="V19" s="2494"/>
      <c r="W19" s="1934"/>
      <c r="X19" s="2479"/>
      <c r="Y19" s="2479"/>
      <c r="Z19" s="1853"/>
      <c r="AA19" s="1936"/>
      <c r="AB19" s="2518"/>
      <c r="AC19" s="2518"/>
      <c r="AD19" s="2518"/>
      <c r="AE19" s="2518"/>
      <c r="AF19" s="2518"/>
      <c r="AG19" s="2518"/>
      <c r="AH19" s="2518"/>
      <c r="AI19" s="2519"/>
      <c r="AJ19" s="1915"/>
      <c r="BM19" s="634">
        <v>14</v>
      </c>
    </row>
    <row customHeight="1" ht="14.699999999999998">
      <c r="D20" s="2524"/>
      <c r="E20" s="2520"/>
      <c r="F20" s="2520"/>
      <c r="G20" s="2527"/>
      <c r="H20" s="1941"/>
      <c r="I20" s="2523"/>
      <c r="J20" s="2494"/>
      <c r="K20" s="1924"/>
      <c r="L20" s="2479"/>
      <c r="M20" s="2479"/>
      <c r="N20" s="1931"/>
      <c r="O20" s="2479"/>
      <c r="P20" s="2494"/>
      <c r="Q20" s="1932"/>
      <c r="R20" s="2479"/>
      <c r="S20" s="2479"/>
      <c r="T20" s="1937"/>
      <c r="U20" s="1938"/>
      <c r="V20" s="2518"/>
      <c r="W20" s="2518"/>
      <c r="X20" s="2518"/>
      <c r="Y20" s="2518"/>
      <c r="Z20" s="2518"/>
      <c r="AA20" s="2518"/>
      <c r="AB20" s="2518"/>
      <c r="AC20" s="2518"/>
      <c r="AD20" s="2518"/>
      <c r="AE20" s="2518"/>
      <c r="AF20" s="2518"/>
      <c r="AG20" s="2518"/>
      <c r="AH20" s="2518"/>
      <c r="AI20" s="2519"/>
      <c r="AJ20" s="1915"/>
      <c r="BM20" s="634">
        <v>14</v>
      </c>
    </row>
    <row customHeight="1" ht="11.549999999999999">
      <c r="D21" s="2524"/>
      <c r="E21" s="2520"/>
      <c r="F21" s="2520"/>
      <c r="G21" s="2527"/>
      <c r="H21" s="1942"/>
      <c r="I21" s="2523"/>
      <c r="J21" s="2494"/>
      <c r="K21" s="1924"/>
      <c r="L21" s="2479"/>
      <c r="M21" s="2479"/>
      <c r="N21" s="1936"/>
      <c r="O21" s="1936"/>
      <c r="P21" s="2518"/>
      <c r="Q21" s="2518"/>
      <c r="R21" s="2518"/>
      <c r="S21" s="2518"/>
      <c r="T21" s="2518"/>
      <c r="U21" s="2518"/>
      <c r="V21" s="2518"/>
      <c r="W21" s="2518"/>
      <c r="X21" s="2518"/>
      <c r="Y21" s="2518"/>
      <c r="Z21" s="2518"/>
      <c r="AA21" s="2518"/>
      <c r="AB21" s="2518"/>
      <c r="AC21" s="2518"/>
      <c r="AD21" s="2518"/>
      <c r="AE21" s="2518"/>
      <c r="AF21" s="2518"/>
      <c r="AG21" s="2518"/>
      <c r="AH21" s="2518"/>
      <c r="AI21" s="2519"/>
      <c r="AJ21" s="1915"/>
      <c r="BM21" s="634">
        <v>11</v>
      </c>
    </row>
    <row s="17627" customFormat="1" customHeight="1" ht="11.549999999999999">
      <c r="D22" s="2530"/>
      <c r="E22" s="2531"/>
      <c r="F22" s="2521"/>
      <c r="G22" s="2453"/>
      <c r="H22" s="1939"/>
      <c r="I22" s="1943"/>
      <c r="J22" s="2528"/>
      <c r="K22" s="2528"/>
      <c r="L22" s="2528"/>
      <c r="M22" s="2528"/>
      <c r="N22" s="2528"/>
      <c r="O22" s="2528"/>
      <c r="P22" s="2528"/>
      <c r="Q22" s="2528"/>
      <c r="R22" s="2528"/>
      <c r="S22" s="2528"/>
      <c r="T22" s="2528"/>
      <c r="U22" s="2528"/>
      <c r="V22" s="2528"/>
      <c r="W22" s="2528"/>
      <c r="X22" s="2528"/>
      <c r="Y22" s="2528"/>
      <c r="Z22" s="2528"/>
      <c r="AA22" s="2528"/>
      <c r="AB22" s="2528"/>
      <c r="AC22" s="2528"/>
      <c r="AD22" s="2528"/>
      <c r="AE22" s="2528"/>
      <c r="AF22" s="2528"/>
      <c r="AG22" s="2528"/>
      <c r="AH22" s="2528"/>
      <c r="AI22" s="2529"/>
      <c r="AJ22" s="1915"/>
      <c r="AK22" s="647"/>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915"/>
      <c r="BJ22" s="1915"/>
      <c r="BK22" s="1915"/>
      <c r="BL22" s="1915"/>
      <c r="BM22" s="1895">
        <v>11</v>
      </c>
    </row>
    <row customHeight="1" ht="15">
      <c r="D23" s="2524" t="s">
        <v>90</v>
      </c>
      <c r="E23" s="2520" t="s">
        <v>288</v>
      </c>
      <c r="F23" s="2520" t="s">
        <v>291</v>
      </c>
      <c r="G23" s="2526" t="s">
        <v>19</v>
      </c>
      <c r="H23" s="1940"/>
      <c r="I23" s="2522"/>
      <c r="J23" s="2493"/>
      <c r="K23" s="1855"/>
      <c r="L23" s="2478"/>
      <c r="M23" s="2478"/>
      <c r="N23" s="1925"/>
      <c r="O23" s="2478"/>
      <c r="P23" s="2493"/>
      <c r="Q23" s="1926"/>
      <c r="R23" s="2478"/>
      <c r="S23" s="2478"/>
      <c r="T23" s="1927"/>
      <c r="U23" s="2478"/>
      <c r="V23" s="2493"/>
      <c r="W23" s="1928"/>
      <c r="X23" s="2478"/>
      <c r="Y23" s="2478"/>
      <c r="Z23" s="1925"/>
      <c r="AA23" s="2478"/>
      <c r="AB23" s="2493"/>
      <c r="AC23" s="1929"/>
      <c r="AD23" s="2478"/>
      <c r="AE23" s="2478"/>
      <c r="AF23" s="1854"/>
      <c r="AG23" s="1854"/>
      <c r="AH23" s="1930"/>
      <c r="AI23" s="1637"/>
      <c r="AJ23" s="1915"/>
      <c r="AK23" s="647" t="s">
        <v>98</v>
      </c>
      <c r="BM23" s="634">
        <v>14</v>
      </c>
    </row>
    <row customHeight="1" ht="14.699999999999998">
      <c r="D24" s="2524"/>
      <c r="E24" s="2520"/>
      <c r="F24" s="2520"/>
      <c r="G24" s="2527"/>
      <c r="H24" s="1941"/>
      <c r="I24" s="2523"/>
      <c r="J24" s="2494"/>
      <c r="K24" s="1951"/>
      <c r="L24" s="2479"/>
      <c r="M24" s="2479"/>
      <c r="N24" s="1931"/>
      <c r="O24" s="2479"/>
      <c r="P24" s="2494"/>
      <c r="Q24" s="1932"/>
      <c r="R24" s="2479"/>
      <c r="S24" s="2479"/>
      <c r="T24" s="1933"/>
      <c r="U24" s="2479"/>
      <c r="V24" s="2494"/>
      <c r="W24" s="1934"/>
      <c r="X24" s="2479"/>
      <c r="Y24" s="2479"/>
      <c r="Z24" s="1931"/>
      <c r="AA24" s="2479"/>
      <c r="AB24" s="2494"/>
      <c r="AC24" s="1935"/>
      <c r="AD24" s="2479"/>
      <c r="AE24" s="2479"/>
      <c r="AF24" s="1936"/>
      <c r="AG24" s="1936"/>
      <c r="AH24" s="2518"/>
      <c r="AI24" s="2519"/>
      <c r="AJ24" s="1915"/>
      <c r="BM24" s="634">
        <v>14</v>
      </c>
    </row>
    <row customHeight="1" ht="14.699999999999998">
      <c r="D25" s="2524"/>
      <c r="E25" s="2520"/>
      <c r="F25" s="2520"/>
      <c r="G25" s="2527"/>
      <c r="H25" s="1941"/>
      <c r="I25" s="2523"/>
      <c r="J25" s="2494"/>
      <c r="K25" s="1951"/>
      <c r="L25" s="2479"/>
      <c r="M25" s="2479"/>
      <c r="N25" s="1931"/>
      <c r="O25" s="2479"/>
      <c r="P25" s="2494"/>
      <c r="Q25" s="1932"/>
      <c r="R25" s="2479"/>
      <c r="S25" s="2479"/>
      <c r="T25" s="1933"/>
      <c r="U25" s="2479"/>
      <c r="V25" s="2494"/>
      <c r="W25" s="1934"/>
      <c r="X25" s="2479"/>
      <c r="Y25" s="2479"/>
      <c r="Z25" s="1853"/>
      <c r="AA25" s="1936"/>
      <c r="AB25" s="2518"/>
      <c r="AC25" s="2518"/>
      <c r="AD25" s="2518"/>
      <c r="AE25" s="2518"/>
      <c r="AF25" s="2518"/>
      <c r="AG25" s="2518"/>
      <c r="AH25" s="2518"/>
      <c r="AI25" s="2519"/>
      <c r="AJ25" s="1915"/>
      <c r="BM25" s="634">
        <v>14</v>
      </c>
    </row>
    <row customHeight="1" ht="14.699999999999998">
      <c r="D26" s="2524"/>
      <c r="E26" s="2520"/>
      <c r="F26" s="2520"/>
      <c r="G26" s="2527"/>
      <c r="H26" s="1941"/>
      <c r="I26" s="2523"/>
      <c r="J26" s="2494"/>
      <c r="K26" s="1951"/>
      <c r="L26" s="2479"/>
      <c r="M26" s="2479"/>
      <c r="N26" s="1931"/>
      <c r="O26" s="2479"/>
      <c r="P26" s="2494"/>
      <c r="Q26" s="1932"/>
      <c r="R26" s="2479"/>
      <c r="S26" s="2479"/>
      <c r="T26" s="1937"/>
      <c r="U26" s="1938"/>
      <c r="V26" s="2518"/>
      <c r="W26" s="2518"/>
      <c r="X26" s="2518"/>
      <c r="Y26" s="2518"/>
      <c r="Z26" s="2518"/>
      <c r="AA26" s="2518"/>
      <c r="AB26" s="2518"/>
      <c r="AC26" s="2518"/>
      <c r="AD26" s="2518"/>
      <c r="AE26" s="2518"/>
      <c r="AF26" s="2518"/>
      <c r="AG26" s="2518"/>
      <c r="AH26" s="2518"/>
      <c r="AI26" s="2519"/>
      <c r="AJ26" s="1915"/>
      <c r="BM26" s="634">
        <v>14</v>
      </c>
    </row>
    <row customHeight="1" ht="11.549999999999999">
      <c r="D27" s="2524"/>
      <c r="E27" s="2520"/>
      <c r="F27" s="2520"/>
      <c r="G27" s="2527"/>
      <c r="H27" s="1942"/>
      <c r="I27" s="2523"/>
      <c r="J27" s="2494"/>
      <c r="K27" s="1951"/>
      <c r="L27" s="2479"/>
      <c r="M27" s="2479"/>
      <c r="N27" s="1936"/>
      <c r="O27" s="1936"/>
      <c r="P27" s="2518"/>
      <c r="Q27" s="2518"/>
      <c r="R27" s="2518"/>
      <c r="S27" s="2518"/>
      <c r="T27" s="2518"/>
      <c r="U27" s="2518"/>
      <c r="V27" s="2518"/>
      <c r="W27" s="2518"/>
      <c r="X27" s="2518"/>
      <c r="Y27" s="2518"/>
      <c r="Z27" s="2518"/>
      <c r="AA27" s="2518"/>
      <c r="AB27" s="2518"/>
      <c r="AC27" s="2518"/>
      <c r="AD27" s="2518"/>
      <c r="AE27" s="2518"/>
      <c r="AF27" s="2518"/>
      <c r="AG27" s="2518"/>
      <c r="AH27" s="2518"/>
      <c r="AI27" s="2519"/>
      <c r="AJ27" s="1915"/>
      <c r="BM27" s="634">
        <v>11</v>
      </c>
    </row>
    <row s="17627" customFormat="1" customHeight="1" ht="11.549999999999999">
      <c r="D28" s="2530"/>
      <c r="E28" s="2531"/>
      <c r="F28" s="2521"/>
      <c r="G28" s="2453"/>
      <c r="H28" s="1939"/>
      <c r="I28" s="1943"/>
      <c r="J28" s="2528"/>
      <c r="K28" s="2528"/>
      <c r="L28" s="2528"/>
      <c r="M28" s="2528"/>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9"/>
      <c r="AJ28" s="1915"/>
      <c r="AK28" s="647"/>
      <c r="AL28" s="1915"/>
      <c r="AM28" s="1915"/>
      <c r="AN28" s="1915"/>
      <c r="AO28" s="1915"/>
      <c r="AP28" s="1915"/>
      <c r="AQ28" s="1915"/>
      <c r="AR28" s="1915"/>
      <c r="AS28" s="1915"/>
      <c r="AT28" s="1915"/>
      <c r="AU28" s="1915"/>
      <c r="AV28" s="1915"/>
      <c r="AW28" s="1915"/>
      <c r="AX28" s="1915"/>
      <c r="AY28" s="1915"/>
      <c r="AZ28" s="1915"/>
      <c r="BA28" s="1915"/>
      <c r="BB28" s="1915"/>
      <c r="BC28" s="1915"/>
      <c r="BD28" s="1915"/>
      <c r="BE28" s="1915"/>
      <c r="BF28" s="1915"/>
      <c r="BG28" s="1915"/>
      <c r="BH28" s="1915"/>
      <c r="BI28" s="1915"/>
      <c r="BJ28" s="1915"/>
      <c r="BK28" s="1915"/>
      <c r="BL28" s="1915"/>
      <c r="BM28" s="1895">
        <v>11</v>
      </c>
    </row>
    <row customHeight="1" ht="15">
      <c r="D29" s="2524" t="s">
        <v>91</v>
      </c>
      <c r="E29" s="2520" t="s">
        <v>288</v>
      </c>
      <c r="F29" s="2520" t="s">
        <v>292</v>
      </c>
      <c r="G29" s="2526" t="s">
        <v>19</v>
      </c>
      <c r="H29" s="1940"/>
      <c r="I29" s="2522"/>
      <c r="J29" s="2493"/>
      <c r="K29" s="1855"/>
      <c r="L29" s="2478"/>
      <c r="M29" s="2478"/>
      <c r="N29" s="1925"/>
      <c r="O29" s="2478"/>
      <c r="P29" s="2493"/>
      <c r="Q29" s="1926"/>
      <c r="R29" s="2478"/>
      <c r="S29" s="2478"/>
      <c r="T29" s="1927"/>
      <c r="U29" s="2478"/>
      <c r="V29" s="2493"/>
      <c r="W29" s="1928"/>
      <c r="X29" s="2478"/>
      <c r="Y29" s="2478"/>
      <c r="Z29" s="1925"/>
      <c r="AA29" s="2478"/>
      <c r="AB29" s="2493"/>
      <c r="AC29" s="1929"/>
      <c r="AD29" s="2478"/>
      <c r="AE29" s="2478"/>
      <c r="AF29" s="1854"/>
      <c r="AG29" s="1854"/>
      <c r="AH29" s="1930"/>
      <c r="AI29" s="1637"/>
      <c r="AJ29" s="1915"/>
      <c r="BM29" s="634">
        <v>14</v>
      </c>
    </row>
    <row customHeight="1" ht="14.699999999999998">
      <c r="D30" s="2524"/>
      <c r="E30" s="2520"/>
      <c r="F30" s="2520"/>
      <c r="G30" s="2527"/>
      <c r="H30" s="1941"/>
      <c r="I30" s="2523"/>
      <c r="J30" s="2494"/>
      <c r="K30" s="1924"/>
      <c r="L30" s="2479"/>
      <c r="M30" s="2479"/>
      <c r="N30" s="1931"/>
      <c r="O30" s="2479"/>
      <c r="P30" s="2494"/>
      <c r="Q30" s="1932"/>
      <c r="R30" s="2479"/>
      <c r="S30" s="2479"/>
      <c r="T30" s="1933"/>
      <c r="U30" s="2479"/>
      <c r="V30" s="2494"/>
      <c r="W30" s="1934"/>
      <c r="X30" s="2479"/>
      <c r="Y30" s="2479"/>
      <c r="Z30" s="1931"/>
      <c r="AA30" s="2479"/>
      <c r="AB30" s="2494"/>
      <c r="AC30" s="1935"/>
      <c r="AD30" s="2479"/>
      <c r="AE30" s="2479"/>
      <c r="AF30" s="1936"/>
      <c r="AG30" s="1936"/>
      <c r="AH30" s="2518"/>
      <c r="AI30" s="2519"/>
      <c r="AJ30" s="1915"/>
      <c r="BM30" s="634">
        <v>14</v>
      </c>
    </row>
    <row customHeight="1" ht="14.699999999999998">
      <c r="D31" s="2524"/>
      <c r="E31" s="2520"/>
      <c r="F31" s="2520"/>
      <c r="G31" s="2527"/>
      <c r="H31" s="1941"/>
      <c r="I31" s="2523"/>
      <c r="J31" s="2494"/>
      <c r="K31" s="1924"/>
      <c r="L31" s="2479"/>
      <c r="M31" s="2479"/>
      <c r="N31" s="1931"/>
      <c r="O31" s="2479"/>
      <c r="P31" s="2494"/>
      <c r="Q31" s="1932"/>
      <c r="R31" s="2479"/>
      <c r="S31" s="2479"/>
      <c r="T31" s="1933"/>
      <c r="U31" s="2479"/>
      <c r="V31" s="2494"/>
      <c r="W31" s="1934"/>
      <c r="X31" s="2479"/>
      <c r="Y31" s="2479"/>
      <c r="Z31" s="1853"/>
      <c r="AA31" s="1936"/>
      <c r="AB31" s="2518"/>
      <c r="AC31" s="2518"/>
      <c r="AD31" s="2518"/>
      <c r="AE31" s="2518"/>
      <c r="AF31" s="2518"/>
      <c r="AG31" s="2518"/>
      <c r="AH31" s="2518"/>
      <c r="AI31" s="2519"/>
      <c r="AJ31" s="1915"/>
      <c r="BM31" s="634">
        <v>14</v>
      </c>
    </row>
    <row customHeight="1" ht="14.699999999999998">
      <c r="D32" s="2524"/>
      <c r="E32" s="2520"/>
      <c r="F32" s="2520"/>
      <c r="G32" s="2527"/>
      <c r="H32" s="1941"/>
      <c r="I32" s="2523"/>
      <c r="J32" s="2494"/>
      <c r="K32" s="1924"/>
      <c r="L32" s="2479"/>
      <c r="M32" s="2479"/>
      <c r="N32" s="1931"/>
      <c r="O32" s="2479"/>
      <c r="P32" s="2494"/>
      <c r="Q32" s="1932"/>
      <c r="R32" s="2479"/>
      <c r="S32" s="2479"/>
      <c r="T32" s="1937"/>
      <c r="U32" s="1938"/>
      <c r="V32" s="2518"/>
      <c r="W32" s="2518"/>
      <c r="X32" s="2518"/>
      <c r="Y32" s="2518"/>
      <c r="Z32" s="2518"/>
      <c r="AA32" s="2518"/>
      <c r="AB32" s="2518"/>
      <c r="AC32" s="2518"/>
      <c r="AD32" s="2518"/>
      <c r="AE32" s="2518"/>
      <c r="AF32" s="2518"/>
      <c r="AG32" s="2518"/>
      <c r="AH32" s="2518"/>
      <c r="AI32" s="2519"/>
      <c r="AJ32" s="1915"/>
      <c r="BM32" s="634">
        <v>14</v>
      </c>
    </row>
    <row customHeight="1" ht="11.549999999999999">
      <c r="D33" s="2524"/>
      <c r="E33" s="2520"/>
      <c r="F33" s="2520"/>
      <c r="G33" s="2527"/>
      <c r="H33" s="1942"/>
      <c r="I33" s="2523"/>
      <c r="J33" s="2494"/>
      <c r="K33" s="1924"/>
      <c r="L33" s="2479"/>
      <c r="M33" s="2479"/>
      <c r="N33" s="1936"/>
      <c r="O33" s="1936"/>
      <c r="P33" s="2518"/>
      <c r="Q33" s="2518"/>
      <c r="R33" s="2518"/>
      <c r="S33" s="2518"/>
      <c r="T33" s="2518"/>
      <c r="U33" s="2518"/>
      <c r="V33" s="2518"/>
      <c r="W33" s="2518"/>
      <c r="X33" s="2518"/>
      <c r="Y33" s="2518"/>
      <c r="Z33" s="2518"/>
      <c r="AA33" s="2518"/>
      <c r="AB33" s="2518"/>
      <c r="AC33" s="2518"/>
      <c r="AD33" s="2518"/>
      <c r="AE33" s="2518"/>
      <c r="AF33" s="2518"/>
      <c r="AG33" s="2518"/>
      <c r="AH33" s="2518"/>
      <c r="AI33" s="2519"/>
      <c r="AJ33" s="1915"/>
      <c r="BM33" s="634">
        <v>11</v>
      </c>
    </row>
    <row s="17627" customFormat="1" customHeight="1" ht="11.549999999999999">
      <c r="D34" s="2530"/>
      <c r="E34" s="2531"/>
      <c r="F34" s="2521"/>
      <c r="G34" s="2453"/>
      <c r="H34" s="1939"/>
      <c r="I34" s="1943"/>
      <c r="J34" s="2528"/>
      <c r="K34" s="2528"/>
      <c r="L34" s="2528"/>
      <c r="M34" s="2528"/>
      <c r="N34" s="2528"/>
      <c r="O34" s="2528"/>
      <c r="P34" s="2528"/>
      <c r="Q34" s="2528"/>
      <c r="R34" s="2528"/>
      <c r="S34" s="2528"/>
      <c r="T34" s="2528"/>
      <c r="U34" s="2528"/>
      <c r="V34" s="2528"/>
      <c r="W34" s="2528"/>
      <c r="X34" s="2528"/>
      <c r="Y34" s="2528"/>
      <c r="Z34" s="2528"/>
      <c r="AA34" s="2528"/>
      <c r="AB34" s="2528"/>
      <c r="AC34" s="2528"/>
      <c r="AD34" s="2528"/>
      <c r="AE34" s="2528"/>
      <c r="AF34" s="2528"/>
      <c r="AG34" s="2528"/>
      <c r="AH34" s="2528"/>
      <c r="AI34" s="2529"/>
      <c r="AJ34" s="1915"/>
      <c r="AK34" s="647"/>
      <c r="AL34" s="1915"/>
      <c r="AM34" s="1915"/>
      <c r="AN34" s="1915"/>
      <c r="AO34" s="1915"/>
      <c r="AP34" s="1915"/>
      <c r="AQ34" s="1915"/>
      <c r="AR34" s="1915"/>
      <c r="AS34" s="1915"/>
      <c r="AT34" s="1915"/>
      <c r="AU34" s="1915"/>
      <c r="AV34" s="1915"/>
      <c r="AW34" s="1915"/>
      <c r="AX34" s="1915"/>
      <c r="AY34" s="1915"/>
      <c r="AZ34" s="1915"/>
      <c r="BA34" s="1915"/>
      <c r="BB34" s="1915"/>
      <c r="BC34" s="1915"/>
      <c r="BD34" s="1915"/>
      <c r="BE34" s="1915"/>
      <c r="BF34" s="1915"/>
      <c r="BG34" s="1915"/>
      <c r="BH34" s="1915"/>
      <c r="BI34" s="1915"/>
      <c r="BJ34" s="1915"/>
      <c r="BK34" s="1915"/>
      <c r="BL34" s="1915"/>
      <c r="BM34" s="1895">
        <v>11</v>
      </c>
    </row>
    <row customHeight="1" ht="15">
      <c r="D35" s="2524" t="s">
        <v>108</v>
      </c>
      <c r="E35" s="2520" t="s">
        <v>288</v>
      </c>
      <c r="F35" s="2520" t="s">
        <v>293</v>
      </c>
      <c r="G35" s="2526" t="s">
        <v>19</v>
      </c>
      <c r="H35" s="1940"/>
      <c r="I35" s="2522"/>
      <c r="J35" s="2493"/>
      <c r="K35" s="1855"/>
      <c r="L35" s="2478"/>
      <c r="M35" s="2478"/>
      <c r="N35" s="1925"/>
      <c r="O35" s="2478"/>
      <c r="P35" s="2493"/>
      <c r="Q35" s="1926"/>
      <c r="R35" s="2478"/>
      <c r="S35" s="2478"/>
      <c r="T35" s="1927"/>
      <c r="U35" s="2478"/>
      <c r="V35" s="2493"/>
      <c r="W35" s="1928"/>
      <c r="X35" s="2478"/>
      <c r="Y35" s="2478"/>
      <c r="Z35" s="1925"/>
      <c r="AA35" s="2478"/>
      <c r="AB35" s="2493"/>
      <c r="AC35" s="1929"/>
      <c r="AD35" s="2478"/>
      <c r="AE35" s="2478"/>
      <c r="AF35" s="1854"/>
      <c r="AG35" s="1854"/>
      <c r="AH35" s="1930"/>
      <c r="AI35" s="1637"/>
      <c r="AJ35" s="1915"/>
      <c r="BM35" s="634">
        <v>14</v>
      </c>
    </row>
    <row customHeight="1" ht="14.699999999999998">
      <c r="D36" s="2524"/>
      <c r="E36" s="2520"/>
      <c r="F36" s="2520"/>
      <c r="G36" s="2527"/>
      <c r="H36" s="1941"/>
      <c r="I36" s="2523"/>
      <c r="J36" s="2494"/>
      <c r="K36" s="1924"/>
      <c r="L36" s="2479"/>
      <c r="M36" s="2479"/>
      <c r="N36" s="1931"/>
      <c r="O36" s="2479"/>
      <c r="P36" s="2494"/>
      <c r="Q36" s="1932"/>
      <c r="R36" s="2479"/>
      <c r="S36" s="2479"/>
      <c r="T36" s="1933"/>
      <c r="U36" s="2479"/>
      <c r="V36" s="2494"/>
      <c r="W36" s="1934"/>
      <c r="X36" s="2479"/>
      <c r="Y36" s="2479"/>
      <c r="Z36" s="1931"/>
      <c r="AA36" s="2479"/>
      <c r="AB36" s="2494"/>
      <c r="AC36" s="1935"/>
      <c r="AD36" s="2479"/>
      <c r="AE36" s="2479"/>
      <c r="AF36" s="1936"/>
      <c r="AG36" s="1936"/>
      <c r="AH36" s="2518"/>
      <c r="AI36" s="2519"/>
      <c r="AJ36" s="1915"/>
      <c r="BM36" s="634">
        <v>14</v>
      </c>
    </row>
    <row customHeight="1" ht="14.699999999999998">
      <c r="D37" s="2524"/>
      <c r="E37" s="2520"/>
      <c r="F37" s="2520"/>
      <c r="G37" s="2527"/>
      <c r="H37" s="1941"/>
      <c r="I37" s="2523"/>
      <c r="J37" s="2494"/>
      <c r="K37" s="1924"/>
      <c r="L37" s="2479"/>
      <c r="M37" s="2479"/>
      <c r="N37" s="1931"/>
      <c r="O37" s="2479"/>
      <c r="P37" s="2494"/>
      <c r="Q37" s="1932"/>
      <c r="R37" s="2479"/>
      <c r="S37" s="2479"/>
      <c r="T37" s="1933"/>
      <c r="U37" s="2479"/>
      <c r="V37" s="2494"/>
      <c r="W37" s="1934"/>
      <c r="X37" s="2479"/>
      <c r="Y37" s="2479"/>
      <c r="Z37" s="1853"/>
      <c r="AA37" s="1936"/>
      <c r="AB37" s="2518"/>
      <c r="AC37" s="2518"/>
      <c r="AD37" s="2518"/>
      <c r="AE37" s="2518"/>
      <c r="AF37" s="2518"/>
      <c r="AG37" s="2518"/>
      <c r="AH37" s="2518"/>
      <c r="AI37" s="2519"/>
      <c r="AJ37" s="1915"/>
      <c r="BM37" s="634">
        <v>14</v>
      </c>
    </row>
    <row customHeight="1" ht="14.699999999999998">
      <c r="D38" s="2524"/>
      <c r="E38" s="2520"/>
      <c r="F38" s="2520"/>
      <c r="G38" s="2527"/>
      <c r="H38" s="1941"/>
      <c r="I38" s="2523"/>
      <c r="J38" s="2494"/>
      <c r="K38" s="1924"/>
      <c r="L38" s="2479"/>
      <c r="M38" s="2479"/>
      <c r="N38" s="1931"/>
      <c r="O38" s="2479"/>
      <c r="P38" s="2494"/>
      <c r="Q38" s="1932"/>
      <c r="R38" s="2479"/>
      <c r="S38" s="2479"/>
      <c r="T38" s="1937"/>
      <c r="U38" s="1938"/>
      <c r="V38" s="2518"/>
      <c r="W38" s="2518"/>
      <c r="X38" s="2518"/>
      <c r="Y38" s="2518"/>
      <c r="Z38" s="2518"/>
      <c r="AA38" s="2518"/>
      <c r="AB38" s="2518"/>
      <c r="AC38" s="2518"/>
      <c r="AD38" s="2518"/>
      <c r="AE38" s="2518"/>
      <c r="AF38" s="2518"/>
      <c r="AG38" s="2518"/>
      <c r="AH38" s="2518"/>
      <c r="AI38" s="2519"/>
      <c r="AJ38" s="1915"/>
      <c r="BM38" s="634">
        <v>14</v>
      </c>
    </row>
    <row customHeight="1" ht="11.549999999999999">
      <c r="D39" s="2524"/>
      <c r="E39" s="2520"/>
      <c r="F39" s="2520"/>
      <c r="G39" s="2527"/>
      <c r="H39" s="1942"/>
      <c r="I39" s="2523"/>
      <c r="J39" s="2494"/>
      <c r="K39" s="1924"/>
      <c r="L39" s="2479"/>
      <c r="M39" s="2479"/>
      <c r="N39" s="1936"/>
      <c r="O39" s="1936"/>
      <c r="P39" s="2518"/>
      <c r="Q39" s="2518"/>
      <c r="R39" s="2518"/>
      <c r="S39" s="2518"/>
      <c r="T39" s="2518"/>
      <c r="U39" s="2518"/>
      <c r="V39" s="2518"/>
      <c r="W39" s="2518"/>
      <c r="X39" s="2518"/>
      <c r="Y39" s="2518"/>
      <c r="Z39" s="2518"/>
      <c r="AA39" s="2518"/>
      <c r="AB39" s="2518"/>
      <c r="AC39" s="2518"/>
      <c r="AD39" s="2518"/>
      <c r="AE39" s="2518"/>
      <c r="AF39" s="2518"/>
      <c r="AG39" s="2518"/>
      <c r="AH39" s="2518"/>
      <c r="AI39" s="2519"/>
      <c r="AJ39" s="1915"/>
      <c r="BM39" s="634">
        <v>11</v>
      </c>
    </row>
    <row s="17627" customFormat="1" customHeight="1" ht="11.549999999999999">
      <c r="D40" s="2524"/>
      <c r="E40" s="2520"/>
      <c r="F40" s="2525"/>
      <c r="G40" s="2453"/>
      <c r="H40" s="1939"/>
      <c r="I40" s="1943"/>
      <c r="J40" s="2528"/>
      <c r="K40" s="2528"/>
      <c r="L40" s="2528"/>
      <c r="M40" s="2528"/>
      <c r="N40" s="2528"/>
      <c r="O40" s="2528"/>
      <c r="P40" s="2528"/>
      <c r="Q40" s="2528"/>
      <c r="R40" s="2528"/>
      <c r="S40" s="2528"/>
      <c r="T40" s="2528"/>
      <c r="U40" s="2528"/>
      <c r="V40" s="2528"/>
      <c r="W40" s="2528"/>
      <c r="X40" s="2528"/>
      <c r="Y40" s="2528"/>
      <c r="Z40" s="2528"/>
      <c r="AA40" s="2528"/>
      <c r="AB40" s="2528"/>
      <c r="AC40" s="2528"/>
      <c r="AD40" s="2528"/>
      <c r="AE40" s="2528"/>
      <c r="AF40" s="2528"/>
      <c r="AG40" s="2528"/>
      <c r="AH40" s="2528"/>
      <c r="AI40" s="2529"/>
      <c r="AJ40" s="1915"/>
      <c r="AK40" s="647"/>
      <c r="AL40" s="1915"/>
      <c r="AM40" s="1915"/>
      <c r="AN40" s="1915"/>
      <c r="AO40" s="1915"/>
      <c r="AP40" s="1915"/>
      <c r="AQ40" s="1915"/>
      <c r="AR40" s="1915"/>
      <c r="AS40" s="1915"/>
      <c r="AT40" s="1915"/>
      <c r="AU40" s="1915"/>
      <c r="AV40" s="1915"/>
      <c r="AW40" s="1915"/>
      <c r="AX40" s="1915"/>
      <c r="AY40" s="1915"/>
      <c r="AZ40" s="1915"/>
      <c r="BA40" s="1915"/>
      <c r="BB40" s="1915"/>
      <c r="BC40" s="1915"/>
      <c r="BD40" s="1915"/>
      <c r="BE40" s="1915"/>
      <c r="BF40" s="1915"/>
      <c r="BG40" s="1915"/>
      <c r="BH40" s="1915"/>
      <c r="BI40" s="1915"/>
      <c r="BJ40" s="1915"/>
      <c r="BK40" s="1915"/>
      <c r="BL40" s="1915"/>
      <c r="BM40" s="1895">
        <v>11</v>
      </c>
    </row>
    <row customHeight="1" ht="11.549999999999999">
      <c r="AK41" s="764"/>
      <c r="BM41" s="634">
        <v>11</v>
      </c>
    </row>
    <row customHeight="1" ht="11.549999999999999">
      <c r="AK42" s="764"/>
      <c r="BM42" s="634">
        <v>11</v>
      </c>
    </row>
    <row customHeight="1" ht="11.549999999999999">
      <c r="AK43" s="764"/>
      <c r="BM43" s="634">
        <v>11</v>
      </c>
    </row>
    <row customHeight="1" ht="11.549999999999999">
      <c r="AK44" s="764"/>
      <c r="BM44" s="634">
        <v>11</v>
      </c>
    </row>
    <row customHeight="1" ht="11.549999999999999">
      <c r="AK45" s="764"/>
      <c r="BM45" s="634">
        <v>11</v>
      </c>
    </row>
    <row customHeight="1" ht="11.549999999999999">
      <c r="AK46" s="764"/>
      <c r="BM46" s="634">
        <v>11</v>
      </c>
    </row>
    <row customHeight="1" ht="11.549999999999999">
      <c r="AK47" s="764"/>
      <c r="BM47" s="634">
        <v>11</v>
      </c>
    </row>
    <row customHeight="1" ht="11.549999999999999">
      <c r="AK48" s="764"/>
      <c r="BM48" s="634">
        <v>11</v>
      </c>
    </row>
    <row customHeight="1" ht="11.549999999999999">
      <c r="AK49" s="764"/>
      <c r="BM49" s="634">
        <v>11</v>
      </c>
    </row>
    <row customHeight="1" ht="11.25" hidden="1">
      <c r="A50" s="634" t="s">
        <v>82</v>
      </c>
      <c r="B50" s="634">
        <v>0</v>
      </c>
      <c r="C50" s="634">
        <v>3</v>
      </c>
      <c r="D50" s="634">
        <v>3</v>
      </c>
      <c r="E50" s="634">
        <v>15</v>
      </c>
      <c r="F50" s="634">
        <v>15</v>
      </c>
      <c r="G50" s="634">
        <v>11</v>
      </c>
      <c r="H50" s="634">
        <v>3</v>
      </c>
      <c r="I50" s="634">
        <v>3</v>
      </c>
      <c r="J50" s="634">
        <v>12</v>
      </c>
      <c r="K50" s="634">
        <v>0</v>
      </c>
      <c r="L50" s="634">
        <v>10</v>
      </c>
      <c r="M50" s="634">
        <v>10</v>
      </c>
      <c r="N50" s="634">
        <v>3</v>
      </c>
      <c r="O50" s="634">
        <v>3</v>
      </c>
      <c r="P50" s="634">
        <v>19</v>
      </c>
      <c r="Q50" s="634">
        <v>0</v>
      </c>
      <c r="R50" s="634">
        <v>10</v>
      </c>
      <c r="S50" s="634">
        <v>10</v>
      </c>
      <c r="T50" s="634">
        <v>3</v>
      </c>
      <c r="U50" s="634">
        <v>3</v>
      </c>
      <c r="V50" s="634">
        <v>25</v>
      </c>
      <c r="W50" s="634">
        <v>0</v>
      </c>
      <c r="X50" s="634">
        <v>10</v>
      </c>
      <c r="Y50" s="634">
        <v>10</v>
      </c>
      <c r="Z50" s="634">
        <v>3</v>
      </c>
      <c r="AA50" s="634">
        <v>3</v>
      </c>
      <c r="AB50" s="634">
        <v>16</v>
      </c>
      <c r="AC50" s="634">
        <v>0</v>
      </c>
      <c r="AD50" s="634">
        <v>10</v>
      </c>
      <c r="AE50" s="634">
        <v>10</v>
      </c>
      <c r="AF50" s="634">
        <v>3</v>
      </c>
      <c r="AG50" s="634">
        <v>3</v>
      </c>
      <c r="AH50" s="634">
        <v>8</v>
      </c>
      <c r="AI50" s="634">
        <v>21</v>
      </c>
      <c r="AJ50" s="764">
        <v>8</v>
      </c>
      <c r="AK50" s="647">
        <v>8</v>
      </c>
      <c r="AL50" s="764">
        <v>8</v>
      </c>
      <c r="AM50" s="764">
        <v>8</v>
      </c>
      <c r="AN50" s="764">
        <v>8</v>
      </c>
      <c r="AO50" s="764">
        <v>8</v>
      </c>
      <c r="AP50" s="764">
        <v>8</v>
      </c>
      <c r="AQ50" s="764">
        <v>8</v>
      </c>
      <c r="AR50" s="764">
        <v>8</v>
      </c>
      <c r="AS50" s="764">
        <v>8</v>
      </c>
      <c r="AT50" s="764">
        <v>8</v>
      </c>
      <c r="AU50" s="764">
        <v>8</v>
      </c>
      <c r="AV50" s="764">
        <v>8</v>
      </c>
      <c r="AW50" s="764">
        <v>8</v>
      </c>
      <c r="AX50" s="764">
        <v>8</v>
      </c>
      <c r="AY50" s="764">
        <v>8</v>
      </c>
      <c r="AZ50" s="764">
        <v>8</v>
      </c>
      <c r="BA50" s="764">
        <v>8</v>
      </c>
      <c r="BB50" s="764">
        <v>8</v>
      </c>
      <c r="BC50" s="764">
        <v>8</v>
      </c>
      <c r="BD50" s="764">
        <v>8</v>
      </c>
      <c r="BE50" s="764">
        <v>8</v>
      </c>
      <c r="BF50" s="764">
        <v>8</v>
      </c>
      <c r="BG50" s="764">
        <v>8</v>
      </c>
      <c r="BH50" s="764">
        <v>8</v>
      </c>
      <c r="BI50" s="764">
        <v>8</v>
      </c>
      <c r="BJ50" s="764">
        <v>8</v>
      </c>
      <c r="BK50" s="764">
        <v>8</v>
      </c>
      <c r="BL50" s="764">
        <v>8</v>
      </c>
      <c r="BM50" s="634">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703436-E899-64BB-21B5-4EDAB1475DC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7376" width="1.7109375" customWidth="1"/>
    <col min="2" max="2" style="17376" width="34.57421875" customWidth="1"/>
    <col min="3" max="3" style="17376" width="85.00390625" customWidth="1"/>
    <col min="4" max="4" style="17376" width="17.00390625" customWidth="1"/>
    <col min="5" max="5" style="17376" width="8.00390625" customWidth="1"/>
    <col min="6" max="6" style="17376" width="9.140625" hidden="1"/>
  </cols>
  <sheetData>
    <row customHeight="1" ht="3">
      <c r="F1" s="430" t="s">
        <v>14</v>
      </c>
    </row>
    <row customHeight="1" ht="22.5">
      <c r="B2" s="2954" t="s">
        <v>2033</v>
      </c>
      <c r="C2" s="2841"/>
      <c r="D2" s="2841"/>
      <c r="E2" s="609"/>
      <c r="F2" s="430">
        <v>22</v>
      </c>
    </row>
    <row customHeight="1" ht="3">
      <c r="F3" s="430">
        <v>3</v>
      </c>
    </row>
    <row customHeight="1" ht="23.25">
      <c r="B4" s="2955" t="s">
        <v>2034</v>
      </c>
      <c r="C4" s="724" t="s">
        <v>2035</v>
      </c>
      <c r="D4" s="724" t="s">
        <v>2036</v>
      </c>
      <c r="F4" s="430">
        <v>22</v>
      </c>
    </row>
    <row customHeight="1" ht="11.25" hidden="1">
      <c r="A5" s="430" t="s">
        <v>82</v>
      </c>
      <c r="B5" s="430">
        <v>34</v>
      </c>
      <c r="C5" s="430">
        <v>85</v>
      </c>
      <c r="D5" s="430">
        <v>17</v>
      </c>
      <c r="E5" s="430">
        <v>8</v>
      </c>
      <c r="F5" s="430">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F58BD1-2DDF-C4E3-EE47-E10922EA565E}"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7376" width="26.57421875" customWidth="1"/>
    <col min="2" max="2" style="17376" width="10.00390625" customWidth="1"/>
    <col min="3" max="3" style="17376" width="9.140625"/>
    <col min="4" max="4" style="17376" width="11.140625" customWidth="1"/>
    <col min="5" max="5" style="17376" width="16.57421875" customWidth="1"/>
    <col min="6" max="6" style="17376" width="16.28125" customWidth="1"/>
    <col min="7" max="7" style="17376" width="19.140625" customWidth="1"/>
    <col min="8" max="11" style="17376" width="10.00390625" customWidth="1"/>
    <col min="12" max="12" style="17376" width="12.7109375" customWidth="1"/>
    <col min="13" max="13" style="17376" width="61.28125" customWidth="1"/>
    <col min="14" max="14" style="17376" width="10.00390625" customWidth="1"/>
    <col min="15" max="17" style="17376" width="23.7109375" customWidth="1"/>
    <col min="18" max="18" style="17376" width="11.7109375" customWidth="1"/>
    <col min="19" max="19" style="17376" width="8.57421875" customWidth="1"/>
    <col min="20" max="20" style="17376" width="11.7109375" customWidth="1"/>
    <col min="21" max="21" style="17376" width="8.57421875" customWidth="1"/>
    <col min="22" max="22" style="17376" width="4.7109375" customWidth="1"/>
    <col min="23" max="23" style="17376" width="115.7109375" customWidth="1"/>
    <col min="24" max="24" style="17376" width="115.28125" customWidth="1"/>
    <col min="25" max="27" style="17376" width="9.140625"/>
    <col min="28" max="28" style="17376" width="115.7109375" customWidth="1"/>
    <col min="29" max="29" style="17376" width="9.140625"/>
    <col min="30" max="90" style="17376" width="115.7109375" customWidth="1"/>
    <col min="91" max="184" style="17376" width="9.140625"/>
  </cols>
  <sheetData>
    <row r="2" s="19648" customFormat="1" customHeight="1" ht="17.25">
      <c r="A2" s="2156" t="s">
        <v>2037</v>
      </c>
    </row>
    <row r="4" s="19633" customFormat="1" customHeight="1" ht="15">
      <c r="C4" s="2157"/>
      <c r="D4" s="454"/>
      <c r="E4" s="718"/>
    </row>
    <row r="6" s="19648" customFormat="1" customHeight="1" ht="17.25">
      <c r="A6" s="2156" t="s">
        <v>2038</v>
      </c>
    </row>
    <row r="8" s="19633" customFormat="1" customHeight="1" ht="17.25">
      <c r="C8" s="2158"/>
      <c r="D8" s="454"/>
      <c r="E8" s="455"/>
    </row>
    <row r="11" s="19648" customFormat="1" customHeight="1" ht="17.25">
      <c r="A11" s="2156" t="s">
        <v>2039</v>
      </c>
    </row>
    <row r="13" s="17331" customFormat="1" customHeight="1" ht="15">
      <c r="A13" s="2558">
        <v>1</v>
      </c>
      <c r="B13" s="1501"/>
      <c r="C13" s="1142" t="s">
        <v>684</v>
      </c>
      <c r="D13" s="2159"/>
      <c r="E13" s="2146">
        <f>A13</f>
        <v>1</v>
      </c>
      <c r="F13" s="1145"/>
      <c r="G13" s="881" t="str">
        <f>"Территория "&amp;E13</f>
        <v>Территория 1</v>
      </c>
      <c r="H13" s="1133"/>
      <c r="I13" s="1133"/>
      <c r="J13" s="1130"/>
      <c r="K13" s="1965"/>
      <c r="L13" s="1965"/>
      <c r="M13" s="1965"/>
      <c r="N13" s="567"/>
      <c r="O13" s="1965"/>
      <c r="P13" s="566"/>
      <c r="Q13" s="566"/>
      <c r="R13" s="566"/>
      <c r="S13" s="566"/>
    </row>
    <row s="17376" customFormat="1" customHeight="1" ht="15">
      <c r="A14" s="2558"/>
      <c r="B14" s="1501">
        <v>1</v>
      </c>
      <c r="C14" s="1501"/>
      <c r="D14" s="1141"/>
      <c r="E14" s="2154" t="str">
        <f>A13&amp;"."&amp;B14</f>
        <v>1.1</v>
      </c>
      <c r="F14" s="1144">
        <f>$F$20</f>
        <v>0</v>
      </c>
      <c r="G14" s="1134"/>
      <c r="H14" s="1134"/>
      <c r="I14" s="1132"/>
      <c r="J14" s="1965"/>
      <c r="K14" s="1977"/>
      <c r="L14" s="1977"/>
      <c r="M14" s="1965" t="str">
        <f t="array" ref="M14:M14">IF(ISERROR(MATCH(MID(N14,1,250),MID(note_ter,1,250),0)),"n","y")</f>
        <v>n</v>
      </c>
      <c r="N14" s="1977"/>
      <c r="O14" s="1965" t="str">
        <f>H14&amp;"("&amp;I14&amp;")"</f>
        <v>()</v>
      </c>
      <c r="P14" s="1501"/>
      <c r="Q14" s="1501"/>
      <c r="R14" s="761"/>
      <c r="S14" s="1501"/>
      <c r="T14" s="1501"/>
      <c r="U14" s="1501"/>
      <c r="V14" s="763"/>
      <c r="W14" s="763"/>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3"/>
      <c r="BT14" s="763"/>
      <c r="BU14" s="763"/>
      <c r="BV14" s="763"/>
      <c r="BW14" s="763"/>
      <c r="BX14" s="763"/>
      <c r="BY14" s="763"/>
      <c r="BZ14" s="763"/>
      <c r="CA14" s="763"/>
      <c r="CB14" s="763"/>
    </row>
    <row s="17376" customFormat="1" customHeight="1" ht="15">
      <c r="A15" s="2558"/>
      <c r="B15" s="1501"/>
      <c r="C15" s="753"/>
      <c r="D15" s="1142"/>
      <c r="E15" s="762"/>
      <c r="F15" s="518"/>
      <c r="G15" s="756" t="s">
        <v>99</v>
      </c>
      <c r="H15" s="528"/>
      <c r="I15" s="765"/>
      <c r="J15" s="1977"/>
      <c r="K15" s="1977"/>
      <c r="L15" s="1977"/>
      <c r="M15" s="1977"/>
      <c r="N15" s="1965"/>
      <c r="O15" s="1977"/>
      <c r="P15" s="1501"/>
      <c r="Q15" s="1501"/>
      <c r="R15" s="761"/>
      <c r="S15" s="1501"/>
      <c r="T15" s="1501"/>
      <c r="U15" s="1501"/>
      <c r="V15" s="763"/>
      <c r="W15" s="763"/>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3"/>
      <c r="BT15" s="763"/>
      <c r="BU15" s="763"/>
      <c r="BV15" s="763"/>
      <c r="BW15" s="763"/>
      <c r="BX15" s="763"/>
      <c r="BY15" s="763"/>
      <c r="BZ15" s="763"/>
      <c r="CA15" s="763"/>
      <c r="CB15" s="763"/>
    </row>
    <row r="17" s="19648" customFormat="1" customHeight="1" ht="17.25">
      <c r="A17" s="2156" t="s">
        <v>2040</v>
      </c>
    </row>
    <row r="19" s="17376" customFormat="1" customHeight="1" ht="15">
      <c r="A19" s="2223"/>
      <c r="B19" s="1707">
        <v>1</v>
      </c>
      <c r="C19" s="1707"/>
      <c r="D19" s="1141" t="s">
        <v>684</v>
      </c>
      <c r="E19" s="2219"/>
      <c r="F19" s="2224">
        <f>$F$20</f>
        <v>0</v>
      </c>
      <c r="G19" s="2228"/>
      <c r="H19" s="2228"/>
      <c r="I19" s="2226"/>
      <c r="J19" s="1965"/>
      <c r="K19" s="1977"/>
      <c r="L19" s="1977"/>
      <c r="M19" s="1965" t="str">
        <f t="array" ref="M19:M19">IF(ISERROR(MATCH(MID(N19,1,250),MID(note_ter,1,250),0)),"n","y")</f>
        <v>n</v>
      </c>
      <c r="N19" s="1977"/>
      <c r="O19" s="1965" t="str">
        <f>H19&amp;"("&amp;I19&amp;")"</f>
        <v>()</v>
      </c>
      <c r="P19" s="1707"/>
      <c r="Q19" s="1707"/>
      <c r="R19" s="761"/>
      <c r="S19" s="1707"/>
      <c r="T19" s="1707"/>
      <c r="U19" s="1707"/>
      <c r="V19" s="1174"/>
      <c r="W19" s="1174"/>
      <c r="X19" s="968"/>
      <c r="Y19" s="968"/>
      <c r="Z19" s="968"/>
      <c r="AA19" s="968"/>
      <c r="AB19" s="968"/>
      <c r="AC19" s="968"/>
      <c r="AD19" s="968"/>
      <c r="AE19" s="968"/>
      <c r="AF19" s="968"/>
      <c r="AG19" s="968"/>
      <c r="AH19" s="968"/>
      <c r="AI19" s="968"/>
      <c r="AJ19" s="968"/>
      <c r="AK19" s="968"/>
      <c r="AL19" s="968"/>
      <c r="AM19" s="968"/>
      <c r="AN19" s="968"/>
      <c r="AO19" s="968"/>
      <c r="AP19" s="968"/>
      <c r="AQ19" s="968"/>
      <c r="AR19" s="968"/>
      <c r="AS19" s="968"/>
      <c r="AT19" s="968"/>
      <c r="AU19" s="968"/>
      <c r="AV19" s="968"/>
      <c r="AW19" s="968"/>
      <c r="AX19" s="968"/>
      <c r="AY19" s="968"/>
      <c r="AZ19" s="968"/>
      <c r="BA19" s="968"/>
      <c r="BB19" s="968"/>
      <c r="BC19" s="968"/>
      <c r="BD19" s="968"/>
      <c r="BE19" s="968"/>
      <c r="BF19" s="968"/>
      <c r="BG19" s="968"/>
      <c r="BH19" s="968"/>
      <c r="BI19" s="968"/>
      <c r="BJ19" s="968"/>
      <c r="BK19" s="968"/>
      <c r="BL19" s="968"/>
      <c r="BM19" s="968"/>
      <c r="BN19" s="968"/>
      <c r="BO19" s="968"/>
      <c r="BP19" s="968"/>
      <c r="BQ19" s="968"/>
      <c r="BR19" s="968"/>
      <c r="BS19" s="1174"/>
      <c r="BT19" s="1174"/>
      <c r="BU19" s="1174"/>
      <c r="BV19" s="1174"/>
      <c r="BW19" s="1174"/>
      <c r="BX19" s="1174"/>
      <c r="BY19" s="1174"/>
      <c r="BZ19" s="1174"/>
      <c r="CA19" s="1174"/>
      <c r="CB19" s="1174"/>
    </row>
    <row r="21" s="17376" customFormat="1" customHeight="1" ht="15">
      <c r="A21" s="2156" t="s">
        <v>2041</v>
      </c>
      <c r="B21" s="2156"/>
      <c r="C21" s="2156"/>
      <c r="D21" s="2156"/>
      <c r="E21" s="2156"/>
      <c r="F21" s="2156"/>
      <c r="G21" s="2156"/>
      <c r="H21" s="2156"/>
      <c r="I21" s="2156"/>
      <c r="J21" s="2156"/>
      <c r="K21" s="2156"/>
      <c r="L21" s="2156"/>
      <c r="M21" s="2156"/>
      <c r="N21" s="2156"/>
      <c r="O21" s="2156"/>
      <c r="P21" s="2156"/>
      <c r="Q21" s="2156"/>
      <c r="R21" s="2156"/>
      <c r="S21" s="2156"/>
      <c r="T21" s="2156"/>
      <c r="U21" s="525"/>
      <c r="V21" s="2156"/>
      <c r="W21" s="2156"/>
    </row>
    <row s="17376" customFormat="1" customHeight="1" ht="15">
      <c r="U22" s="526"/>
    </row>
    <row s="17442" customFormat="1" customHeight="1" ht="15">
      <c r="A23" s="764"/>
      <c r="B23" s="764"/>
      <c r="C23" s="2069" t="s">
        <v>684</v>
      </c>
      <c r="D23" s="2449" t="s">
        <v>106</v>
      </c>
      <c r="E23" s="2450"/>
      <c r="F23" s="2448" t="s">
        <v>19</v>
      </c>
      <c r="G23" s="2898"/>
      <c r="H23" s="2468">
        <v>1</v>
      </c>
      <c r="I23" s="2900" t="str">
        <f>IF(U23="","",INDEX(TERRITORY_MR_LIST,MATCH(U23,TERRITORY_LIST_ID,0)))</f>
        <v/>
      </c>
      <c r="J23" s="2448" t="s">
        <v>19</v>
      </c>
      <c r="K23" s="1173"/>
      <c r="L23" s="2123" t="s">
        <v>106</v>
      </c>
      <c r="M23" s="944"/>
      <c r="N23" s="945"/>
      <c r="O23" s="945"/>
      <c r="P23" s="945"/>
      <c r="Q23" s="945"/>
      <c r="R23" s="945"/>
      <c r="S23" s="945"/>
      <c r="T23" s="945"/>
      <c r="U23" s="946"/>
      <c r="V23" s="945"/>
      <c r="W23" s="945"/>
      <c r="X23" s="936"/>
      <c r="Y23" s="936" t="s">
        <v>115</v>
      </c>
      <c r="Z23" s="936">
        <v>1705000</v>
      </c>
      <c r="AA23" s="936"/>
      <c r="AB23" s="936"/>
      <c r="AC23" s="936"/>
      <c r="AD23" s="936"/>
      <c r="AE23" s="936"/>
      <c r="AF23" s="936"/>
      <c r="AG23" s="936"/>
      <c r="AH23" s="936"/>
      <c r="AI23" s="936"/>
      <c r="AJ23" s="936"/>
      <c r="AK23" s="936"/>
      <c r="AL23" s="936"/>
    </row>
    <row s="17442" customFormat="1" customHeight="1" ht="15">
      <c r="A24" s="764"/>
      <c r="B24" s="764"/>
      <c r="C24" s="517"/>
      <c r="D24" s="2449"/>
      <c r="E24" s="2451"/>
      <c r="F24" s="2448"/>
      <c r="G24" s="2899"/>
      <c r="H24" s="2468"/>
      <c r="I24" s="2901"/>
      <c r="J24" s="2448"/>
      <c r="K24" s="762"/>
      <c r="L24" s="518"/>
      <c r="M24" s="948" t="s">
        <v>116</v>
      </c>
      <c r="N24" s="945"/>
      <c r="O24" s="945"/>
      <c r="P24" s="945"/>
      <c r="Q24" s="945"/>
      <c r="R24" s="945"/>
      <c r="S24" s="945"/>
      <c r="T24" s="945"/>
      <c r="U24" s="946"/>
      <c r="V24" s="945"/>
      <c r="W24" s="945"/>
      <c r="X24" s="936"/>
      <c r="Y24" s="936"/>
      <c r="Z24" s="936"/>
      <c r="AA24" s="936"/>
      <c r="AB24" s="936"/>
      <c r="AC24" s="936"/>
      <c r="AD24" s="936"/>
      <c r="AE24" s="936"/>
      <c r="AF24" s="936"/>
      <c r="AG24" s="936"/>
      <c r="AH24" s="936"/>
      <c r="AI24" s="936"/>
      <c r="AJ24" s="936"/>
      <c r="AK24" s="936"/>
      <c r="AL24" s="936"/>
    </row>
    <row s="17442" customFormat="1" customHeight="1" ht="15">
      <c r="A25" s="764"/>
      <c r="B25" s="764"/>
      <c r="C25" s="517"/>
      <c r="D25" s="2449"/>
      <c r="E25" s="2452"/>
      <c r="F25" s="2448"/>
      <c r="G25" s="762"/>
      <c r="H25" s="518"/>
      <c r="I25" s="921" t="s">
        <v>117</v>
      </c>
      <c r="J25" s="518"/>
      <c r="K25" s="518"/>
      <c r="L25" s="518"/>
      <c r="M25" s="949"/>
      <c r="N25" s="945"/>
      <c r="O25" s="945"/>
      <c r="P25" s="945"/>
      <c r="Q25" s="945"/>
      <c r="R25" s="945"/>
      <c r="S25" s="945"/>
      <c r="T25" s="945"/>
      <c r="U25" s="946"/>
      <c r="V25" s="945"/>
      <c r="W25" s="945"/>
      <c r="X25" s="936"/>
      <c r="Y25" s="936"/>
      <c r="Z25" s="936"/>
      <c r="AA25" s="936"/>
      <c r="AB25" s="936"/>
      <c r="AC25" s="936"/>
      <c r="AD25" s="936"/>
      <c r="AE25" s="936"/>
      <c r="AF25" s="936"/>
      <c r="AG25" s="936"/>
      <c r="AH25" s="936"/>
      <c r="AI25" s="936"/>
      <c r="AJ25" s="936"/>
      <c r="AK25" s="936"/>
      <c r="AL25" s="936"/>
    </row>
    <row s="17376" customFormat="1" customHeight="1" ht="15">
      <c r="U26" s="526"/>
    </row>
    <row s="17376" customFormat="1" customHeight="1" ht="15">
      <c r="A27" s="2156" t="s">
        <v>2042</v>
      </c>
      <c r="B27" s="2156"/>
      <c r="C27" s="2156"/>
      <c r="D27" s="2156"/>
      <c r="E27" s="2156"/>
      <c r="F27" s="2156"/>
      <c r="G27" s="2156"/>
      <c r="H27" s="2156"/>
      <c r="I27" s="2156"/>
      <c r="J27" s="2156"/>
      <c r="K27" s="2156"/>
      <c r="L27" s="2156"/>
      <c r="M27" s="2156"/>
      <c r="N27" s="2156"/>
      <c r="O27" s="2156"/>
      <c r="P27" s="2156"/>
      <c r="Q27" s="2156"/>
      <c r="R27" s="2156"/>
      <c r="S27" s="2156"/>
      <c r="T27" s="2156"/>
      <c r="U27" s="525"/>
      <c r="V27" s="2156"/>
      <c r="W27" s="2156"/>
    </row>
    <row s="17376" customFormat="1" customHeight="1" ht="15">
      <c r="U28" s="526"/>
    </row>
    <row s="17442" customFormat="1" customHeight="1" ht="15">
      <c r="A29" s="764"/>
      <c r="B29" s="764"/>
      <c r="C29" s="517"/>
      <c r="D29" s="2162"/>
      <c r="E29" s="2162"/>
      <c r="F29" s="2162"/>
      <c r="G29" s="2902" t="s">
        <v>684</v>
      </c>
      <c r="H29" s="2444">
        <v>1</v>
      </c>
      <c r="I29" s="2903" t="str">
        <f>IF(U29="","",INDEX(TERRITORY_MR_LIST,MATCH(U29,TERRITORY_LIST_ID,0)))</f>
        <v/>
      </c>
      <c r="J29" s="2448" t="s">
        <v>19</v>
      </c>
      <c r="K29" s="1173"/>
      <c r="L29" s="2123" t="s">
        <v>106</v>
      </c>
      <c r="M29" s="944"/>
      <c r="N29" s="945"/>
      <c r="O29" s="945"/>
      <c r="P29" s="945"/>
      <c r="Q29" s="945"/>
      <c r="R29" s="945"/>
      <c r="S29" s="945"/>
      <c r="T29" s="945"/>
      <c r="U29" s="946"/>
      <c r="V29" s="945"/>
      <c r="W29" s="945"/>
      <c r="X29" s="936"/>
      <c r="Y29" s="936" t="s">
        <v>115</v>
      </c>
      <c r="Z29" s="936">
        <v>1705000</v>
      </c>
      <c r="AA29" s="936"/>
      <c r="AB29" s="936"/>
      <c r="AC29" s="936"/>
      <c r="AD29" s="936"/>
      <c r="AE29" s="936"/>
      <c r="AF29" s="936"/>
      <c r="AG29" s="936"/>
      <c r="AH29" s="936"/>
      <c r="AI29" s="936"/>
      <c r="AJ29" s="936"/>
      <c r="AK29" s="936"/>
      <c r="AL29" s="936"/>
    </row>
    <row s="17442" customFormat="1" customHeight="1" ht="15">
      <c r="A30" s="764"/>
      <c r="B30" s="764"/>
      <c r="C30" s="517"/>
      <c r="D30" s="2162"/>
      <c r="E30" s="2162"/>
      <c r="F30" s="2162"/>
      <c r="G30" s="2902"/>
      <c r="H30" s="2444"/>
      <c r="I30" s="2903"/>
      <c r="J30" s="2448"/>
      <c r="K30" s="762"/>
      <c r="L30" s="518"/>
      <c r="M30" s="948" t="s">
        <v>116</v>
      </c>
      <c r="N30" s="945"/>
      <c r="O30" s="945"/>
      <c r="P30" s="945"/>
      <c r="Q30" s="945"/>
      <c r="R30" s="945"/>
      <c r="S30" s="945"/>
      <c r="T30" s="945"/>
      <c r="U30" s="946"/>
      <c r="V30" s="945"/>
      <c r="W30" s="945"/>
      <c r="X30" s="936"/>
      <c r="Y30" s="936"/>
      <c r="Z30" s="936"/>
      <c r="AA30" s="936"/>
      <c r="AB30" s="936"/>
      <c r="AC30" s="936"/>
      <c r="AD30" s="936"/>
      <c r="AE30" s="936"/>
      <c r="AF30" s="936"/>
      <c r="AG30" s="936"/>
      <c r="AH30" s="936"/>
      <c r="AI30" s="936"/>
      <c r="AJ30" s="936"/>
      <c r="AK30" s="936"/>
      <c r="AL30" s="936"/>
    </row>
    <row s="17376" customFormat="1" customHeight="1" ht="15">
      <c r="U31" s="526"/>
    </row>
    <row s="17376" customFormat="1" customHeight="1" ht="15">
      <c r="A32" s="2156" t="s">
        <v>2043</v>
      </c>
      <c r="B32" s="2156"/>
      <c r="C32" s="2156"/>
      <c r="D32" s="2156"/>
      <c r="E32" s="2156"/>
      <c r="F32" s="2156"/>
      <c r="G32" s="2156"/>
      <c r="H32" s="2156"/>
      <c r="I32" s="2156"/>
      <c r="J32" s="2156"/>
      <c r="K32" s="2156"/>
      <c r="L32" s="2156"/>
      <c r="M32" s="2156"/>
      <c r="N32" s="2156"/>
      <c r="O32" s="2156"/>
      <c r="P32" s="2156"/>
      <c r="Q32" s="2156"/>
      <c r="R32" s="2156"/>
      <c r="S32" s="2156"/>
      <c r="T32" s="2156"/>
      <c r="U32" s="525"/>
      <c r="V32" s="2156"/>
      <c r="W32" s="2156"/>
    </row>
    <row s="17376" customFormat="1" customHeight="1" ht="15">
      <c r="U33" s="526"/>
    </row>
    <row s="17442" customFormat="1" customHeight="1" ht="15">
      <c r="A34" s="764"/>
      <c r="B34" s="764"/>
      <c r="C34" s="517"/>
      <c r="D34" s="2162"/>
      <c r="E34" s="2162"/>
      <c r="F34" s="2162"/>
      <c r="G34" s="2162"/>
      <c r="H34" s="2162"/>
      <c r="I34" s="2162"/>
      <c r="J34" s="2162"/>
      <c r="K34" s="2140" t="s">
        <v>684</v>
      </c>
      <c r="L34" s="2070" t="s">
        <v>106</v>
      </c>
      <c r="M34" s="1152"/>
      <c r="N34" s="1153"/>
      <c r="O34" s="945"/>
      <c r="P34" s="945"/>
      <c r="Q34" s="945"/>
      <c r="R34" s="945"/>
      <c r="S34" s="945"/>
      <c r="T34" s="945"/>
      <c r="U34" s="946"/>
      <c r="V34" s="945"/>
      <c r="W34" s="945"/>
      <c r="X34" s="936"/>
      <c r="Y34" s="936" t="s">
        <v>115</v>
      </c>
      <c r="Z34" s="936">
        <v>1705000</v>
      </c>
      <c r="AA34" s="936"/>
      <c r="AB34" s="936"/>
      <c r="AC34" s="936"/>
      <c r="AD34" s="936"/>
      <c r="AE34" s="936"/>
      <c r="AF34" s="936"/>
      <c r="AG34" s="936"/>
      <c r="AH34" s="936"/>
      <c r="AI34" s="936"/>
      <c r="AJ34" s="936"/>
      <c r="AK34" s="936"/>
      <c r="AL34" s="936"/>
    </row>
    <row s="17376" customFormat="1" customHeight="1" ht="15">
      <c r="U35" s="526"/>
    </row>
    <row s="17376" customFormat="1" customHeight="1" ht="15">
      <c r="U36" s="526"/>
    </row>
    <row s="19648" customFormat="1" customHeight="1" ht="11.25">
      <c r="A37" s="2156" t="s">
        <v>2044</v>
      </c>
    </row>
    <row customHeight="1" ht="11.25"/>
    <row s="17787" customFormat="1" customHeight="1" ht="22.5">
      <c r="A39" s="2132"/>
      <c r="B39" s="798"/>
      <c r="C39" s="1200"/>
      <c r="D39" s="781"/>
      <c r="E39" s="1201"/>
      <c r="F39" s="2153"/>
      <c r="G39" s="2163"/>
      <c r="H39" s="816"/>
    </row>
    <row customHeight="1" ht="11.25"/>
    <row s="19648" customFormat="1" customHeight="1" ht="11.25">
      <c r="A41" s="2156" t="s">
        <v>2045</v>
      </c>
    </row>
    <row customHeight="1" ht="11.25"/>
    <row s="17787" customFormat="1" customHeight="1" ht="22.5">
      <c r="A43" s="798"/>
      <c r="B43" s="798"/>
      <c r="C43" s="798"/>
      <c r="D43" s="781"/>
      <c r="E43" s="1201"/>
      <c r="F43" s="1202"/>
      <c r="G43" s="2163"/>
      <c r="H43" s="816"/>
    </row>
    <row customHeight="1" ht="11.25"/>
    <row s="19648" customFormat="1" customHeight="1" ht="11.25">
      <c r="A45" s="2156" t="s">
        <v>2046</v>
      </c>
    </row>
    <row customHeight="1" ht="11.25"/>
    <row s="17787" customFormat="1" customHeight="1" ht="24">
      <c r="A47" s="2543" t="s">
        <v>308</v>
      </c>
      <c r="B47" s="843"/>
      <c r="C47" s="2554"/>
      <c r="D47" s="786" t="str">
        <f>A47</f>
        <v>5.1</v>
      </c>
      <c r="E47" s="783" t="s">
        <v>309</v>
      </c>
      <c r="F47" s="2317" t="s">
        <v>301</v>
      </c>
      <c r="G47" s="785" t="s">
        <v>310</v>
      </c>
      <c r="H47" s="816"/>
      <c r="I47" s="1193"/>
    </row>
    <row s="17787" customFormat="1" customHeight="1" ht="22.5">
      <c r="A48" s="2543"/>
      <c r="B48" s="843"/>
      <c r="C48" s="2554"/>
      <c r="D48" s="781" t="str">
        <f>D47&amp;".1"</f>
        <v>5.1.1</v>
      </c>
      <c r="E48" s="780" t="s">
        <v>311</v>
      </c>
      <c r="F48" s="2318" t="s">
        <v>22</v>
      </c>
      <c r="G48" s="815"/>
      <c r="H48" s="816"/>
      <c r="I48" s="1193"/>
    </row>
    <row s="17787" customFormat="1" customHeight="1" ht="22.5">
      <c r="A49" s="2543"/>
      <c r="B49" s="843"/>
      <c r="C49" s="2554"/>
      <c r="D49" s="781" t="str">
        <f>D47&amp;".2"</f>
        <v>5.1.2</v>
      </c>
      <c r="E49" s="780" t="s">
        <v>312</v>
      </c>
      <c r="F49" s="2073" t="s">
        <v>22</v>
      </c>
      <c r="G49" s="785" t="s">
        <v>313</v>
      </c>
      <c r="H49" s="816"/>
      <c r="I49" s="1193"/>
    </row>
    <row s="17787" customFormat="1" customHeight="1" ht="22.5">
      <c r="A50" s="2543"/>
      <c r="B50" s="843"/>
      <c r="C50" s="2554"/>
      <c r="D50" s="781" t="str">
        <f>D47&amp;".3"</f>
        <v>5.1.3</v>
      </c>
      <c r="E50" s="780" t="s">
        <v>314</v>
      </c>
      <c r="F50" s="2318" t="s">
        <v>22</v>
      </c>
      <c r="G50" s="815"/>
      <c r="H50" s="816"/>
      <c r="I50" s="1193"/>
    </row>
    <row s="17787" customFormat="1" customHeight="1" ht="22.5">
      <c r="A51" s="2543"/>
      <c r="B51" s="843"/>
      <c r="C51" s="2554"/>
      <c r="D51" s="781" t="str">
        <f>D47&amp;".4"</f>
        <v>5.1.4</v>
      </c>
      <c r="E51" s="780" t="s">
        <v>315</v>
      </c>
      <c r="F51" s="2318" t="s">
        <v>22</v>
      </c>
      <c r="G51" s="785" t="s">
        <v>316</v>
      </c>
      <c r="H51" s="816"/>
      <c r="I51" s="1193"/>
    </row>
    <row r="54" s="19648" customFormat="1" customHeight="1" ht="17.25">
      <c r="A54" s="2156" t="s">
        <v>2047</v>
      </c>
    </row>
    <row r="56" s="17214" customFormat="1" customHeight="1" ht="18.75">
      <c r="A56" s="430"/>
      <c r="B56" s="2164"/>
      <c r="C56" s="2164"/>
      <c r="D56" s="2165"/>
      <c r="E56" s="2150"/>
      <c r="F56" s="1209">
        <v>13</v>
      </c>
      <c r="G56" s="1208"/>
      <c r="H56" s="1134"/>
      <c r="I56" s="1132"/>
      <c r="J56" s="861" t="s">
        <v>19</v>
      </c>
      <c r="K56" s="5434" t="s">
        <v>22</v>
      </c>
      <c r="L56" s="430"/>
      <c r="M56" s="1977"/>
      <c r="N56" s="1977"/>
      <c r="O56" s="1977"/>
      <c r="P56" s="857" t="s">
        <v>387</v>
      </c>
      <c r="Q56" s="857" t="s">
        <v>388</v>
      </c>
      <c r="R56" s="858" t="s">
        <v>389</v>
      </c>
      <c r="S56" s="1977" t="s">
        <v>390</v>
      </c>
      <c r="T56" s="1977"/>
      <c r="U56" s="1977"/>
      <c r="V56" s="1977"/>
    </row>
    <row r="58" s="19648" customFormat="1" customHeight="1" ht="11.25">
      <c r="A58" s="2156" t="s">
        <v>2048</v>
      </c>
    </row>
    <row r="60" s="17239" customFormat="1" customHeight="1" ht="14.25">
      <c r="C60" s="2029"/>
      <c r="D60" s="2210"/>
      <c r="E60" s="2118" t="s">
        <v>22</v>
      </c>
      <c r="F60" s="2209"/>
      <c r="G60" s="1197"/>
      <c r="H60" s="2119"/>
      <c r="I60" s="2119"/>
      <c r="J60" s="774"/>
      <c r="K60" s="2204"/>
      <c r="L60" s="773"/>
      <c r="M60" s="2204"/>
      <c r="N60" s="774"/>
      <c r="O60" s="2204"/>
      <c r="P60" s="774"/>
      <c r="Q60" s="2204"/>
      <c r="R60" s="774"/>
      <c r="S60" s="1195"/>
      <c r="T60" s="2119"/>
      <c r="U60" s="774"/>
      <c r="V60" s="774"/>
      <c r="W60" s="2208"/>
      <c r="X60" s="2119"/>
      <c r="Y60" s="774"/>
      <c r="Z60" s="774"/>
      <c r="AA60" s="2208"/>
      <c r="AB60" s="2119"/>
      <c r="AC60" s="774"/>
      <c r="AD60" s="2208"/>
      <c r="AE60" s="430"/>
      <c r="AF60" s="430"/>
      <c r="AG60" s="430"/>
      <c r="AH60" s="430"/>
      <c r="AJ60" s="1977"/>
      <c r="AK60" s="1977"/>
      <c r="AL60" s="1977"/>
      <c r="AM60" s="1977"/>
      <c r="AN60" s="1977"/>
      <c r="AO60" s="1977"/>
      <c r="AP60" s="1965" t="s">
        <v>376</v>
      </c>
      <c r="AQ60" s="1965" t="s">
        <v>376</v>
      </c>
      <c r="AR60" s="1977"/>
      <c r="AS60" s="1977"/>
    </row>
    <row r="62" s="19648" customFormat="1" customHeight="1" ht="11.25">
      <c r="A62" s="2156" t="s">
        <v>2049</v>
      </c>
    </row>
    <row r="64" s="19333" customFormat="1" customHeight="1" ht="15">
      <c r="A64" s="486" t="s">
        <v>90</v>
      </c>
      <c r="B64" s="466" t="s">
        <v>22</v>
      </c>
      <c r="C64" s="2167"/>
      <c r="D64" s="469"/>
      <c r="E64" s="722"/>
      <c r="F64" s="722"/>
      <c r="G64" s="2144"/>
      <c r="H64" s="2166"/>
      <c r="I64" s="2145"/>
      <c r="K64" s="613"/>
      <c r="L64" s="614"/>
    </row>
    <row r="66" s="19648" customFormat="1" customHeight="1" ht="11.25">
      <c r="A66" s="2156" t="s">
        <v>2050</v>
      </c>
    </row>
    <row r="68" s="17239" customFormat="1" customHeight="1" ht="14.25">
      <c r="A68" s="684"/>
      <c r="B68" s="1501"/>
      <c r="C68" s="717"/>
      <c r="D68" s="2151"/>
      <c r="E68" s="1227"/>
      <c r="F68" s="2166"/>
      <c r="G68" s="430"/>
      <c r="I68" s="1965"/>
      <c r="J68" s="1965"/>
    </row>
    <row r="70" s="19648" customFormat="1" customHeight="1" ht="11.25">
      <c r="A70" s="2156" t="s">
        <v>2051</v>
      </c>
    </row>
    <row r="72" s="17239" customFormat="1" customHeight="1" ht="27">
      <c r="A72" s="1507"/>
      <c r="B72" s="1507"/>
      <c r="C72" s="1507"/>
      <c r="D72" s="1501"/>
      <c r="E72" s="2168"/>
      <c r="F72" s="2922"/>
      <c r="G72" s="2923"/>
      <c r="H72" s="2924" t="s">
        <v>65</v>
      </c>
      <c r="I72" s="2926"/>
      <c r="J72" s="2889"/>
      <c r="K72" s="2928"/>
      <c r="L72" s="2891"/>
      <c r="M72" s="2891"/>
      <c r="N72" s="2892"/>
      <c r="O72" s="2892"/>
      <c r="P72" s="2893">
        <f>DATEDIF(DATEVALUE(N72),DATEVALUE(O72),"y")&amp;"г. "&amp;DATEDIF(DATEVALUE(N72),DATEVALUE(O72),"ym")&amp;"мес. "&amp;DATEVALUE(O72)-DATE(YEAR(DATEVALUE(O72)),MONTH(DATEVALUE(O72)),1)&amp;"дн. "</f>
      </c>
      <c r="Q72" s="2888"/>
      <c r="R72" s="2888"/>
      <c r="S72" s="2888"/>
      <c r="T72" s="2889"/>
      <c r="U72" s="2888"/>
      <c r="V72" s="2888"/>
      <c r="W72" s="2888"/>
      <c r="X72" s="2889"/>
      <c r="Y72" s="2886" t="s">
        <v>65</v>
      </c>
      <c r="Z72" s="2149"/>
      <c r="AA72" s="2133">
        <v>1</v>
      </c>
      <c r="AB72" s="1583"/>
      <c r="AD72" s="1977" t="s">
        <v>2052</v>
      </c>
    </row>
    <row s="17239" customFormat="1" customHeight="1" ht="10.5">
      <c r="A73" s="1507"/>
      <c r="B73" s="1507"/>
      <c r="C73" s="1507"/>
      <c r="D73" s="1501"/>
      <c r="E73" s="1288"/>
      <c r="F73" s="2922"/>
      <c r="G73" s="2923"/>
      <c r="H73" s="2925"/>
      <c r="I73" s="2927"/>
      <c r="J73" s="2890"/>
      <c r="K73" s="2928"/>
      <c r="L73" s="2891"/>
      <c r="M73" s="2891"/>
      <c r="N73" s="2892"/>
      <c r="O73" s="2892"/>
      <c r="P73" s="2893"/>
      <c r="Q73" s="2888"/>
      <c r="R73" s="2888"/>
      <c r="S73" s="2888"/>
      <c r="T73" s="2890"/>
      <c r="U73" s="2888"/>
      <c r="V73" s="2888"/>
      <c r="W73" s="2888"/>
      <c r="X73" s="2890"/>
      <c r="Y73" s="2887"/>
      <c r="Z73" s="688"/>
      <c r="AA73" s="913"/>
      <c r="AB73" s="993" t="s">
        <v>991</v>
      </c>
    </row>
    <row r="75" s="19648" customFormat="1" customHeight="1" ht="11.25">
      <c r="A75" s="2156" t="s">
        <v>2053</v>
      </c>
    </row>
    <row r="77" s="17239" customFormat="1" customHeight="1" ht="27">
      <c r="A77" s="1507"/>
      <c r="B77" s="1507"/>
      <c r="C77" s="1507"/>
      <c r="D77" s="1501"/>
      <c r="E77" s="2168"/>
      <c r="F77" s="2138"/>
      <c r="G77" s="2088"/>
      <c r="H77" s="2089"/>
      <c r="I77" s="2090"/>
      <c r="J77" s="2091"/>
      <c r="K77" s="2092"/>
      <c r="L77" s="2093"/>
      <c r="M77" s="2093"/>
      <c r="N77" s="2094"/>
      <c r="O77" s="2094"/>
      <c r="P77" s="2095"/>
      <c r="Q77" s="2096"/>
      <c r="R77" s="2096"/>
      <c r="S77" s="2096"/>
      <c r="T77" s="2091"/>
      <c r="U77" s="2096"/>
      <c r="V77" s="2096"/>
      <c r="W77" s="2096"/>
      <c r="X77" s="2091"/>
      <c r="Y77" s="2089"/>
      <c r="Z77" s="2149"/>
      <c r="AA77" s="2133">
        <v>1</v>
      </c>
      <c r="AB77" s="1583"/>
      <c r="AD77" s="1977" t="s">
        <v>2052</v>
      </c>
    </row>
    <row r="79" s="19648" customFormat="1" customHeight="1" ht="11.25">
      <c r="A79" s="2156" t="s">
        <v>2054</v>
      </c>
    </row>
    <row customHeight="1" ht="17.25"/>
    <row s="17239" customFormat="1" customHeight="1" ht="21">
      <c r="A81" s="1508"/>
      <c r="B81" s="1507"/>
      <c r="C81" s="1507"/>
      <c r="D81" s="1501"/>
      <c r="E81" s="1511"/>
      <c r="F81" s="1463">
        <f>INDEX(IP_MAIN_LIST_NAME_IP,MATCH(A81,IP_MAIN_LIST_IP_ID,0))&amp;" ("&amp;INDEX(IP_MAIN_START_DATE,MATCH(A81,IP_MAIN_LIST_IP_ID,0))&amp;"-"&amp;INDEX(IP_MAIN_END_DATE,MATCH(A81,IP_MAIN_LIST_IP_ID,0))&amp;")"</f>
      </c>
      <c r="G81" s="1464"/>
      <c r="H81" s="1464"/>
      <c r="I81" s="1526"/>
      <c r="J81" s="1526"/>
      <c r="K81" s="1527"/>
      <c r="L81" s="1527"/>
      <c r="M81" s="1527"/>
      <c r="N81" s="1528"/>
      <c r="O81" s="1528"/>
      <c r="P81" s="1528"/>
      <c r="Q81" s="1528"/>
      <c r="R81" s="1528"/>
      <c r="S81" s="1528"/>
      <c r="T81" s="1528"/>
      <c r="U81" s="1528"/>
      <c r="V81" s="1528"/>
      <c r="W81" s="1528"/>
      <c r="X81" s="1528"/>
      <c r="Y81" s="1528"/>
      <c r="Z81" s="1528"/>
      <c r="AA81" s="1528"/>
      <c r="AB81" s="1528"/>
      <c r="AC81" s="1528"/>
      <c r="AD81" s="1528"/>
      <c r="AE81" s="1529"/>
      <c r="AF81" s="1527"/>
      <c r="AG81" s="1527"/>
      <c r="AH81" s="1527"/>
      <c r="AI81" s="1527"/>
      <c r="AJ81" s="1527"/>
      <c r="AK81" s="1527"/>
      <c r="AL81" s="2329"/>
      <c r="AM81" s="2164"/>
      <c r="AN81" s="2164"/>
      <c r="AO81" s="2164"/>
      <c r="AP81" s="2164"/>
      <c r="AQ81" s="2164"/>
      <c r="AR81" s="2164"/>
      <c r="AS81" s="2164"/>
      <c r="AT81" s="2164"/>
      <c r="AU81" s="2164"/>
      <c r="AV81" s="2164"/>
      <c r="AW81" s="2164"/>
      <c r="AX81" s="2164"/>
      <c r="AY81" s="2164"/>
      <c r="AZ81" s="2164"/>
      <c r="BA81" s="2164"/>
      <c r="BB81" s="2164"/>
      <c r="BC81" s="2164"/>
      <c r="BD81" s="2164"/>
      <c r="BE81" s="2164"/>
      <c r="BF81" s="2164"/>
    </row>
    <row s="17239" customFormat="1" customHeight="1" ht="0.75">
      <c r="A82" s="1507"/>
      <c r="B82" s="1507"/>
      <c r="C82" s="1507"/>
      <c r="D82" s="1501"/>
      <c r="E82" s="1511"/>
      <c r="F82" s="2877"/>
      <c r="G82" s="2856"/>
      <c r="H82" s="2881" t="s">
        <v>371</v>
      </c>
      <c r="I82" s="2882"/>
      <c r="J82" s="2883"/>
      <c r="K82" s="2883"/>
      <c r="L82" s="2875"/>
      <c r="M82" s="2609"/>
      <c r="N82" s="2377"/>
      <c r="O82" s="2376"/>
      <c r="P82" s="2377"/>
      <c r="Q82" s="2377"/>
      <c r="R82" s="2377"/>
      <c r="S82" s="2377"/>
      <c r="T82" s="2377"/>
      <c r="U82" s="2377"/>
      <c r="V82" s="2377"/>
      <c r="W82" s="2377"/>
      <c r="X82" s="2377"/>
      <c r="Y82" s="2377"/>
      <c r="Z82" s="2377"/>
      <c r="AA82" s="2377"/>
      <c r="AB82" s="2377"/>
      <c r="AC82" s="2377"/>
      <c r="AD82" s="2377"/>
      <c r="AE82" s="2377"/>
      <c r="AF82" s="2879"/>
      <c r="AG82" s="2875"/>
      <c r="AH82" s="2875"/>
      <c r="AI82" s="2879"/>
      <c r="AJ82" s="2875"/>
      <c r="AK82" s="2875"/>
      <c r="AL82" s="2329"/>
      <c r="AM82" s="2164"/>
      <c r="AN82" s="2164"/>
      <c r="AO82" s="2164"/>
      <c r="AP82" s="2164"/>
      <c r="AQ82" s="2164"/>
      <c r="AR82" s="2164"/>
      <c r="AS82" s="2164"/>
      <c r="AT82" s="2164"/>
      <c r="AU82" s="2164"/>
      <c r="AV82" s="2164"/>
      <c r="AW82" s="2164"/>
      <c r="AX82" s="2164"/>
      <c r="AY82" s="2164"/>
      <c r="AZ82" s="2164"/>
      <c r="BA82" s="2164"/>
      <c r="BB82" s="2164"/>
      <c r="BC82" s="2164"/>
      <c r="BD82" s="2164"/>
      <c r="BE82" s="2164"/>
      <c r="BF82" s="2164"/>
    </row>
    <row s="17239" customFormat="1" customHeight="1" ht="0.75">
      <c r="A83" s="1507"/>
      <c r="B83" s="1507"/>
      <c r="C83" s="1507"/>
      <c r="D83" s="1501"/>
      <c r="E83" s="1511"/>
      <c r="F83" s="2877"/>
      <c r="G83" s="2856"/>
      <c r="H83" s="2881"/>
      <c r="I83" s="2882"/>
      <c r="J83" s="2883"/>
      <c r="K83" s="2883"/>
      <c r="L83" s="2875"/>
      <c r="M83" s="2609"/>
      <c r="N83" s="2884"/>
      <c r="O83" s="2885"/>
      <c r="P83" s="2929"/>
      <c r="Q83" s="2880"/>
      <c r="R83" s="2880"/>
      <c r="S83" s="2880"/>
      <c r="T83" s="2880"/>
      <c r="U83" s="2880"/>
      <c r="V83" s="2880"/>
      <c r="W83" s="2880"/>
      <c r="X83" s="2880"/>
      <c r="Y83" s="2880"/>
      <c r="Z83" s="2378"/>
      <c r="AA83" s="2379"/>
      <c r="AB83" s="2379"/>
      <c r="AC83" s="2380"/>
      <c r="AD83" s="2380"/>
      <c r="AE83" s="2381"/>
      <c r="AF83" s="2879"/>
      <c r="AG83" s="2875"/>
      <c r="AH83" s="2875"/>
      <c r="AI83" s="2879"/>
      <c r="AJ83" s="2875"/>
      <c r="AK83" s="2875"/>
      <c r="AL83" s="2329"/>
      <c r="AM83" s="2164"/>
      <c r="AN83" s="2164"/>
      <c r="AO83" s="2164"/>
      <c r="AP83" s="2164"/>
      <c r="AQ83" s="2164"/>
      <c r="AR83" s="2164"/>
      <c r="AS83" s="2164"/>
      <c r="AT83" s="2164"/>
      <c r="AU83" s="2164"/>
      <c r="AV83" s="2164"/>
      <c r="AW83" s="2164"/>
      <c r="AX83" s="2164"/>
      <c r="AY83" s="2164"/>
      <c r="AZ83" s="2164"/>
      <c r="BA83" s="2164"/>
      <c r="BB83" s="2164"/>
      <c r="BC83" s="2164"/>
      <c r="BD83" s="2164"/>
      <c r="BE83" s="2164"/>
      <c r="BF83" s="2164"/>
    </row>
    <row s="17239" customFormat="1" customHeight="1" ht="0.75">
      <c r="A84" s="1507"/>
      <c r="B84" s="1507"/>
      <c r="C84" s="1507"/>
      <c r="D84" s="1501"/>
      <c r="E84" s="1511"/>
      <c r="F84" s="2877"/>
      <c r="G84" s="2856"/>
      <c r="H84" s="2881"/>
      <c r="I84" s="2882"/>
      <c r="J84" s="2883"/>
      <c r="K84" s="2883"/>
      <c r="L84" s="2875"/>
      <c r="M84" s="2609"/>
      <c r="N84" s="2884"/>
      <c r="O84" s="2885"/>
      <c r="P84" s="2930"/>
      <c r="Q84" s="2880"/>
      <c r="R84" s="2880"/>
      <c r="S84" s="2880"/>
      <c r="T84" s="2880"/>
      <c r="U84" s="2880"/>
      <c r="V84" s="2880"/>
      <c r="W84" s="2880"/>
      <c r="X84" s="2880"/>
      <c r="Y84" s="2880"/>
      <c r="Z84" s="2382"/>
      <c r="AA84" s="2383"/>
      <c r="AB84" s="2384"/>
      <c r="AC84" s="2385"/>
      <c r="AD84" s="2384"/>
      <c r="AE84" s="2385"/>
      <c r="AF84" s="2879"/>
      <c r="AG84" s="2875"/>
      <c r="AH84" s="2875"/>
      <c r="AI84" s="2879"/>
      <c r="AJ84" s="2875"/>
      <c r="AK84" s="2875"/>
      <c r="AL84" s="2329"/>
      <c r="AM84" s="2164"/>
      <c r="AN84" s="2164"/>
      <c r="AO84" s="2164"/>
      <c r="AP84" s="2164"/>
      <c r="AQ84" s="2164"/>
      <c r="AR84" s="2164"/>
      <c r="AS84" s="2164"/>
      <c r="AT84" s="2164"/>
      <c r="AU84" s="2164"/>
      <c r="AV84" s="2164"/>
      <c r="AW84" s="2164"/>
      <c r="AX84" s="2164"/>
      <c r="AY84" s="2164"/>
      <c r="AZ84" s="2164"/>
      <c r="BA84" s="2164"/>
      <c r="BB84" s="2164"/>
      <c r="BC84" s="2164"/>
      <c r="BD84" s="2164"/>
      <c r="BE84" s="2164"/>
      <c r="BF84" s="2164"/>
    </row>
    <row s="17239" customFormat="1" customHeight="1" ht="0.75">
      <c r="A85" s="1507"/>
      <c r="B85" s="1507"/>
      <c r="C85" s="1507"/>
      <c r="D85" s="1501"/>
      <c r="E85" s="1511"/>
      <c r="F85" s="2877"/>
      <c r="G85" s="2856"/>
      <c r="H85" s="2881"/>
      <c r="I85" s="2882"/>
      <c r="J85" s="2883"/>
      <c r="K85" s="2883"/>
      <c r="L85" s="2875"/>
      <c r="M85" s="2609"/>
      <c r="N85" s="2884"/>
      <c r="O85" s="2885"/>
      <c r="P85" s="2931"/>
      <c r="Q85" s="2880"/>
      <c r="R85" s="2880"/>
      <c r="S85" s="2880"/>
      <c r="T85" s="2880"/>
      <c r="U85" s="2880"/>
      <c r="V85" s="2880"/>
      <c r="W85" s="2880"/>
      <c r="X85" s="2880"/>
      <c r="Y85" s="2880"/>
      <c r="Z85" s="2378"/>
      <c r="AA85" s="2379"/>
      <c r="AB85" s="2386"/>
      <c r="AC85" s="2380"/>
      <c r="AD85" s="2380"/>
      <c r="AE85" s="2387"/>
      <c r="AF85" s="2879"/>
      <c r="AG85" s="2875"/>
      <c r="AH85" s="2875"/>
      <c r="AI85" s="2879"/>
      <c r="AJ85" s="2875"/>
      <c r="AK85" s="2875"/>
      <c r="AL85" s="2329"/>
      <c r="AM85" s="2164"/>
      <c r="AN85" s="2164"/>
      <c r="AO85" s="2164"/>
      <c r="AP85" s="2164"/>
      <c r="AQ85" s="2164"/>
      <c r="AR85" s="2164"/>
      <c r="AS85" s="2164"/>
      <c r="AT85" s="2164"/>
      <c r="AU85" s="2164"/>
      <c r="AV85" s="2164"/>
      <c r="AW85" s="2164"/>
      <c r="AX85" s="2164"/>
      <c r="AY85" s="2164"/>
      <c r="AZ85" s="2164"/>
      <c r="BA85" s="2164"/>
      <c r="BB85" s="2164"/>
      <c r="BC85" s="2164"/>
      <c r="BD85" s="2164"/>
      <c r="BE85" s="2164"/>
      <c r="BF85" s="2164"/>
    </row>
    <row s="17239" customFormat="1" customHeight="1" ht="0.75">
      <c r="A86" s="1507"/>
      <c r="B86" s="1507"/>
      <c r="C86" s="1507"/>
      <c r="D86" s="1501"/>
      <c r="E86" s="1511"/>
      <c r="F86" s="2877"/>
      <c r="G86" s="2856"/>
      <c r="H86" s="2881"/>
      <c r="I86" s="2882"/>
      <c r="J86" s="2883"/>
      <c r="K86" s="2883"/>
      <c r="L86" s="2875"/>
      <c r="M86" s="2609"/>
      <c r="N86" s="2379"/>
      <c r="O86" s="2379"/>
      <c r="P86" s="2386"/>
      <c r="Q86" s="2379"/>
      <c r="R86" s="2379"/>
      <c r="S86" s="2379"/>
      <c r="T86" s="2379"/>
      <c r="U86" s="2379"/>
      <c r="V86" s="2379"/>
      <c r="W86" s="2379"/>
      <c r="X86" s="2379"/>
      <c r="Y86" s="2379"/>
      <c r="Z86" s="2379"/>
      <c r="AA86" s="2379"/>
      <c r="AB86" s="2379"/>
      <c r="AC86" s="2379"/>
      <c r="AD86" s="2379"/>
      <c r="AE86" s="2388"/>
      <c r="AF86" s="2879"/>
      <c r="AG86" s="2875"/>
      <c r="AH86" s="2875"/>
      <c r="AI86" s="2879"/>
      <c r="AJ86" s="2875"/>
      <c r="AK86" s="2875"/>
      <c r="AL86" s="2329"/>
      <c r="AM86" s="2164"/>
      <c r="AN86" s="2164"/>
      <c r="AO86" s="2164"/>
      <c r="AP86" s="2164"/>
      <c r="AQ86" s="2164"/>
      <c r="AR86" s="2164"/>
      <c r="AS86" s="2164"/>
      <c r="AT86" s="2164"/>
      <c r="AU86" s="2164"/>
      <c r="AV86" s="2164"/>
      <c r="AW86" s="2164"/>
      <c r="AX86" s="2164"/>
      <c r="AY86" s="2164"/>
      <c r="AZ86" s="2164"/>
      <c r="BA86" s="2164"/>
      <c r="BB86" s="2164"/>
      <c r="BC86" s="2164"/>
      <c r="BD86" s="2164"/>
      <c r="BE86" s="2164"/>
      <c r="BF86" s="2164"/>
    </row>
    <row s="17239" customFormat="1" customHeight="1" ht="12">
      <c r="A87" s="1507"/>
      <c r="B87" s="1507"/>
      <c r="C87" s="1507"/>
      <c r="D87" s="1501"/>
      <c r="E87" s="1511"/>
      <c r="F87" s="2878"/>
      <c r="G87" s="1531"/>
      <c r="H87" s="1531"/>
      <c r="I87" s="2876" t="s">
        <v>1179</v>
      </c>
      <c r="J87" s="2876"/>
      <c r="K87" s="2876"/>
      <c r="L87" s="1514"/>
      <c r="M87" s="1514"/>
      <c r="N87" s="1515"/>
      <c r="O87" s="1515"/>
      <c r="P87" s="1515"/>
      <c r="Q87" s="1515"/>
      <c r="R87" s="1515"/>
      <c r="S87" s="1515"/>
      <c r="T87" s="1515"/>
      <c r="U87" s="1515"/>
      <c r="V87" s="1515"/>
      <c r="W87" s="1515"/>
      <c r="X87" s="1515"/>
      <c r="Y87" s="1515"/>
      <c r="Z87" s="1515"/>
      <c r="AA87" s="1515"/>
      <c r="AB87" s="1515"/>
      <c r="AC87" s="1515"/>
      <c r="AD87" s="1515"/>
      <c r="AE87" s="1515"/>
      <c r="AF87" s="1515"/>
      <c r="AG87" s="1514"/>
      <c r="AH87" s="1514"/>
      <c r="AI87" s="1515"/>
      <c r="AJ87" s="1514"/>
      <c r="AK87" s="1515"/>
      <c r="AL87" s="2329"/>
      <c r="AM87" s="2164"/>
      <c r="AN87" s="2164"/>
      <c r="AO87" s="2164"/>
      <c r="AP87" s="2164"/>
      <c r="AQ87" s="2164"/>
      <c r="AR87" s="2164"/>
      <c r="AS87" s="2164"/>
      <c r="AT87" s="2164"/>
      <c r="AU87" s="2164"/>
      <c r="AV87" s="2164"/>
      <c r="AW87" s="2164"/>
      <c r="AX87" s="2164"/>
      <c r="AY87" s="2164"/>
      <c r="AZ87" s="2164"/>
      <c r="BA87" s="2164"/>
      <c r="BB87" s="2164"/>
      <c r="BC87" s="2164"/>
      <c r="BD87" s="2164"/>
      <c r="BE87" s="2164"/>
      <c r="BF87" s="2164"/>
    </row>
    <row r="89" s="19648" customFormat="1" customHeight="1" ht="11.25">
      <c r="A89" s="2156" t="s">
        <v>2055</v>
      </c>
    </row>
    <row r="91" s="17239" customFormat="1" customHeight="1" ht="11.25">
      <c r="A91" s="1507"/>
      <c r="B91" s="1507"/>
      <c r="C91" s="1507"/>
      <c r="D91" s="1501"/>
      <c r="E91" s="1511"/>
      <c r="F91" s="2170"/>
      <c r="G91" s="2171"/>
      <c r="H91" s="2171"/>
      <c r="I91" s="2105"/>
      <c r="J91" s="2105"/>
      <c r="K91" s="2172"/>
      <c r="L91" s="2105"/>
      <c r="M91" s="2171"/>
      <c r="N91" s="2849"/>
      <c r="O91" s="2932">
        <v>1</v>
      </c>
      <c r="P91" s="2851" t="s">
        <v>19</v>
      </c>
      <c r="Q91" s="2854" t="s">
        <v>22</v>
      </c>
      <c r="R91" s="2854" t="s">
        <v>22</v>
      </c>
      <c r="S91" s="2854" t="s">
        <v>22</v>
      </c>
      <c r="T91" s="2854" t="s">
        <v>22</v>
      </c>
      <c r="U91" s="2854" t="s">
        <v>22</v>
      </c>
      <c r="V91" s="2854" t="s">
        <v>22</v>
      </c>
      <c r="W91" s="2854" t="s">
        <v>22</v>
      </c>
      <c r="X91" s="2854" t="s">
        <v>22</v>
      </c>
      <c r="Y91" s="2854"/>
      <c r="Z91" s="1516"/>
      <c r="AA91" s="1517"/>
      <c r="AB91" s="1517"/>
      <c r="AC91" s="1521"/>
      <c r="AD91" s="1521"/>
      <c r="AE91" s="1521"/>
      <c r="AF91" s="2173"/>
      <c r="AG91" s="2100"/>
      <c r="AH91" s="2100"/>
      <c r="AI91" s="2173"/>
      <c r="AJ91" s="2100"/>
      <c r="AK91" s="2328"/>
      <c r="AL91" s="2329"/>
      <c r="AM91" s="2164"/>
      <c r="AN91" s="2164"/>
      <c r="AO91" s="2164"/>
      <c r="AP91" s="2164"/>
      <c r="AQ91" s="2164"/>
      <c r="AR91" s="2164"/>
      <c r="AS91" s="2164"/>
      <c r="AT91" s="2164"/>
      <c r="AU91" s="2164"/>
      <c r="AV91" s="2164"/>
      <c r="AW91" s="2164"/>
      <c r="AX91" s="2164"/>
      <c r="AY91" s="2164"/>
      <c r="AZ91" s="2164"/>
      <c r="BA91" s="2164"/>
      <c r="BB91" s="2164"/>
      <c r="BC91" s="2164"/>
      <c r="BD91" s="2164"/>
      <c r="BE91" s="2164"/>
      <c r="BF91" s="2164"/>
    </row>
    <row s="17239" customFormat="1" customHeight="1" ht="11.25">
      <c r="A92" s="1507"/>
      <c r="B92" s="1507"/>
      <c r="C92" s="1507"/>
      <c r="D92" s="1501"/>
      <c r="E92" s="1511"/>
      <c r="F92" s="2170"/>
      <c r="G92" s="2171"/>
      <c r="H92" s="2171"/>
      <c r="I92" s="2106"/>
      <c r="J92" s="2106"/>
      <c r="K92" s="2172"/>
      <c r="L92" s="2106"/>
      <c r="M92" s="2171"/>
      <c r="N92" s="2849"/>
      <c r="O92" s="2932"/>
      <c r="P92" s="2852"/>
      <c r="Q92" s="2854"/>
      <c r="R92" s="2854"/>
      <c r="S92" s="2855"/>
      <c r="T92" s="2854"/>
      <c r="U92" s="2854"/>
      <c r="V92" s="2854"/>
      <c r="W92" s="2854"/>
      <c r="X92" s="2854"/>
      <c r="Y92" s="2854"/>
      <c r="Z92" s="2169"/>
      <c r="AA92" s="2135">
        <v>1</v>
      </c>
      <c r="AB92" s="1520"/>
      <c r="AC92" s="1510"/>
      <c r="AD92" s="1520">
        <f>AB92</f>
        <v>0</v>
      </c>
      <c r="AE92" s="1065"/>
      <c r="AF92" s="2172"/>
      <c r="AG92" s="2100"/>
      <c r="AH92" s="2100"/>
      <c r="AI92" s="2172"/>
      <c r="AJ92" s="2100"/>
      <c r="AK92" s="2328"/>
      <c r="AL92" s="2329"/>
      <c r="AM92" s="2164"/>
      <c r="AN92" s="2164"/>
      <c r="AO92" s="2164"/>
      <c r="AP92" s="2164"/>
      <c r="AQ92" s="2164"/>
      <c r="AR92" s="2164"/>
      <c r="AS92" s="2164"/>
      <c r="AT92" s="2164"/>
      <c r="AU92" s="2164"/>
      <c r="AV92" s="2164"/>
      <c r="AW92" s="2164"/>
      <c r="AX92" s="2164"/>
      <c r="AY92" s="2164"/>
      <c r="AZ92" s="2164"/>
      <c r="BA92" s="2164"/>
      <c r="BB92" s="2164"/>
      <c r="BC92" s="2164"/>
      <c r="BD92" s="2164"/>
      <c r="BE92" s="2164"/>
      <c r="BF92" s="2164"/>
    </row>
    <row s="17239" customFormat="1" customHeight="1" ht="11.25">
      <c r="A93" s="1507"/>
      <c r="B93" s="1507"/>
      <c r="C93" s="1507"/>
      <c r="D93" s="1501"/>
      <c r="E93" s="1511"/>
      <c r="F93" s="2170"/>
      <c r="G93" s="2171"/>
      <c r="H93" s="2171"/>
      <c r="I93" s="2107"/>
      <c r="J93" s="2107"/>
      <c r="K93" s="2172"/>
      <c r="L93" s="2107"/>
      <c r="M93" s="2171"/>
      <c r="N93" s="2849"/>
      <c r="O93" s="2932"/>
      <c r="P93" s="2853"/>
      <c r="Q93" s="2854"/>
      <c r="R93" s="2854"/>
      <c r="S93" s="2855"/>
      <c r="T93" s="2854"/>
      <c r="U93" s="2854"/>
      <c r="V93" s="2854"/>
      <c r="W93" s="2854"/>
      <c r="X93" s="2854"/>
      <c r="Y93" s="2854"/>
      <c r="Z93" s="1516"/>
      <c r="AA93" s="1517"/>
      <c r="AB93" s="1582" t="s">
        <v>1037</v>
      </c>
      <c r="AC93" s="1521"/>
      <c r="AD93" s="1521"/>
      <c r="AE93" s="1521"/>
      <c r="AF93" s="2174"/>
      <c r="AG93" s="2100"/>
      <c r="AH93" s="2100"/>
      <c r="AI93" s="2174"/>
      <c r="AJ93" s="2100"/>
      <c r="AK93" s="2328"/>
      <c r="AL93" s="2329"/>
      <c r="AM93" s="2164"/>
      <c r="AN93" s="2164"/>
      <c r="AO93" s="2164"/>
      <c r="AP93" s="2164"/>
      <c r="AQ93" s="2164"/>
      <c r="AR93" s="2164"/>
      <c r="AS93" s="2164"/>
      <c r="AT93" s="2164"/>
      <c r="AU93" s="2164"/>
      <c r="AV93" s="2164"/>
      <c r="AW93" s="2164"/>
      <c r="AX93" s="2164"/>
      <c r="AY93" s="2164"/>
      <c r="AZ93" s="2164"/>
      <c r="BA93" s="2164"/>
      <c r="BB93" s="2164"/>
      <c r="BC93" s="2164"/>
      <c r="BD93" s="2164"/>
      <c r="BE93" s="2164"/>
      <c r="BF93" s="2164"/>
    </row>
    <row r="95" s="19648" customFormat="1" customHeight="1" ht="11.25">
      <c r="A95" s="2156" t="s">
        <v>2056</v>
      </c>
    </row>
    <row r="97" s="17239" customFormat="1" customHeight="1" ht="11.25">
      <c r="A97" s="1507"/>
      <c r="B97" s="1507"/>
      <c r="C97" s="1507"/>
      <c r="D97" s="1501"/>
      <c r="E97" s="1511"/>
      <c r="F97" s="2171"/>
      <c r="G97" s="2171"/>
      <c r="H97" s="2171"/>
      <c r="I97" s="2171"/>
      <c r="J97" s="2171"/>
      <c r="K97" s="2171"/>
      <c r="L97" s="2171"/>
      <c r="M97" s="2171"/>
      <c r="N97" s="2171"/>
      <c r="O97" s="2171"/>
      <c r="P97" s="2171"/>
      <c r="Q97" s="2171"/>
      <c r="R97" s="2171"/>
      <c r="S97" s="2171"/>
      <c r="T97" s="2171"/>
      <c r="U97" s="2171"/>
      <c r="V97" s="2171"/>
      <c r="W97" s="2171"/>
      <c r="X97" s="2171"/>
      <c r="Y97" s="2171"/>
      <c r="Z97" s="2175"/>
      <c r="AA97" s="2155">
        <v>1</v>
      </c>
      <c r="AB97" s="1520"/>
      <c r="AC97" s="1510"/>
      <c r="AD97" s="1520">
        <f>AB97</f>
        <v>0</v>
      </c>
      <c r="AE97" s="1510"/>
      <c r="AF97" s="2172"/>
      <c r="AG97" s="2100"/>
      <c r="AH97" s="2100"/>
      <c r="AI97" s="2172"/>
      <c r="AJ97" s="2100"/>
      <c r="AK97" s="2328"/>
      <c r="AL97" s="2329"/>
      <c r="AM97" s="2164"/>
      <c r="AN97" s="2164"/>
      <c r="AO97" s="2164"/>
      <c r="AP97" s="2164"/>
      <c r="AQ97" s="2164"/>
      <c r="AR97" s="2164"/>
      <c r="AS97" s="2164"/>
      <c r="AT97" s="2164"/>
      <c r="AU97" s="2164"/>
      <c r="AV97" s="2164"/>
      <c r="AW97" s="2164"/>
      <c r="AX97" s="2164"/>
      <c r="AY97" s="2164"/>
      <c r="AZ97" s="2164"/>
      <c r="BA97" s="2164"/>
      <c r="BB97" s="2164"/>
      <c r="BC97" s="2164"/>
      <c r="BD97" s="2164"/>
      <c r="BE97" s="2164"/>
      <c r="BF97" s="2164"/>
    </row>
    <row r="99" s="19648" customFormat="1" customHeight="1" ht="11.25">
      <c r="A99" s="2156" t="s">
        <v>2057</v>
      </c>
    </row>
    <row r="101" s="17239" customFormat="1" customHeight="1" ht="11.25">
      <c r="A101" s="1507"/>
      <c r="B101" s="1507"/>
      <c r="C101" s="1507"/>
      <c r="D101" s="1501"/>
      <c r="E101" s="1511"/>
      <c r="F101" s="2170"/>
      <c r="G101" s="2171"/>
      <c r="H101" s="2856" t="s">
        <v>106</v>
      </c>
      <c r="I101" s="2857"/>
      <c r="J101" s="2826"/>
      <c r="K101" s="2858"/>
      <c r="L101" s="2448" t="s">
        <v>19</v>
      </c>
      <c r="M101" s="2449"/>
      <c r="N101" s="2327"/>
      <c r="O101" s="1518" t="s">
        <v>371</v>
      </c>
      <c r="P101" s="1519"/>
      <c r="Q101" s="1519"/>
      <c r="R101" s="1519"/>
      <c r="S101" s="1519"/>
      <c r="T101" s="1519"/>
      <c r="U101" s="1519"/>
      <c r="V101" s="1519"/>
      <c r="W101" s="1519"/>
      <c r="X101" s="1519"/>
      <c r="Y101" s="1519"/>
      <c r="Z101" s="1519"/>
      <c r="AA101" s="1519"/>
      <c r="AB101" s="1519"/>
      <c r="AC101" s="1519"/>
      <c r="AD101" s="1519"/>
      <c r="AE101" s="1519"/>
      <c r="AF101" s="2847"/>
      <c r="AG101" s="2848"/>
      <c r="AH101" s="2848"/>
      <c r="AI101" s="2847"/>
      <c r="AJ101" s="2848"/>
      <c r="AK101" s="2848"/>
      <c r="AL101" s="2329"/>
      <c r="AM101" s="2164"/>
      <c r="AN101" s="2164"/>
      <c r="AO101" s="2164"/>
      <c r="AP101" s="2164"/>
      <c r="AQ101" s="2164"/>
      <c r="AR101" s="2164"/>
      <c r="AS101" s="2164"/>
      <c r="AT101" s="2164"/>
      <c r="AU101" s="2164"/>
      <c r="AV101" s="2164"/>
      <c r="AW101" s="2164"/>
      <c r="AX101" s="2164"/>
      <c r="AY101" s="2164"/>
      <c r="AZ101" s="2164"/>
      <c r="BA101" s="2164"/>
      <c r="BB101" s="2164"/>
      <c r="BC101" s="2164"/>
      <c r="BD101" s="2164"/>
      <c r="BE101" s="2164"/>
      <c r="BF101" s="2164"/>
    </row>
    <row s="17239" customFormat="1" customHeight="1" ht="11.25">
      <c r="A102" s="1507"/>
      <c r="B102" s="1507"/>
      <c r="C102" s="1507"/>
      <c r="D102" s="1501"/>
      <c r="E102" s="1511"/>
      <c r="F102" s="2170"/>
      <c r="G102" s="2171"/>
      <c r="H102" s="2856"/>
      <c r="I102" s="2857"/>
      <c r="J102" s="2826"/>
      <c r="K102" s="2858"/>
      <c r="L102" s="2448"/>
      <c r="M102" s="2449"/>
      <c r="N102" s="2849"/>
      <c r="O102" s="2850">
        <v>1</v>
      </c>
      <c r="P102" s="2851" t="s">
        <v>19</v>
      </c>
      <c r="Q102" s="2854" t="s">
        <v>22</v>
      </c>
      <c r="R102" s="2854" t="s">
        <v>22</v>
      </c>
      <c r="S102" s="2854" t="s">
        <v>22</v>
      </c>
      <c r="T102" s="2854" t="s">
        <v>22</v>
      </c>
      <c r="U102" s="2854" t="s">
        <v>22</v>
      </c>
      <c r="V102" s="2854" t="s">
        <v>22</v>
      </c>
      <c r="W102" s="2854" t="s">
        <v>22</v>
      </c>
      <c r="X102" s="2854" t="s">
        <v>22</v>
      </c>
      <c r="Y102" s="2854"/>
      <c r="Z102" s="1516"/>
      <c r="AA102" s="1517"/>
      <c r="AB102" s="1517"/>
      <c r="AC102" s="1521"/>
      <c r="AD102" s="1521"/>
      <c r="AE102" s="1522"/>
      <c r="AF102" s="2847"/>
      <c r="AG102" s="2848"/>
      <c r="AH102" s="2848"/>
      <c r="AI102" s="2847"/>
      <c r="AJ102" s="2848"/>
      <c r="AK102" s="2848"/>
      <c r="AL102" s="2329"/>
      <c r="AM102" s="2164"/>
      <c r="AN102" s="2164"/>
      <c r="AO102" s="2164"/>
      <c r="AP102" s="2164"/>
      <c r="AQ102" s="2164"/>
      <c r="AR102" s="2164"/>
      <c r="AS102" s="2164"/>
      <c r="AT102" s="2164"/>
      <c r="AU102" s="2164"/>
      <c r="AV102" s="2164"/>
      <c r="AW102" s="2164"/>
      <c r="AX102" s="2164"/>
      <c r="AY102" s="2164"/>
      <c r="AZ102" s="2164"/>
      <c r="BA102" s="2164"/>
      <c r="BB102" s="2164"/>
      <c r="BC102" s="2164"/>
      <c r="BD102" s="2164"/>
      <c r="BE102" s="2164"/>
      <c r="BF102" s="2164"/>
    </row>
    <row s="17239" customFormat="1" customHeight="1" ht="11.25">
      <c r="A103" s="1507"/>
      <c r="B103" s="1507"/>
      <c r="C103" s="1507"/>
      <c r="D103" s="1501"/>
      <c r="E103" s="1511"/>
      <c r="F103" s="2170"/>
      <c r="G103" s="2171"/>
      <c r="H103" s="2856"/>
      <c r="I103" s="2857"/>
      <c r="J103" s="2826"/>
      <c r="K103" s="2858"/>
      <c r="L103" s="2448"/>
      <c r="M103" s="2449"/>
      <c r="N103" s="2849"/>
      <c r="O103" s="2850"/>
      <c r="P103" s="2852"/>
      <c r="Q103" s="2854"/>
      <c r="R103" s="2854"/>
      <c r="S103" s="2855"/>
      <c r="T103" s="2854"/>
      <c r="U103" s="2854"/>
      <c r="V103" s="2854"/>
      <c r="W103" s="2854"/>
      <c r="X103" s="2854"/>
      <c r="Y103" s="2854"/>
      <c r="Z103" s="2169"/>
      <c r="AA103" s="2135">
        <v>1</v>
      </c>
      <c r="AB103" s="1520"/>
      <c r="AC103" s="1510"/>
      <c r="AD103" s="1520">
        <f>AB103</f>
        <v>0</v>
      </c>
      <c r="AE103" s="1510"/>
      <c r="AF103" s="2847"/>
      <c r="AG103" s="2848"/>
      <c r="AH103" s="2848"/>
      <c r="AI103" s="2847"/>
      <c r="AJ103" s="2848"/>
      <c r="AK103" s="2848"/>
      <c r="AL103" s="2329"/>
      <c r="AM103" s="2164"/>
      <c r="AN103" s="2164"/>
      <c r="AO103" s="2164"/>
      <c r="AP103" s="2164"/>
      <c r="AQ103" s="2164"/>
      <c r="AR103" s="2164"/>
      <c r="AS103" s="2164"/>
      <c r="AT103" s="2164"/>
      <c r="AU103" s="2164"/>
      <c r="AV103" s="2164"/>
      <c r="AW103" s="2164"/>
      <c r="AX103" s="2164"/>
      <c r="AY103" s="2164"/>
      <c r="AZ103" s="2164"/>
      <c r="BA103" s="2164"/>
      <c r="BB103" s="2164"/>
      <c r="BC103" s="2164"/>
      <c r="BD103" s="2164"/>
      <c r="BE103" s="2164"/>
      <c r="BF103" s="2164"/>
    </row>
    <row s="17239" customFormat="1" customHeight="1" ht="11.25">
      <c r="A104" s="1507"/>
      <c r="B104" s="1507"/>
      <c r="C104" s="1507"/>
      <c r="D104" s="1501"/>
      <c r="E104" s="1511"/>
      <c r="F104" s="2170"/>
      <c r="G104" s="2171"/>
      <c r="H104" s="2856"/>
      <c r="I104" s="2857"/>
      <c r="J104" s="2826"/>
      <c r="K104" s="2858"/>
      <c r="L104" s="2448"/>
      <c r="M104" s="2449"/>
      <c r="N104" s="2849"/>
      <c r="O104" s="2850"/>
      <c r="P104" s="2853"/>
      <c r="Q104" s="2854"/>
      <c r="R104" s="2854"/>
      <c r="S104" s="2855"/>
      <c r="T104" s="2854"/>
      <c r="U104" s="2854"/>
      <c r="V104" s="2854"/>
      <c r="W104" s="2854"/>
      <c r="X104" s="2854"/>
      <c r="Y104" s="2854"/>
      <c r="Z104" s="1516"/>
      <c r="AA104" s="1517"/>
      <c r="AB104" s="1582" t="s">
        <v>1037</v>
      </c>
      <c r="AC104" s="1521"/>
      <c r="AD104" s="1521"/>
      <c r="AE104" s="1523"/>
      <c r="AF104" s="2847"/>
      <c r="AG104" s="2848"/>
      <c r="AH104" s="2848"/>
      <c r="AI104" s="2847"/>
      <c r="AJ104" s="2848"/>
      <c r="AK104" s="2848"/>
      <c r="AL104" s="2329"/>
      <c r="AM104" s="2164"/>
      <c r="AN104" s="2164"/>
      <c r="AO104" s="2164"/>
      <c r="AP104" s="2164"/>
      <c r="AQ104" s="2164"/>
      <c r="AR104" s="2164"/>
      <c r="AS104" s="2164"/>
      <c r="AT104" s="2164"/>
      <c r="AU104" s="2164"/>
      <c r="AV104" s="2164"/>
      <c r="AW104" s="2164"/>
      <c r="AX104" s="2164"/>
      <c r="AY104" s="2164"/>
      <c r="AZ104" s="2164"/>
      <c r="BA104" s="2164"/>
      <c r="BB104" s="2164"/>
      <c r="BC104" s="2164"/>
      <c r="BD104" s="2164"/>
      <c r="BE104" s="2164"/>
      <c r="BF104" s="2164"/>
    </row>
    <row s="17239" customFormat="1" customHeight="1" ht="11.25">
      <c r="A105" s="1507"/>
      <c r="B105" s="1507"/>
      <c r="C105" s="1507"/>
      <c r="D105" s="1501"/>
      <c r="E105" s="1511"/>
      <c r="F105" s="2170"/>
      <c r="G105" s="2171"/>
      <c r="H105" s="2856"/>
      <c r="I105" s="2857"/>
      <c r="J105" s="2826"/>
      <c r="K105" s="2858"/>
      <c r="L105" s="2448"/>
      <c r="M105" s="2449"/>
      <c r="N105" s="1516"/>
      <c r="O105" s="1517"/>
      <c r="P105" s="1509" t="s">
        <v>1038</v>
      </c>
      <c r="Q105" s="1517"/>
      <c r="R105" s="1517"/>
      <c r="S105" s="1517"/>
      <c r="T105" s="1517"/>
      <c r="U105" s="1517"/>
      <c r="V105" s="1517"/>
      <c r="W105" s="1517"/>
      <c r="X105" s="1517"/>
      <c r="Y105" s="1517"/>
      <c r="Z105" s="1517"/>
      <c r="AA105" s="1517"/>
      <c r="AB105" s="1517"/>
      <c r="AC105" s="1517"/>
      <c r="AD105" s="1517"/>
      <c r="AE105" s="1524"/>
      <c r="AF105" s="2847"/>
      <c r="AG105" s="2848"/>
      <c r="AH105" s="2848"/>
      <c r="AI105" s="2847"/>
      <c r="AJ105" s="2848"/>
      <c r="AK105" s="2848"/>
      <c r="AL105" s="2329"/>
      <c r="AM105" s="2164"/>
      <c r="AN105" s="2164"/>
      <c r="AO105" s="2164"/>
      <c r="AP105" s="2164"/>
      <c r="AQ105" s="2164"/>
      <c r="AR105" s="2164"/>
      <c r="AS105" s="2164"/>
      <c r="AT105" s="2164"/>
      <c r="AU105" s="2164"/>
      <c r="AV105" s="2164"/>
      <c r="AW105" s="2164"/>
      <c r="AX105" s="2164"/>
      <c r="AY105" s="2164"/>
      <c r="AZ105" s="2164"/>
      <c r="BA105" s="2164"/>
      <c r="BB105" s="2164"/>
      <c r="BC105" s="2164"/>
      <c r="BD105" s="2164"/>
      <c r="BE105" s="2164"/>
      <c r="BF105" s="2164"/>
    </row>
    <row r="107" s="19648" customFormat="1" customHeight="1" ht="11.25">
      <c r="A107" s="2156" t="s">
        <v>2058</v>
      </c>
    </row>
    <row customHeight="1" ht="17.25"/>
    <row s="18984" customFormat="1" customHeight="1" ht="21">
      <c r="A109" s="1508"/>
      <c r="B109" s="1281"/>
      <c r="D109" s="1265"/>
      <c r="E109" s="1280" t="s">
        <v>22</v>
      </c>
      <c r="F109" s="1462">
        <f>INDEX(IP_MAIN_LIST_NAME_IP,MATCH(A109,IP_MAIN_LIST_IP_ID,0))&amp;" ("&amp;INDEX(IP_MAIN_START_DATE,MATCH(A109,IP_MAIN_LIST_IP_ID,0))&amp;"-"&amp;INDEX(IP_MAIN_END_DATE,MATCH(A109,IP_MAIN_LIST_IP_ID,0))&amp;")"</f>
      </c>
      <c r="G109" s="1544"/>
      <c r="H109" s="1545"/>
      <c r="I109" s="1545"/>
      <c r="J109" s="1545"/>
      <c r="K109" s="1545"/>
      <c r="L109" s="1545"/>
      <c r="M109" s="1545"/>
      <c r="N109" s="1545"/>
      <c r="O109" s="1544"/>
      <c r="P109" s="1544"/>
      <c r="Q109" s="1544"/>
      <c r="R109" s="1544"/>
      <c r="S109" s="1544"/>
      <c r="T109" s="1544"/>
      <c r="U109" s="1546"/>
      <c r="V109" s="1546"/>
      <c r="W109" s="1546"/>
      <c r="X109" s="1546"/>
      <c r="Y109" s="1546"/>
      <c r="Z109" s="1546"/>
      <c r="AA109" s="1546"/>
      <c r="AB109" s="1544"/>
      <c r="AC109" s="1545"/>
      <c r="AD109" s="1545"/>
      <c r="AE109" s="1545"/>
      <c r="AF109" s="1545"/>
      <c r="AG109" s="1545"/>
      <c r="AH109" s="1545"/>
      <c r="AI109" s="1545"/>
      <c r="AJ109" s="1545"/>
      <c r="AK109" s="1545"/>
      <c r="AL109" s="1545"/>
      <c r="AM109" s="1545"/>
      <c r="AN109" s="1545"/>
      <c r="AO109" s="1545"/>
      <c r="AP109" s="1545"/>
      <c r="AQ109" s="1545"/>
      <c r="AR109" s="1545"/>
      <c r="AS109" s="1545"/>
      <c r="AT109" s="1545"/>
      <c r="AU109" s="1545"/>
      <c r="AV109" s="1545"/>
      <c r="AW109" s="1545"/>
      <c r="AX109" s="1545"/>
      <c r="AY109" s="1545"/>
      <c r="AZ109" s="1545"/>
      <c r="BA109" s="1545"/>
      <c r="BB109" s="1545"/>
      <c r="BC109" s="1545"/>
      <c r="BD109" s="1545"/>
      <c r="BE109" s="1545"/>
      <c r="BF109" s="1545"/>
      <c r="BG109" s="1545"/>
      <c r="BH109" s="1545"/>
      <c r="BI109" s="1545"/>
      <c r="BJ109" s="1545"/>
      <c r="BK109" s="1545"/>
      <c r="BL109" s="1545"/>
      <c r="BM109" s="1545"/>
      <c r="BN109" s="1545"/>
      <c r="BO109" s="1545"/>
      <c r="BP109" s="1545"/>
      <c r="BQ109" s="1545"/>
      <c r="BR109" s="1545"/>
      <c r="BS109" s="1545"/>
      <c r="BT109" s="1545"/>
      <c r="BU109" s="1545"/>
      <c r="BV109" s="1545"/>
      <c r="BW109" s="1545"/>
      <c r="BX109" s="1545"/>
      <c r="BY109" s="1545"/>
      <c r="BZ109" s="1545"/>
      <c r="CA109" s="1545"/>
      <c r="CB109" s="1545"/>
      <c r="CC109" s="1545"/>
      <c r="CD109" s="1545"/>
      <c r="CE109" s="1545"/>
      <c r="CF109" s="1545"/>
      <c r="CG109" s="1545"/>
      <c r="CH109" s="1545"/>
      <c r="CI109" s="1545"/>
      <c r="CJ109" s="1545"/>
      <c r="CK109" s="1545"/>
      <c r="CL109" s="1547"/>
      <c r="CM109" s="1547"/>
      <c r="CN109" s="1547"/>
      <c r="CO109" s="1547"/>
      <c r="CP109" s="1547"/>
      <c r="CQ109" s="1547"/>
      <c r="CR109" s="1547"/>
      <c r="CS109" s="1547"/>
      <c r="CT109" s="1547"/>
      <c r="CU109" s="1547"/>
      <c r="CV109" s="1547"/>
      <c r="CW109" s="1547"/>
      <c r="CX109" s="1547"/>
      <c r="CY109" s="1547"/>
      <c r="CZ109" s="1547"/>
      <c r="DA109" s="1547"/>
      <c r="DB109" s="1547"/>
      <c r="DC109" s="1547"/>
      <c r="DD109" s="1547"/>
      <c r="DE109" s="1547"/>
      <c r="DF109" s="1547"/>
      <c r="DG109" s="1547"/>
      <c r="DH109" s="1547"/>
      <c r="DI109" s="1547"/>
      <c r="DJ109" s="1547"/>
      <c r="DK109" s="1547"/>
      <c r="DL109" s="1547"/>
      <c r="DM109" s="1547"/>
      <c r="DN109" s="1547"/>
      <c r="DO109" s="1547"/>
      <c r="DP109" s="1547"/>
      <c r="DQ109" s="1547"/>
      <c r="DR109" s="1547"/>
      <c r="DS109" s="1547"/>
      <c r="DT109" s="1547"/>
      <c r="DU109" s="1547"/>
      <c r="DV109" s="1547"/>
      <c r="DW109" s="1547"/>
      <c r="DX109" s="1547"/>
      <c r="DY109" s="1547"/>
      <c r="DZ109" s="1547"/>
      <c r="EA109" s="1547"/>
      <c r="EB109" s="1547"/>
      <c r="EC109" s="1547"/>
      <c r="ED109" s="1547"/>
      <c r="EE109" s="1547"/>
      <c r="EF109" s="1547"/>
      <c r="EG109" s="1547"/>
      <c r="EH109" s="1547"/>
      <c r="EI109" s="1547"/>
      <c r="EJ109" s="1547"/>
      <c r="EK109" s="1547"/>
      <c r="EL109" s="1547"/>
      <c r="EM109" s="1547"/>
      <c r="EN109" s="1547"/>
      <c r="EO109" s="1547"/>
      <c r="EP109" s="1547"/>
      <c r="EQ109" s="1547"/>
      <c r="ER109" s="1547"/>
      <c r="ES109" s="1547"/>
      <c r="ET109" s="1547"/>
      <c r="EU109" s="1547"/>
      <c r="EV109" s="1547"/>
      <c r="EW109" s="1547"/>
      <c r="EX109" s="1547"/>
      <c r="EY109" s="1547"/>
      <c r="EZ109" s="1547"/>
      <c r="FA109" s="1547"/>
      <c r="FB109" s="1547"/>
      <c r="FC109" s="1547"/>
      <c r="FD109" s="1547"/>
      <c r="FE109" s="1547"/>
      <c r="FF109" s="1547"/>
      <c r="FG109" s="1547"/>
      <c r="FH109" s="1547"/>
      <c r="FI109" s="1547"/>
      <c r="FJ109" s="1547"/>
      <c r="FK109" s="1547"/>
      <c r="FL109" s="1547"/>
      <c r="FM109" s="1547"/>
      <c r="FN109" s="1547"/>
      <c r="FO109" s="1547"/>
      <c r="FP109" s="1547"/>
      <c r="FQ109" s="1547"/>
      <c r="FR109" s="1547"/>
      <c r="FS109" s="1547"/>
      <c r="FT109" s="1547"/>
      <c r="FU109" s="1547"/>
      <c r="FV109" s="1548"/>
      <c r="FW109" s="1542"/>
      <c r="FX109" s="1543"/>
    </row>
    <row s="18984" customFormat="1" customHeight="1" ht="24.75">
      <c r="B110" s="1264"/>
      <c r="C110" s="1265"/>
      <c r="D110" s="1265"/>
      <c r="E110" s="2176"/>
      <c r="F110" s="1549">
        <v>1</v>
      </c>
      <c r="G110" s="1550"/>
      <c r="H110" s="1551"/>
      <c r="I110" s="2323"/>
      <c r="J110" s="1552"/>
      <c r="K110" s="1552"/>
      <c r="L110" s="1552"/>
      <c r="M110" s="1552"/>
      <c r="N110" s="1552"/>
      <c r="O110" s="1553"/>
      <c r="P110" s="1553"/>
      <c r="Q110" s="1553"/>
      <c r="R110" s="1553"/>
      <c r="S110" s="1553"/>
      <c r="T110" s="1553"/>
      <c r="U110" s="1553"/>
      <c r="V110" s="1553"/>
      <c r="W110" s="1553"/>
      <c r="X110" s="1553"/>
      <c r="Y110" s="1553"/>
      <c r="Z110" s="1553"/>
      <c r="AA110" s="1553"/>
      <c r="AB110" s="1553"/>
      <c r="AC110" s="1552"/>
      <c r="AD110" s="1552"/>
      <c r="AE110" s="1552"/>
      <c r="AF110" s="1552"/>
      <c r="AG110" s="1552"/>
      <c r="AH110" s="1552"/>
      <c r="AI110" s="1552"/>
      <c r="AJ110" s="1552"/>
      <c r="AK110" s="1552"/>
      <c r="AL110" s="1552"/>
      <c r="AM110" s="1552"/>
      <c r="AN110" s="1552"/>
      <c r="AO110" s="1552"/>
      <c r="AP110" s="1552"/>
      <c r="AQ110" s="1552"/>
      <c r="AR110" s="1552"/>
      <c r="AS110" s="1552"/>
      <c r="AT110" s="1552"/>
      <c r="AU110" s="1552"/>
      <c r="AV110" s="1552"/>
      <c r="AW110" s="1552"/>
      <c r="AX110" s="1552"/>
      <c r="AY110" s="1552"/>
      <c r="AZ110" s="1552"/>
      <c r="BA110" s="1552"/>
      <c r="BB110" s="1552"/>
      <c r="BC110" s="1552"/>
      <c r="BD110" s="1552"/>
      <c r="BE110" s="1552"/>
      <c r="BF110" s="1552"/>
      <c r="BG110" s="1552"/>
      <c r="BH110" s="1552"/>
      <c r="BI110" s="1552"/>
      <c r="BJ110" s="1552"/>
      <c r="BK110" s="1552"/>
      <c r="BL110" s="1552"/>
      <c r="BM110" s="1552"/>
      <c r="BN110" s="1552"/>
      <c r="BO110" s="1552"/>
      <c r="BP110" s="1552"/>
      <c r="BQ110" s="1552"/>
      <c r="BR110" s="1552"/>
      <c r="BS110" s="1552"/>
      <c r="BT110" s="1553"/>
      <c r="BU110" s="1553"/>
      <c r="BV110" s="1553"/>
      <c r="BW110" s="1553"/>
      <c r="BX110" s="1553"/>
      <c r="BY110" s="1553"/>
      <c r="BZ110" s="1553"/>
      <c r="CA110" s="1553"/>
      <c r="CB110" s="1553"/>
      <c r="CC110" s="1553"/>
      <c r="CD110" s="1553"/>
      <c r="CE110" s="1553"/>
      <c r="CF110" s="1553"/>
      <c r="CG110" s="1553"/>
      <c r="CH110" s="1553"/>
      <c r="CI110" s="1553"/>
      <c r="CJ110" s="1553"/>
      <c r="CK110" s="1553"/>
      <c r="CL110" s="1552"/>
      <c r="CM110" s="1552"/>
      <c r="CN110" s="1552"/>
      <c r="CO110" s="1552"/>
      <c r="CP110" s="1552"/>
      <c r="CQ110" s="1552"/>
      <c r="CR110" s="1552"/>
      <c r="CS110" s="1552"/>
      <c r="CT110" s="1552"/>
      <c r="CU110" s="1552"/>
      <c r="CV110" s="1552"/>
      <c r="CW110" s="1552"/>
      <c r="CX110" s="1552"/>
      <c r="CY110" s="1553"/>
      <c r="CZ110" s="1553"/>
      <c r="DA110" s="1553"/>
      <c r="DB110" s="1553"/>
      <c r="DC110" s="1553"/>
      <c r="DD110" s="1553"/>
      <c r="DE110" s="1553"/>
      <c r="DF110" s="1553"/>
      <c r="DG110" s="1553"/>
      <c r="DH110" s="1553"/>
      <c r="DI110" s="1553"/>
      <c r="DJ110" s="1553"/>
      <c r="DK110" s="1552"/>
      <c r="DL110" s="1552"/>
      <c r="DM110" s="1552"/>
      <c r="DN110" s="1552"/>
      <c r="DO110" s="1552"/>
      <c r="DP110" s="1552"/>
      <c r="DQ110" s="1552"/>
      <c r="DR110" s="1552"/>
      <c r="DS110" s="1552"/>
      <c r="DT110" s="1552"/>
      <c r="DU110" s="1552"/>
      <c r="DV110" s="1552"/>
      <c r="DW110" s="1552"/>
      <c r="DX110" s="1552"/>
      <c r="DY110" s="1552"/>
      <c r="DZ110" s="1552"/>
      <c r="EA110" s="1552"/>
      <c r="EB110" s="1552"/>
      <c r="EC110" s="1552"/>
      <c r="ED110" s="1552"/>
      <c r="EE110" s="1552"/>
      <c r="EF110" s="1552"/>
      <c r="EG110" s="1552"/>
      <c r="EH110" s="1552"/>
      <c r="EI110" s="1552"/>
      <c r="EJ110" s="1552"/>
      <c r="EK110" s="1552"/>
      <c r="EL110" s="1552"/>
      <c r="EM110" s="1552"/>
      <c r="EN110" s="1552"/>
      <c r="EO110" s="1552"/>
      <c r="EP110" s="1552"/>
      <c r="EQ110" s="1552"/>
      <c r="ER110" s="1552"/>
      <c r="ES110" s="1552"/>
      <c r="ET110" s="1552"/>
      <c r="EU110" s="1552"/>
      <c r="EV110" s="1552"/>
      <c r="EW110" s="1552"/>
      <c r="EX110" s="1552"/>
      <c r="EY110" s="1552"/>
      <c r="EZ110" s="1552"/>
      <c r="FA110" s="1552"/>
      <c r="FB110" s="1552"/>
      <c r="FC110" s="1552"/>
      <c r="FD110" s="1552"/>
      <c r="FE110" s="1552"/>
      <c r="FF110" s="1552"/>
      <c r="FG110" s="1552"/>
      <c r="FH110" s="1552"/>
      <c r="FI110" s="1552"/>
      <c r="FJ110" s="1552"/>
      <c r="FK110" s="1552"/>
      <c r="FL110" s="1552"/>
      <c r="FM110" s="1552"/>
      <c r="FN110" s="1552"/>
      <c r="FO110" s="1552"/>
      <c r="FP110" s="1552"/>
      <c r="FQ110" s="1552"/>
      <c r="FR110" s="1552"/>
      <c r="FS110" s="1552"/>
      <c r="FT110" s="1552"/>
      <c r="FU110" s="1552"/>
      <c r="FV110" s="1552"/>
      <c r="FW110" s="1552"/>
      <c r="FX110" s="1543"/>
    </row>
    <row s="18984" customFormat="1" customHeight="1" ht="12">
      <c r="A111" s="1265"/>
      <c r="B111" s="1264"/>
      <c r="C111" s="1265"/>
      <c r="D111" s="1265"/>
      <c r="E111" s="1265"/>
      <c r="F111" s="1554"/>
      <c r="G111" s="2141" t="s">
        <v>1294</v>
      </c>
      <c r="H111" s="1555"/>
      <c r="I111" s="1555"/>
      <c r="J111" s="1555"/>
      <c r="K111" s="1555"/>
      <c r="L111" s="1555"/>
      <c r="M111" s="1555"/>
      <c r="N111" s="1555"/>
      <c r="O111" s="1555"/>
      <c r="P111" s="1555"/>
      <c r="Q111" s="1555"/>
      <c r="R111" s="1555"/>
      <c r="S111" s="1555"/>
      <c r="T111" s="1555"/>
      <c r="U111" s="1555"/>
      <c r="V111" s="1555"/>
      <c r="W111" s="1555"/>
      <c r="X111" s="1555"/>
      <c r="Y111" s="1555"/>
      <c r="Z111" s="1555"/>
      <c r="AA111" s="1555"/>
      <c r="AB111" s="1555"/>
      <c r="AC111" s="1555"/>
      <c r="AD111" s="1555"/>
      <c r="AE111" s="1555"/>
      <c r="AF111" s="1555"/>
      <c r="AG111" s="1555"/>
      <c r="AH111" s="1555"/>
      <c r="AI111" s="1555"/>
      <c r="AJ111" s="1555"/>
      <c r="AK111" s="1555"/>
      <c r="AL111" s="1555"/>
      <c r="AM111" s="1555"/>
      <c r="AN111" s="1555"/>
      <c r="AO111" s="1555"/>
      <c r="AP111" s="1555"/>
      <c r="AQ111" s="1555"/>
      <c r="AR111" s="1555"/>
      <c r="AS111" s="1555"/>
      <c r="AT111" s="1555"/>
      <c r="AU111" s="1555"/>
      <c r="AV111" s="1555"/>
      <c r="AW111" s="1555"/>
      <c r="AX111" s="1555"/>
      <c r="AY111" s="1555"/>
      <c r="AZ111" s="1555"/>
      <c r="BA111" s="1555"/>
      <c r="BB111" s="1555"/>
      <c r="BC111" s="1555"/>
      <c r="BD111" s="1555"/>
      <c r="BE111" s="1555"/>
      <c r="BF111" s="1555"/>
      <c r="BG111" s="1555"/>
      <c r="BH111" s="1555"/>
      <c r="BI111" s="1555"/>
      <c r="BJ111" s="1555"/>
      <c r="BK111" s="1555"/>
      <c r="BL111" s="1555"/>
      <c r="BM111" s="1555"/>
      <c r="BN111" s="1555"/>
      <c r="BO111" s="1555"/>
      <c r="BP111" s="1555"/>
      <c r="BQ111" s="1555"/>
      <c r="BR111" s="1555"/>
      <c r="BS111" s="1555"/>
      <c r="BT111" s="1555"/>
      <c r="BU111" s="1555"/>
      <c r="BV111" s="1555"/>
      <c r="BW111" s="1555"/>
      <c r="BX111" s="1555"/>
      <c r="BY111" s="1555"/>
      <c r="BZ111" s="1555"/>
      <c r="CA111" s="1555"/>
      <c r="CB111" s="1555"/>
      <c r="CC111" s="1555"/>
      <c r="CD111" s="1555"/>
      <c r="CE111" s="1555"/>
      <c r="CF111" s="1555"/>
      <c r="CG111" s="1555"/>
      <c r="CH111" s="1555"/>
      <c r="CI111" s="1555"/>
      <c r="CJ111" s="1555"/>
      <c r="CK111" s="1555"/>
      <c r="CL111" s="1555"/>
      <c r="CM111" s="1555"/>
      <c r="CN111" s="1555"/>
      <c r="CO111" s="1555"/>
      <c r="CP111" s="1555"/>
      <c r="CQ111" s="1555"/>
      <c r="CR111" s="1555"/>
      <c r="CS111" s="1555"/>
      <c r="CT111" s="1555"/>
      <c r="CU111" s="1555"/>
      <c r="CV111" s="1555"/>
      <c r="CW111" s="1555"/>
      <c r="CX111" s="1555"/>
      <c r="CY111" s="1555"/>
      <c r="CZ111" s="1555"/>
      <c r="DA111" s="1555"/>
      <c r="DB111" s="1555"/>
      <c r="DC111" s="1555"/>
      <c r="DD111" s="1555"/>
      <c r="DE111" s="1555"/>
      <c r="DF111" s="1555"/>
      <c r="DG111" s="1555"/>
      <c r="DH111" s="1555"/>
      <c r="DI111" s="1555"/>
      <c r="DJ111" s="1555"/>
      <c r="DK111" s="1555"/>
      <c r="DL111" s="1555"/>
      <c r="DM111" s="1555"/>
      <c r="DN111" s="1555"/>
      <c r="DO111" s="1555"/>
      <c r="DP111" s="1555"/>
      <c r="DQ111" s="1555"/>
      <c r="DR111" s="1555"/>
      <c r="DS111" s="1555"/>
      <c r="DT111" s="1555"/>
      <c r="DU111" s="1555"/>
      <c r="DV111" s="1555"/>
      <c r="DW111" s="1555"/>
      <c r="DX111" s="1555"/>
      <c r="DY111" s="1555"/>
      <c r="DZ111" s="1555"/>
      <c r="EA111" s="1555"/>
      <c r="EB111" s="1555"/>
      <c r="EC111" s="1555"/>
      <c r="ED111" s="1555"/>
      <c r="EE111" s="1555"/>
      <c r="EF111" s="1555"/>
      <c r="EG111" s="1555"/>
      <c r="EH111" s="1555"/>
      <c r="EI111" s="1555"/>
      <c r="EJ111" s="1555"/>
      <c r="EK111" s="1555"/>
      <c r="EL111" s="1555"/>
      <c r="EM111" s="1555"/>
      <c r="EN111" s="1555"/>
      <c r="EO111" s="1555"/>
      <c r="EP111" s="1555"/>
      <c r="EQ111" s="1555"/>
      <c r="ER111" s="1555"/>
      <c r="ES111" s="1555"/>
      <c r="ET111" s="1555"/>
      <c r="EU111" s="1555"/>
      <c r="EV111" s="1555"/>
      <c r="EW111" s="1555"/>
      <c r="EX111" s="1555"/>
      <c r="EY111" s="1555"/>
      <c r="EZ111" s="1555"/>
      <c r="FA111" s="1555"/>
      <c r="FB111" s="1555"/>
      <c r="FC111" s="1555"/>
      <c r="FD111" s="1555"/>
      <c r="FE111" s="1555"/>
      <c r="FF111" s="1555"/>
      <c r="FG111" s="1555"/>
      <c r="FH111" s="1555"/>
      <c r="FI111" s="1555"/>
      <c r="FJ111" s="1555"/>
      <c r="FK111" s="1555"/>
      <c r="FL111" s="1555"/>
      <c r="FM111" s="1555"/>
      <c r="FN111" s="1555"/>
      <c r="FO111" s="1555"/>
      <c r="FP111" s="1555"/>
      <c r="FQ111" s="1555"/>
      <c r="FR111" s="1555"/>
      <c r="FS111" s="1555"/>
      <c r="FT111" s="1555"/>
      <c r="FU111" s="1555"/>
      <c r="FV111" s="1555"/>
      <c r="FW111" s="1556"/>
      <c r="FX111" s="1557"/>
      <c r="FY111" s="1282"/>
      <c r="FZ111" s="1282"/>
      <c r="GA111" s="1282"/>
      <c r="GB111" s="1282"/>
    </row>
    <row r="113" s="19648" customFormat="1" customHeight="1" ht="11.25">
      <c r="A113" s="2156" t="s">
        <v>2059</v>
      </c>
    </row>
    <row r="115" s="17376" customFormat="1" customHeight="1" ht="15">
      <c r="A115" s="964"/>
      <c r="B115" s="965"/>
      <c r="C115" s="965"/>
      <c r="D115" s="2919" t="s">
        <v>106</v>
      </c>
      <c r="E115" s="2718" t="s">
        <v>102</v>
      </c>
      <c r="F115" s="2719"/>
      <c r="G115" s="2720"/>
      <c r="H115" s="2724" t="str">
        <f>IF(A115="","",INDEX(DIFFERENTIATION_UNMERGE_VD,MATCH(A115,DIFFERENTIATION_ID_DIFF,0)))</f>
        <v/>
      </c>
      <c r="I115" s="2724"/>
      <c r="J115" s="2724"/>
      <c r="K115" s="2724"/>
      <c r="L115" s="2724"/>
      <c r="M115" s="2724"/>
      <c r="N115" s="2724"/>
      <c r="O115" s="2724"/>
      <c r="P115" s="2724"/>
      <c r="Q115" s="2724"/>
      <c r="R115" s="2724"/>
      <c r="S115" s="1060"/>
      <c r="T115" s="1057"/>
      <c r="U115" s="966"/>
      <c r="V115" s="966"/>
      <c r="W115" s="967"/>
      <c r="X115" s="967"/>
      <c r="Y115" s="967"/>
      <c r="Z115" s="967"/>
      <c r="AA115" s="968"/>
      <c r="AB115" s="969"/>
      <c r="AC115" s="2716"/>
      <c r="AD115" s="970"/>
      <c r="AE115" s="971" t="s">
        <v>22</v>
      </c>
      <c r="AF115" s="971"/>
      <c r="AG115" s="972" t="s">
        <v>604</v>
      </c>
      <c r="AH115" s="973">
        <v>3</v>
      </c>
      <c r="AI115" s="966"/>
      <c r="AJ115" s="966"/>
      <c r="AK115" s="966"/>
      <c r="AL115" s="966"/>
      <c r="AM115" s="966"/>
      <c r="AN115" s="966"/>
      <c r="AO115" s="966"/>
      <c r="AP115" s="966"/>
      <c r="AQ115" s="966"/>
      <c r="AR115" s="966"/>
      <c r="AS115" s="966"/>
      <c r="AT115" s="966"/>
      <c r="AU115" s="966"/>
      <c r="AV115" s="966"/>
      <c r="AW115" s="966"/>
      <c r="AX115" s="966"/>
      <c r="AY115" s="966"/>
      <c r="AZ115" s="966"/>
      <c r="BA115" s="966"/>
      <c r="BB115" s="966"/>
      <c r="BC115" s="966"/>
      <c r="BD115" s="966"/>
      <c r="BE115" s="966"/>
      <c r="BF115" s="966"/>
      <c r="BG115" s="966"/>
      <c r="BH115" s="966"/>
      <c r="BI115" s="966"/>
      <c r="BJ115" s="966"/>
      <c r="BK115" s="966"/>
      <c r="BL115" s="966"/>
      <c r="BM115" s="966"/>
      <c r="BN115" s="966"/>
      <c r="BO115" s="966"/>
      <c r="BP115" s="966"/>
      <c r="BQ115" s="966"/>
      <c r="BR115" s="966"/>
      <c r="BS115" s="966"/>
      <c r="BT115" s="966"/>
      <c r="BU115" s="966"/>
      <c r="BV115" s="967"/>
      <c r="BW115" s="967"/>
      <c r="BX115" s="967"/>
      <c r="BY115" s="967"/>
      <c r="BZ115" s="967"/>
      <c r="CA115" s="967"/>
      <c r="CB115" s="967"/>
      <c r="CC115" s="967"/>
      <c r="CD115" s="967"/>
      <c r="CE115" s="967"/>
    </row>
    <row s="17376" customFormat="1" customHeight="1" ht="15">
      <c r="A116" s="964"/>
      <c r="B116" s="965"/>
      <c r="C116" s="965"/>
      <c r="D116" s="2920"/>
      <c r="E116" s="2718" t="s">
        <v>559</v>
      </c>
      <c r="F116" s="2719"/>
      <c r="G116" s="2720"/>
      <c r="H116" s="2724" t="str">
        <f>IF(A115="","",INDEX(DIFFERENTIATION_UNMERGE_AREA,MATCH(A115,DIFFERENTIATION_ID_DIFF,0)))</f>
        <v/>
      </c>
      <c r="I116" s="2724"/>
      <c r="J116" s="2724"/>
      <c r="K116" s="2724"/>
      <c r="L116" s="2724"/>
      <c r="M116" s="2724"/>
      <c r="N116" s="2724"/>
      <c r="O116" s="2724"/>
      <c r="P116" s="2724"/>
      <c r="Q116" s="2724"/>
      <c r="R116" s="2724"/>
      <c r="S116" s="1060"/>
      <c r="T116" s="1057"/>
      <c r="U116" s="966"/>
      <c r="V116" s="966"/>
      <c r="W116" s="967"/>
      <c r="X116" s="967"/>
      <c r="Y116" s="967"/>
      <c r="Z116" s="967"/>
      <c r="AA116" s="968"/>
      <c r="AB116" s="969"/>
      <c r="AC116" s="2716"/>
      <c r="AD116" s="970"/>
      <c r="AE116" s="971"/>
      <c r="AF116" s="971"/>
      <c r="AG116" s="972"/>
      <c r="AH116" s="973"/>
      <c r="AI116" s="966"/>
      <c r="AJ116" s="966"/>
      <c r="AK116" s="966"/>
      <c r="AL116" s="966"/>
      <c r="AM116" s="966"/>
      <c r="AN116" s="966"/>
      <c r="AO116" s="966"/>
      <c r="AP116" s="966"/>
      <c r="AQ116" s="966"/>
      <c r="AR116" s="966"/>
      <c r="AS116" s="966"/>
      <c r="AT116" s="966"/>
      <c r="AU116" s="966"/>
      <c r="AV116" s="966"/>
      <c r="AW116" s="966"/>
      <c r="AX116" s="966"/>
      <c r="AY116" s="966"/>
      <c r="AZ116" s="966"/>
      <c r="BA116" s="966"/>
      <c r="BB116" s="966"/>
      <c r="BC116" s="966"/>
      <c r="BD116" s="966"/>
      <c r="BE116" s="966"/>
      <c r="BF116" s="966"/>
      <c r="BG116" s="966"/>
      <c r="BH116" s="966"/>
      <c r="BI116" s="966"/>
      <c r="BJ116" s="966"/>
      <c r="BK116" s="966"/>
      <c r="BL116" s="966"/>
      <c r="BM116" s="966"/>
      <c r="BN116" s="966"/>
      <c r="BO116" s="966"/>
      <c r="BP116" s="966"/>
      <c r="BQ116" s="966"/>
      <c r="BR116" s="966"/>
      <c r="BS116" s="966"/>
      <c r="BT116" s="966"/>
      <c r="BU116" s="966"/>
      <c r="BV116" s="967"/>
      <c r="BW116" s="967"/>
      <c r="BX116" s="967"/>
      <c r="BY116" s="967"/>
      <c r="BZ116" s="967"/>
      <c r="CA116" s="967"/>
      <c r="CB116" s="967"/>
      <c r="CC116" s="967"/>
      <c r="CD116" s="967"/>
      <c r="CE116" s="967"/>
    </row>
    <row s="17376" customFormat="1" customHeight="1" ht="15">
      <c r="A117" s="964"/>
      <c r="B117" s="965"/>
      <c r="C117" s="965"/>
      <c r="D117" s="2920"/>
      <c r="E117" s="2718" t="s">
        <v>560</v>
      </c>
      <c r="F117" s="2719"/>
      <c r="G117" s="2720"/>
      <c r="H117" s="2724" t="str">
        <f>IF(A115="","",INDEX(DIFFERENTIATION_UNMERGE_SYSTEM,MATCH(A115,DIFFERENTIATION_ID_DIFF,0)))</f>
        <v/>
      </c>
      <c r="I117" s="2724"/>
      <c r="J117" s="2724"/>
      <c r="K117" s="2724"/>
      <c r="L117" s="2724"/>
      <c r="M117" s="2724"/>
      <c r="N117" s="2724"/>
      <c r="O117" s="2724"/>
      <c r="P117" s="2724"/>
      <c r="Q117" s="2724"/>
      <c r="R117" s="2724"/>
      <c r="S117" s="1060"/>
      <c r="T117" s="1057"/>
      <c r="U117" s="966"/>
      <c r="V117" s="966"/>
      <c r="W117" s="967"/>
      <c r="X117" s="967"/>
      <c r="Y117" s="967"/>
      <c r="Z117" s="967"/>
      <c r="AA117" s="968"/>
      <c r="AB117" s="969"/>
      <c r="AC117" s="2716"/>
      <c r="AD117" s="970"/>
      <c r="AE117" s="971"/>
      <c r="AF117" s="971"/>
      <c r="AG117" s="972"/>
      <c r="AH117" s="973"/>
      <c r="AI117" s="966"/>
      <c r="AJ117" s="966"/>
      <c r="AK117" s="966"/>
      <c r="AL117" s="966"/>
      <c r="AM117" s="966"/>
      <c r="AN117" s="966"/>
      <c r="AO117" s="966"/>
      <c r="AP117" s="966"/>
      <c r="AQ117" s="966"/>
      <c r="AR117" s="966"/>
      <c r="AS117" s="966"/>
      <c r="AT117" s="966"/>
      <c r="AU117" s="966"/>
      <c r="AV117" s="966"/>
      <c r="AW117" s="966"/>
      <c r="AX117" s="966"/>
      <c r="AY117" s="966"/>
      <c r="AZ117" s="966"/>
      <c r="BA117" s="966"/>
      <c r="BB117" s="966"/>
      <c r="BC117" s="966"/>
      <c r="BD117" s="966"/>
      <c r="BE117" s="966"/>
      <c r="BF117" s="966"/>
      <c r="BG117" s="966"/>
      <c r="BH117" s="966"/>
      <c r="BI117" s="966"/>
      <c r="BJ117" s="966"/>
      <c r="BK117" s="966"/>
      <c r="BL117" s="966"/>
      <c r="BM117" s="966"/>
      <c r="BN117" s="966"/>
      <c r="BO117" s="966"/>
      <c r="BP117" s="966"/>
      <c r="BQ117" s="966"/>
      <c r="BR117" s="966"/>
      <c r="BS117" s="966"/>
      <c r="BT117" s="966"/>
      <c r="BU117" s="966"/>
      <c r="BV117" s="967"/>
      <c r="BW117" s="967"/>
      <c r="BX117" s="967"/>
      <c r="BY117" s="967"/>
      <c r="BZ117" s="967"/>
      <c r="CA117" s="967"/>
      <c r="CB117" s="967"/>
      <c r="CC117" s="967"/>
      <c r="CD117" s="967"/>
      <c r="CE117" s="967"/>
    </row>
    <row s="17376" customFormat="1" customHeight="1" ht="24.75">
      <c r="A118" s="2147"/>
      <c r="B118" s="1501"/>
      <c r="C118" s="753"/>
      <c r="D118" s="2920"/>
      <c r="E118" s="2717" t="s">
        <v>605</v>
      </c>
      <c r="F118" s="2717"/>
      <c r="G118" s="2717"/>
      <c r="H118" s="2717"/>
      <c r="I118" s="2717"/>
      <c r="J118" s="2717"/>
      <c r="K118" s="2717"/>
      <c r="L118" s="2717"/>
      <c r="M118" s="2717"/>
      <c r="N118" s="2717"/>
      <c r="O118" s="2717"/>
      <c r="P118" s="2717"/>
      <c r="Q118" s="899">
        <f>SUMIF(T119:T120,"i",Q119:Q120)</f>
        <v>0</v>
      </c>
      <c r="R118" s="1358"/>
      <c r="S118" s="2139" t="s">
        <v>606</v>
      </c>
      <c r="T118" s="1058" t="s">
        <v>607</v>
      </c>
      <c r="U118" s="2715">
        <v>1</v>
      </c>
      <c r="V118" s="2715" t="s">
        <v>570</v>
      </c>
      <c r="W118" s="1501"/>
      <c r="X118" s="1501"/>
      <c r="Y118" s="1501"/>
      <c r="Z118" s="1501"/>
      <c r="AA118" s="1977"/>
      <c r="AB118" s="1501"/>
      <c r="AC118" s="2716"/>
      <c r="AD118" s="970"/>
      <c r="AE118" s="1501"/>
      <c r="AF118" s="1501"/>
      <c r="AG118" s="1977"/>
      <c r="AH118" s="1977"/>
      <c r="AI118" s="1977"/>
      <c r="AJ118" s="1977"/>
      <c r="AK118" s="1977"/>
      <c r="AL118" s="1977"/>
      <c r="AM118" s="1977"/>
      <c r="AN118" s="1977"/>
      <c r="AO118" s="1977"/>
      <c r="AP118" s="1977"/>
      <c r="AQ118" s="1977"/>
      <c r="AR118" s="1977"/>
      <c r="AS118" s="1977"/>
      <c r="AT118" s="1977"/>
      <c r="AU118" s="1977"/>
      <c r="AV118" s="1977"/>
      <c r="AW118" s="1977"/>
      <c r="AX118" s="1977"/>
      <c r="AY118" s="1977"/>
      <c r="AZ118" s="1977"/>
      <c r="BA118" s="1977"/>
      <c r="BB118" s="1977"/>
      <c r="BC118" s="1977"/>
      <c r="BD118" s="1977"/>
      <c r="BE118" s="1977"/>
      <c r="BF118" s="1977"/>
      <c r="BG118" s="1977"/>
      <c r="BH118" s="1977"/>
      <c r="BI118" s="1977"/>
      <c r="BJ118" s="1977"/>
      <c r="BK118" s="1977"/>
      <c r="BL118" s="1977"/>
      <c r="BM118" s="1977"/>
      <c r="BN118" s="1977"/>
      <c r="BO118" s="1977"/>
      <c r="BP118" s="1977"/>
      <c r="BQ118" s="1977"/>
      <c r="BR118" s="1977"/>
      <c r="BS118" s="1977"/>
      <c r="BT118" s="1977"/>
      <c r="BU118" s="1977"/>
      <c r="BV118" s="1501"/>
      <c r="BW118" s="1501"/>
      <c r="BX118" s="1501"/>
      <c r="BY118" s="1501"/>
      <c r="BZ118" s="1501"/>
      <c r="CA118" s="1501"/>
      <c r="CB118" s="1501"/>
      <c r="CC118" s="1501"/>
      <c r="CD118" s="1501"/>
      <c r="CE118" s="1501"/>
    </row>
    <row s="17376" customFormat="1" customHeight="1" ht="11.25" hidden="1">
      <c r="A119" s="2134"/>
      <c r="B119" s="1977"/>
      <c r="C119" s="1977"/>
      <c r="D119" s="2920"/>
      <c r="E119" s="976"/>
      <c r="F119" s="976">
        <v>0</v>
      </c>
      <c r="G119" s="976"/>
      <c r="H119" s="976"/>
      <c r="I119" s="976"/>
      <c r="J119" s="976"/>
      <c r="K119" s="976"/>
      <c r="L119" s="976"/>
      <c r="M119" s="976"/>
      <c r="N119" s="976"/>
      <c r="O119" s="976"/>
      <c r="P119" s="976"/>
      <c r="Q119" s="976"/>
      <c r="R119" s="976"/>
      <c r="S119" s="977"/>
      <c r="T119" s="1059"/>
      <c r="U119" s="2715"/>
      <c r="V119" s="2715"/>
      <c r="W119" s="1977"/>
      <c r="X119" s="1977"/>
      <c r="Y119" s="1977"/>
      <c r="Z119" s="1977"/>
      <c r="AA119" s="1977"/>
      <c r="AB119" s="1501"/>
      <c r="AC119" s="2716"/>
      <c r="AD119" s="970"/>
      <c r="AE119" s="1501"/>
      <c r="AF119" s="1501"/>
      <c r="AG119" s="1977"/>
      <c r="AH119" s="1977"/>
      <c r="AI119" s="1977"/>
      <c r="AJ119" s="1977"/>
      <c r="AK119" s="1977"/>
      <c r="AL119" s="1977"/>
      <c r="AM119" s="1977"/>
      <c r="AN119" s="1977"/>
      <c r="AO119" s="1977"/>
      <c r="AP119" s="1977"/>
      <c r="AQ119" s="1977"/>
      <c r="AR119" s="1977"/>
      <c r="AS119" s="1977"/>
      <c r="AT119" s="1977"/>
      <c r="AU119" s="1977"/>
      <c r="AV119" s="1977"/>
      <c r="AW119" s="1977"/>
      <c r="AX119" s="1977"/>
      <c r="AY119" s="1977"/>
      <c r="AZ119" s="1977"/>
      <c r="BA119" s="1977"/>
      <c r="BB119" s="1977"/>
      <c r="BC119" s="1977"/>
      <c r="BD119" s="1977"/>
      <c r="BE119" s="1977"/>
      <c r="BF119" s="1977"/>
      <c r="BG119" s="1977"/>
      <c r="BH119" s="1977"/>
      <c r="BI119" s="1977"/>
      <c r="BJ119" s="1977"/>
      <c r="BK119" s="1977"/>
      <c r="BL119" s="1977"/>
      <c r="BM119" s="1977"/>
      <c r="BN119" s="1977"/>
      <c r="BO119" s="1977"/>
      <c r="BP119" s="1977"/>
      <c r="BQ119" s="1977"/>
      <c r="BR119" s="1977"/>
      <c r="BS119" s="1977"/>
      <c r="BT119" s="1977"/>
      <c r="BU119" s="1977"/>
      <c r="BV119" s="1977"/>
      <c r="BW119" s="1977"/>
      <c r="BX119" s="1977"/>
      <c r="BY119" s="1977"/>
      <c r="BZ119" s="1977"/>
      <c r="CA119" s="1977"/>
      <c r="CB119" s="1977"/>
      <c r="CC119" s="1977"/>
      <c r="CD119" s="1977"/>
      <c r="CE119" s="1977"/>
    </row>
    <row s="17376" customFormat="1" customHeight="1" ht="11.25">
      <c r="A120" s="2147"/>
      <c r="B120" s="1501"/>
      <c r="C120" s="753"/>
      <c r="D120" s="2920"/>
      <c r="E120" s="990" t="s">
        <v>22</v>
      </c>
      <c r="F120" s="1509" t="s">
        <v>22</v>
      </c>
      <c r="G120" s="1509" t="s">
        <v>2060</v>
      </c>
      <c r="H120" s="992" t="s">
        <v>22</v>
      </c>
      <c r="I120" s="992"/>
      <c r="J120" s="992"/>
      <c r="K120" s="992"/>
      <c r="L120" s="992"/>
      <c r="M120" s="992"/>
      <c r="N120" s="992"/>
      <c r="O120" s="992"/>
      <c r="P120" s="992"/>
      <c r="Q120" s="992"/>
      <c r="R120" s="993"/>
      <c r="S120" s="994"/>
      <c r="T120" s="1059"/>
      <c r="U120" s="2715"/>
      <c r="V120" s="2715"/>
      <c r="W120" s="1501"/>
      <c r="X120" s="1501"/>
      <c r="Y120" s="1501"/>
      <c r="Z120" s="1501"/>
      <c r="AA120" s="1977"/>
      <c r="AB120" s="1501"/>
      <c r="AC120" s="2716"/>
      <c r="AD120" s="970"/>
      <c r="AE120" s="1501"/>
      <c r="AF120" s="1501"/>
      <c r="AG120" s="1977"/>
      <c r="AH120" s="1977"/>
      <c r="AI120" s="1977"/>
      <c r="AJ120" s="1977"/>
      <c r="AK120" s="1977"/>
      <c r="AL120" s="1977"/>
      <c r="AM120" s="1977"/>
      <c r="AN120" s="1977"/>
      <c r="AO120" s="1977"/>
      <c r="AP120" s="1977"/>
      <c r="AQ120" s="1977"/>
      <c r="AR120" s="1977"/>
      <c r="AS120" s="1977"/>
      <c r="AT120" s="1977"/>
      <c r="AU120" s="1977"/>
      <c r="AV120" s="1977"/>
      <c r="AW120" s="1977"/>
      <c r="AX120" s="1977"/>
      <c r="AY120" s="1977"/>
      <c r="AZ120" s="1977"/>
      <c r="BA120" s="1977"/>
      <c r="BB120" s="1977"/>
      <c r="BC120" s="1977"/>
      <c r="BD120" s="1977"/>
      <c r="BE120" s="1977"/>
      <c r="BF120" s="1977"/>
      <c r="BG120" s="1977"/>
      <c r="BH120" s="1977"/>
      <c r="BI120" s="1977"/>
      <c r="BJ120" s="1977"/>
      <c r="BK120" s="1977"/>
      <c r="BL120" s="1977"/>
      <c r="BM120" s="1977"/>
      <c r="BN120" s="1977"/>
      <c r="BO120" s="1977"/>
      <c r="BP120" s="1977"/>
      <c r="BQ120" s="1977"/>
      <c r="BR120" s="1977"/>
      <c r="BS120" s="1977"/>
      <c r="BT120" s="1977"/>
      <c r="BU120" s="1977"/>
      <c r="BV120" s="1501"/>
      <c r="BW120" s="1501"/>
      <c r="BX120" s="1501"/>
      <c r="BY120" s="1501"/>
      <c r="BZ120" s="1501"/>
      <c r="CA120" s="1501"/>
      <c r="CB120" s="1501"/>
      <c r="CC120" s="1501"/>
      <c r="CD120" s="1501"/>
      <c r="CE120" s="1501"/>
    </row>
    <row s="17376" customFormat="1" customHeight="1" ht="24.75">
      <c r="A121" s="2147"/>
      <c r="B121" s="1501"/>
      <c r="C121" s="753"/>
      <c r="D121" s="2920"/>
      <c r="E121" s="2717" t="s">
        <v>608</v>
      </c>
      <c r="F121" s="2717"/>
      <c r="G121" s="2717"/>
      <c r="H121" s="2717"/>
      <c r="I121" s="2717"/>
      <c r="J121" s="2717"/>
      <c r="K121" s="2717"/>
      <c r="L121" s="2717"/>
      <c r="M121" s="2717"/>
      <c r="N121" s="2717"/>
      <c r="O121" s="2717"/>
      <c r="P121" s="2717"/>
      <c r="Q121" s="899">
        <f>SUMIF(T122:T123,"i",Q122:Q123)</f>
        <v>0</v>
      </c>
      <c r="R121" s="1358"/>
      <c r="S121" s="2139" t="s">
        <v>609</v>
      </c>
      <c r="T121" s="1058" t="s">
        <v>607</v>
      </c>
      <c r="U121" s="2715">
        <v>1</v>
      </c>
      <c r="V121" s="2715" t="s">
        <v>570</v>
      </c>
      <c r="W121" s="1501"/>
      <c r="X121" s="1501"/>
      <c r="Y121" s="1501"/>
      <c r="Z121" s="1501"/>
      <c r="AA121" s="1977"/>
      <c r="AB121" s="1501"/>
      <c r="AC121" s="2137"/>
      <c r="AD121" s="970"/>
      <c r="AE121" s="1501"/>
      <c r="AF121" s="1501"/>
      <c r="AG121" s="1977"/>
      <c r="AH121" s="1977"/>
      <c r="AI121" s="1977"/>
      <c r="AJ121" s="1977"/>
      <c r="AK121" s="1977"/>
      <c r="AL121" s="1977"/>
      <c r="AM121" s="1977"/>
      <c r="AN121" s="1977"/>
      <c r="AO121" s="1977"/>
      <c r="AP121" s="1977"/>
      <c r="AQ121" s="1977"/>
      <c r="AR121" s="1977"/>
      <c r="AS121" s="1977"/>
      <c r="AT121" s="1977"/>
      <c r="AU121" s="1977"/>
      <c r="AV121" s="1977"/>
      <c r="AW121" s="1977"/>
      <c r="AX121" s="1977"/>
      <c r="AY121" s="1977"/>
      <c r="AZ121" s="1977"/>
      <c r="BA121" s="1977"/>
      <c r="BB121" s="1977"/>
      <c r="BC121" s="1977"/>
      <c r="BD121" s="1977"/>
      <c r="BE121" s="1977"/>
      <c r="BF121" s="1977"/>
      <c r="BG121" s="1977"/>
      <c r="BH121" s="1977"/>
      <c r="BI121" s="1977"/>
      <c r="BJ121" s="1977"/>
      <c r="BK121" s="1977"/>
      <c r="BL121" s="1977"/>
      <c r="BM121" s="1977"/>
      <c r="BN121" s="1977"/>
      <c r="BO121" s="1977"/>
      <c r="BP121" s="1977"/>
      <c r="BQ121" s="1977"/>
      <c r="BR121" s="1977"/>
      <c r="BS121" s="1977"/>
      <c r="BT121" s="1977"/>
      <c r="BU121" s="1977"/>
      <c r="BV121" s="1501"/>
      <c r="BW121" s="1501"/>
      <c r="BX121" s="1501"/>
      <c r="BY121" s="1501"/>
      <c r="BZ121" s="1501"/>
      <c r="CA121" s="1501"/>
      <c r="CB121" s="1501"/>
      <c r="CC121" s="1501"/>
      <c r="CD121" s="1501"/>
      <c r="CE121" s="1501"/>
    </row>
    <row s="17376" customFormat="1" customHeight="1" ht="11.25" hidden="1">
      <c r="A122" s="2134"/>
      <c r="B122" s="1977"/>
      <c r="C122" s="1977"/>
      <c r="D122" s="2920"/>
      <c r="E122" s="976"/>
      <c r="F122" s="976">
        <v>0</v>
      </c>
      <c r="G122" s="976"/>
      <c r="H122" s="976"/>
      <c r="I122" s="976"/>
      <c r="J122" s="976"/>
      <c r="K122" s="976"/>
      <c r="L122" s="976"/>
      <c r="M122" s="976"/>
      <c r="N122" s="976"/>
      <c r="O122" s="976"/>
      <c r="P122" s="976"/>
      <c r="Q122" s="976"/>
      <c r="R122" s="976"/>
      <c r="S122" s="977"/>
      <c r="T122" s="1059"/>
      <c r="U122" s="2715"/>
      <c r="V122" s="2715"/>
      <c r="W122" s="1977"/>
      <c r="X122" s="1977"/>
      <c r="Y122" s="1977"/>
      <c r="Z122" s="1977"/>
      <c r="AA122" s="1977"/>
      <c r="AB122" s="1501"/>
      <c r="AC122" s="2137"/>
      <c r="AD122" s="970"/>
      <c r="AE122" s="1501"/>
      <c r="AF122" s="1501"/>
      <c r="AG122" s="1977"/>
      <c r="AH122" s="1977"/>
      <c r="AI122" s="1977"/>
      <c r="AJ122" s="1977"/>
      <c r="AK122" s="1977"/>
      <c r="AL122" s="1977"/>
      <c r="AM122" s="1977"/>
      <c r="AN122" s="1977"/>
      <c r="AO122" s="1977"/>
      <c r="AP122" s="1977"/>
      <c r="AQ122" s="1977"/>
      <c r="AR122" s="1977"/>
      <c r="AS122" s="1977"/>
      <c r="AT122" s="1977"/>
      <c r="AU122" s="1977"/>
      <c r="AV122" s="1977"/>
      <c r="AW122" s="1977"/>
      <c r="AX122" s="1977"/>
      <c r="AY122" s="1977"/>
      <c r="AZ122" s="1977"/>
      <c r="BA122" s="1977"/>
      <c r="BB122" s="1977"/>
      <c r="BC122" s="1977"/>
      <c r="BD122" s="1977"/>
      <c r="BE122" s="1977"/>
      <c r="BF122" s="1977"/>
      <c r="BG122" s="1977"/>
      <c r="BH122" s="1977"/>
      <c r="BI122" s="1977"/>
      <c r="BJ122" s="1977"/>
      <c r="BK122" s="1977"/>
      <c r="BL122" s="1977"/>
      <c r="BM122" s="1977"/>
      <c r="BN122" s="1977"/>
      <c r="BO122" s="1977"/>
      <c r="BP122" s="1977"/>
      <c r="BQ122" s="1977"/>
      <c r="BR122" s="1977"/>
      <c r="BS122" s="1977"/>
      <c r="BT122" s="1977"/>
      <c r="BU122" s="1977"/>
      <c r="BV122" s="1977"/>
      <c r="BW122" s="1977"/>
      <c r="BX122" s="1977"/>
      <c r="BY122" s="1977"/>
      <c r="BZ122" s="1977"/>
      <c r="CA122" s="1977"/>
      <c r="CB122" s="1977"/>
      <c r="CC122" s="1977"/>
      <c r="CD122" s="1977"/>
      <c r="CE122" s="1977"/>
    </row>
    <row s="17376" customFormat="1" customHeight="1" ht="11.25">
      <c r="A123" s="2147"/>
      <c r="B123" s="1501"/>
      <c r="C123" s="753"/>
      <c r="D123" s="2921"/>
      <c r="E123" s="990" t="s">
        <v>22</v>
      </c>
      <c r="F123" s="1509" t="s">
        <v>22</v>
      </c>
      <c r="G123" s="1509" t="s">
        <v>2060</v>
      </c>
      <c r="H123" s="992" t="s">
        <v>22</v>
      </c>
      <c r="I123" s="992"/>
      <c r="J123" s="992"/>
      <c r="K123" s="992"/>
      <c r="L123" s="992"/>
      <c r="M123" s="992"/>
      <c r="N123" s="992"/>
      <c r="O123" s="992"/>
      <c r="P123" s="992"/>
      <c r="Q123" s="992"/>
      <c r="R123" s="993"/>
      <c r="S123" s="994"/>
      <c r="T123" s="1059"/>
      <c r="U123" s="2715"/>
      <c r="V123" s="2715"/>
      <c r="W123" s="1501"/>
      <c r="X123" s="1501"/>
      <c r="Y123" s="1501"/>
      <c r="Z123" s="1501"/>
      <c r="AA123" s="1977"/>
      <c r="AB123" s="1501"/>
      <c r="AC123" s="2137"/>
      <c r="AD123" s="970"/>
      <c r="AE123" s="1501"/>
      <c r="AF123" s="1501"/>
      <c r="AG123" s="1977"/>
      <c r="AH123" s="1977"/>
      <c r="AI123" s="1977"/>
      <c r="AJ123" s="1977"/>
      <c r="AK123" s="1977"/>
      <c r="AL123" s="1977"/>
      <c r="AM123" s="1977"/>
      <c r="AN123" s="1977"/>
      <c r="AO123" s="1977"/>
      <c r="AP123" s="1977"/>
      <c r="AQ123" s="1977"/>
      <c r="AR123" s="1977"/>
      <c r="AS123" s="1977"/>
      <c r="AT123" s="1977"/>
      <c r="AU123" s="1977"/>
      <c r="AV123" s="1977"/>
      <c r="AW123" s="1977"/>
      <c r="AX123" s="1977"/>
      <c r="AY123" s="1977"/>
      <c r="AZ123" s="1977"/>
      <c r="BA123" s="1977"/>
      <c r="BB123" s="1977"/>
      <c r="BC123" s="1977"/>
      <c r="BD123" s="1977"/>
      <c r="BE123" s="1977"/>
      <c r="BF123" s="1977"/>
      <c r="BG123" s="1977"/>
      <c r="BH123" s="1977"/>
      <c r="BI123" s="1977"/>
      <c r="BJ123" s="1977"/>
      <c r="BK123" s="1977"/>
      <c r="BL123" s="1977"/>
      <c r="BM123" s="1977"/>
      <c r="BN123" s="1977"/>
      <c r="BO123" s="1977"/>
      <c r="BP123" s="1977"/>
      <c r="BQ123" s="1977"/>
      <c r="BR123" s="1977"/>
      <c r="BS123" s="1977"/>
      <c r="BT123" s="1977"/>
      <c r="BU123" s="1977"/>
      <c r="BV123" s="1501"/>
      <c r="BW123" s="1501"/>
      <c r="BX123" s="1501"/>
      <c r="BY123" s="1501"/>
      <c r="BZ123" s="1501"/>
      <c r="CA123" s="1501"/>
      <c r="CB123" s="1501"/>
      <c r="CC123" s="1501"/>
      <c r="CD123" s="1501"/>
      <c r="CE123" s="1501"/>
    </row>
    <row r="125" s="19648" customFormat="1" customHeight="1" ht="11.25">
      <c r="A125" s="2156" t="s">
        <v>2061</v>
      </c>
    </row>
    <row r="127" s="17376" customFormat="1" customHeight="1" ht="15">
      <c r="A127" s="964"/>
      <c r="B127" s="965"/>
      <c r="C127" s="965"/>
      <c r="D127" s="2919" t="s">
        <v>106</v>
      </c>
      <c r="E127" s="2718" t="s">
        <v>102</v>
      </c>
      <c r="F127" s="2719"/>
      <c r="G127" s="2720"/>
      <c r="H127" s="2724" t="str">
        <f>IF(A127="","",INDEX(DIFFERENTIATION_UNMERGE_VD,MATCH(A127,DIFFERENTIATION_ID_DIFF,0)))</f>
        <v/>
      </c>
      <c r="I127" s="2724"/>
      <c r="J127" s="2724"/>
      <c r="K127" s="2724"/>
      <c r="L127" s="2724"/>
      <c r="M127" s="2724"/>
      <c r="N127" s="2724"/>
      <c r="O127" s="2724"/>
      <c r="P127" s="2724"/>
      <c r="Q127" s="2724"/>
      <c r="R127" s="2724"/>
      <c r="S127" s="1060"/>
      <c r="T127" s="1057"/>
      <c r="U127" s="966"/>
      <c r="V127" s="966"/>
      <c r="W127" s="967"/>
      <c r="X127" s="967"/>
      <c r="Y127" s="967"/>
      <c r="Z127" s="967"/>
      <c r="AA127" s="968"/>
      <c r="AB127" s="969"/>
      <c r="AC127" s="2716"/>
      <c r="AD127" s="970"/>
      <c r="AE127" s="971" t="s">
        <v>22</v>
      </c>
      <c r="AF127" s="971"/>
      <c r="AG127" s="972" t="s">
        <v>604</v>
      </c>
      <c r="AH127" s="973">
        <v>3</v>
      </c>
      <c r="AI127" s="966"/>
      <c r="AJ127" s="966"/>
      <c r="AK127" s="966"/>
      <c r="AL127" s="966"/>
      <c r="AM127" s="966"/>
      <c r="AN127" s="966"/>
      <c r="AO127" s="966"/>
      <c r="AP127" s="966"/>
      <c r="AQ127" s="966"/>
      <c r="AR127" s="966"/>
      <c r="AS127" s="966"/>
      <c r="AT127" s="966"/>
      <c r="AU127" s="966"/>
      <c r="AV127" s="966"/>
      <c r="AW127" s="966"/>
      <c r="AX127" s="966"/>
      <c r="AY127" s="966"/>
      <c r="AZ127" s="966"/>
      <c r="BA127" s="966"/>
      <c r="BB127" s="966"/>
      <c r="BC127" s="966"/>
      <c r="BD127" s="966"/>
      <c r="BE127" s="966"/>
      <c r="BF127" s="966"/>
      <c r="BG127" s="966"/>
      <c r="BH127" s="966"/>
      <c r="BI127" s="966"/>
      <c r="BJ127" s="966"/>
      <c r="BK127" s="966"/>
      <c r="BL127" s="966"/>
      <c r="BM127" s="966"/>
      <c r="BN127" s="966"/>
      <c r="BO127" s="966"/>
      <c r="BP127" s="966"/>
      <c r="BQ127" s="966"/>
      <c r="BR127" s="966"/>
      <c r="BS127" s="966"/>
      <c r="BT127" s="966"/>
      <c r="BU127" s="966"/>
      <c r="BV127" s="967"/>
      <c r="BW127" s="967"/>
      <c r="BX127" s="967"/>
      <c r="BY127" s="967"/>
      <c r="BZ127" s="967"/>
      <c r="CA127" s="967"/>
      <c r="CB127" s="967"/>
      <c r="CC127" s="967"/>
      <c r="CD127" s="967"/>
      <c r="CE127" s="967"/>
    </row>
    <row s="17376" customFormat="1" customHeight="1" ht="15">
      <c r="A128" s="964"/>
      <c r="B128" s="965"/>
      <c r="C128" s="965"/>
      <c r="D128" s="2920"/>
      <c r="E128" s="2718" t="s">
        <v>559</v>
      </c>
      <c r="F128" s="2719"/>
      <c r="G128" s="2720"/>
      <c r="H128" s="2724" t="str">
        <f>IF(A127="","",INDEX(DIFFERENTIATION_UNMERGE_AREA,MATCH(A127,DIFFERENTIATION_ID_DIFF,0)))</f>
        <v/>
      </c>
      <c r="I128" s="2724"/>
      <c r="J128" s="2724"/>
      <c r="K128" s="2724"/>
      <c r="L128" s="2724"/>
      <c r="M128" s="2724"/>
      <c r="N128" s="2724"/>
      <c r="O128" s="2724"/>
      <c r="P128" s="2724"/>
      <c r="Q128" s="2724"/>
      <c r="R128" s="2724"/>
      <c r="S128" s="1060"/>
      <c r="T128" s="1057"/>
      <c r="U128" s="966"/>
      <c r="V128" s="966"/>
      <c r="W128" s="967"/>
      <c r="X128" s="967"/>
      <c r="Y128" s="967"/>
      <c r="Z128" s="967"/>
      <c r="AA128" s="968"/>
      <c r="AB128" s="969"/>
      <c r="AC128" s="2716"/>
      <c r="AD128" s="970"/>
      <c r="AE128" s="971"/>
      <c r="AF128" s="971"/>
      <c r="AG128" s="972"/>
      <c r="AH128" s="973"/>
      <c r="AI128" s="966"/>
      <c r="AJ128" s="966"/>
      <c r="AK128" s="966"/>
      <c r="AL128" s="966"/>
      <c r="AM128" s="966"/>
      <c r="AN128" s="966"/>
      <c r="AO128" s="966"/>
      <c r="AP128" s="966"/>
      <c r="AQ128" s="966"/>
      <c r="AR128" s="966"/>
      <c r="AS128" s="966"/>
      <c r="AT128" s="966"/>
      <c r="AU128" s="966"/>
      <c r="AV128" s="966"/>
      <c r="AW128" s="966"/>
      <c r="AX128" s="966"/>
      <c r="AY128" s="966"/>
      <c r="AZ128" s="966"/>
      <c r="BA128" s="966"/>
      <c r="BB128" s="966"/>
      <c r="BC128" s="966"/>
      <c r="BD128" s="966"/>
      <c r="BE128" s="966"/>
      <c r="BF128" s="966"/>
      <c r="BG128" s="966"/>
      <c r="BH128" s="966"/>
      <c r="BI128" s="966"/>
      <c r="BJ128" s="966"/>
      <c r="BK128" s="966"/>
      <c r="BL128" s="966"/>
      <c r="BM128" s="966"/>
      <c r="BN128" s="966"/>
      <c r="BO128" s="966"/>
      <c r="BP128" s="966"/>
      <c r="BQ128" s="966"/>
      <c r="BR128" s="966"/>
      <c r="BS128" s="966"/>
      <c r="BT128" s="966"/>
      <c r="BU128" s="966"/>
      <c r="BV128" s="967"/>
      <c r="BW128" s="967"/>
      <c r="BX128" s="967"/>
      <c r="BY128" s="967"/>
      <c r="BZ128" s="967"/>
      <c r="CA128" s="967"/>
      <c r="CB128" s="967"/>
      <c r="CC128" s="967"/>
      <c r="CD128" s="967"/>
      <c r="CE128" s="967"/>
    </row>
    <row s="17376" customFormat="1" customHeight="1" ht="15">
      <c r="A129" s="964"/>
      <c r="B129" s="965"/>
      <c r="C129" s="965"/>
      <c r="D129" s="2920"/>
      <c r="E129" s="2718" t="s">
        <v>560</v>
      </c>
      <c r="F129" s="2719"/>
      <c r="G129" s="2720"/>
      <c r="H129" s="2724" t="str">
        <f>IF(A127="","",INDEX(DIFFERENTIATION_UNMERGE_SYSTEM,MATCH(A127,DIFFERENTIATION_ID_DIFF,0)))</f>
        <v/>
      </c>
      <c r="I129" s="2724"/>
      <c r="J129" s="2724"/>
      <c r="K129" s="2724"/>
      <c r="L129" s="2724"/>
      <c r="M129" s="2724"/>
      <c r="N129" s="2724"/>
      <c r="O129" s="2724"/>
      <c r="P129" s="2724"/>
      <c r="Q129" s="2724"/>
      <c r="R129" s="2724"/>
      <c r="S129" s="1060"/>
      <c r="T129" s="1057"/>
      <c r="U129" s="966"/>
      <c r="V129" s="966"/>
      <c r="W129" s="967"/>
      <c r="X129" s="967"/>
      <c r="Y129" s="967"/>
      <c r="Z129" s="967"/>
      <c r="AA129" s="968"/>
      <c r="AB129" s="969"/>
      <c r="AC129" s="2716"/>
      <c r="AD129" s="970"/>
      <c r="AE129" s="971"/>
      <c r="AF129" s="971"/>
      <c r="AG129" s="972"/>
      <c r="AH129" s="973"/>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66"/>
      <c r="BF129" s="966"/>
      <c r="BG129" s="966"/>
      <c r="BH129" s="966"/>
      <c r="BI129" s="966"/>
      <c r="BJ129" s="966"/>
      <c r="BK129" s="966"/>
      <c r="BL129" s="966"/>
      <c r="BM129" s="966"/>
      <c r="BN129" s="966"/>
      <c r="BO129" s="966"/>
      <c r="BP129" s="966"/>
      <c r="BQ129" s="966"/>
      <c r="BR129" s="966"/>
      <c r="BS129" s="966"/>
      <c r="BT129" s="966"/>
      <c r="BU129" s="966"/>
      <c r="BV129" s="967"/>
      <c r="BW129" s="967"/>
      <c r="BX129" s="967"/>
      <c r="BY129" s="967"/>
      <c r="BZ129" s="967"/>
      <c r="CA129" s="967"/>
      <c r="CB129" s="967"/>
      <c r="CC129" s="967"/>
      <c r="CD129" s="967"/>
      <c r="CE129" s="967"/>
    </row>
    <row s="17376" customFormat="1" customHeight="1" ht="24.75">
      <c r="A130" s="2147"/>
      <c r="B130" s="1501"/>
      <c r="C130" s="753"/>
      <c r="D130" s="2920"/>
      <c r="E130" s="2717" t="s">
        <v>605</v>
      </c>
      <c r="F130" s="2717"/>
      <c r="G130" s="2717"/>
      <c r="H130" s="2717"/>
      <c r="I130" s="2717"/>
      <c r="J130" s="2717"/>
      <c r="K130" s="2717"/>
      <c r="L130" s="2717"/>
      <c r="M130" s="2717"/>
      <c r="N130" s="2717"/>
      <c r="O130" s="2717"/>
      <c r="P130" s="2717"/>
      <c r="Q130" s="899">
        <f>SUMIF(T131:T132,"i",Q131:Q132)</f>
        <v>0</v>
      </c>
      <c r="R130" s="1358"/>
      <c r="S130" s="2139" t="s">
        <v>606</v>
      </c>
      <c r="T130" s="1058" t="s">
        <v>607</v>
      </c>
      <c r="U130" s="2715">
        <v>1</v>
      </c>
      <c r="V130" s="2715" t="s">
        <v>570</v>
      </c>
      <c r="W130" s="1501"/>
      <c r="X130" s="1501"/>
      <c r="Y130" s="1501"/>
      <c r="Z130" s="1501"/>
      <c r="AA130" s="1977"/>
      <c r="AB130" s="1501"/>
      <c r="AC130" s="2716"/>
      <c r="AD130" s="970"/>
      <c r="AE130" s="1501"/>
      <c r="AF130" s="1501"/>
      <c r="AG130" s="1977"/>
      <c r="AH130" s="1977"/>
      <c r="AI130" s="1977"/>
      <c r="AJ130" s="1977"/>
      <c r="AK130" s="1977"/>
      <c r="AL130" s="1977"/>
      <c r="AM130" s="1977"/>
      <c r="AN130" s="1977"/>
      <c r="AO130" s="1977"/>
      <c r="AP130" s="1977"/>
      <c r="AQ130" s="1977"/>
      <c r="AR130" s="1977"/>
      <c r="AS130" s="1977"/>
      <c r="AT130" s="1977"/>
      <c r="AU130" s="1977"/>
      <c r="AV130" s="1977"/>
      <c r="AW130" s="1977"/>
      <c r="AX130" s="1977"/>
      <c r="AY130" s="1977"/>
      <c r="AZ130" s="1977"/>
      <c r="BA130" s="1977"/>
      <c r="BB130" s="1977"/>
      <c r="BC130" s="1977"/>
      <c r="BD130" s="1977"/>
      <c r="BE130" s="1977"/>
      <c r="BF130" s="1977"/>
      <c r="BG130" s="1977"/>
      <c r="BH130" s="1977"/>
      <c r="BI130" s="1977"/>
      <c r="BJ130" s="1977"/>
      <c r="BK130" s="1977"/>
      <c r="BL130" s="1977"/>
      <c r="BM130" s="1977"/>
      <c r="BN130" s="1977"/>
      <c r="BO130" s="1977"/>
      <c r="BP130" s="1977"/>
      <c r="BQ130" s="1977"/>
      <c r="BR130" s="1977"/>
      <c r="BS130" s="1977"/>
      <c r="BT130" s="1977"/>
      <c r="BU130" s="1977"/>
      <c r="BV130" s="1501"/>
      <c r="BW130" s="1501"/>
      <c r="BX130" s="1501"/>
      <c r="BY130" s="1501"/>
      <c r="BZ130" s="1501"/>
      <c r="CA130" s="1501"/>
      <c r="CB130" s="1501"/>
      <c r="CC130" s="1501"/>
      <c r="CD130" s="1501"/>
      <c r="CE130" s="1501"/>
    </row>
    <row s="17376" customFormat="1" customHeight="1" ht="11.25" hidden="1">
      <c r="A131" s="2134"/>
      <c r="B131" s="1977"/>
      <c r="C131" s="1977"/>
      <c r="D131" s="2920"/>
      <c r="E131" s="976"/>
      <c r="F131" s="976">
        <v>0</v>
      </c>
      <c r="G131" s="976"/>
      <c r="H131" s="976"/>
      <c r="I131" s="976"/>
      <c r="J131" s="976"/>
      <c r="K131" s="976"/>
      <c r="L131" s="976"/>
      <c r="M131" s="976"/>
      <c r="N131" s="976"/>
      <c r="O131" s="976"/>
      <c r="P131" s="976"/>
      <c r="Q131" s="976"/>
      <c r="R131" s="976"/>
      <c r="S131" s="977"/>
      <c r="T131" s="1059"/>
      <c r="U131" s="2715"/>
      <c r="V131" s="2715"/>
      <c r="W131" s="1977"/>
      <c r="X131" s="1977"/>
      <c r="Y131" s="1977"/>
      <c r="Z131" s="1977"/>
      <c r="AA131" s="1977"/>
      <c r="AB131" s="1501"/>
      <c r="AC131" s="2716"/>
      <c r="AD131" s="970"/>
      <c r="AE131" s="1501"/>
      <c r="AF131" s="1501"/>
      <c r="AG131" s="1977"/>
      <c r="AH131" s="1977"/>
      <c r="AI131" s="1977"/>
      <c r="AJ131" s="1977"/>
      <c r="AK131" s="1977"/>
      <c r="AL131" s="1977"/>
      <c r="AM131" s="1977"/>
      <c r="AN131" s="1977"/>
      <c r="AO131" s="1977"/>
      <c r="AP131" s="1977"/>
      <c r="AQ131" s="1977"/>
      <c r="AR131" s="1977"/>
      <c r="AS131" s="1977"/>
      <c r="AT131" s="1977"/>
      <c r="AU131" s="1977"/>
      <c r="AV131" s="1977"/>
      <c r="AW131" s="1977"/>
      <c r="AX131" s="1977"/>
      <c r="AY131" s="1977"/>
      <c r="AZ131" s="1977"/>
      <c r="BA131" s="1977"/>
      <c r="BB131" s="1977"/>
      <c r="BC131" s="1977"/>
      <c r="BD131" s="1977"/>
      <c r="BE131" s="1977"/>
      <c r="BF131" s="1977"/>
      <c r="BG131" s="1977"/>
      <c r="BH131" s="1977"/>
      <c r="BI131" s="1977"/>
      <c r="BJ131" s="1977"/>
      <c r="BK131" s="1977"/>
      <c r="BL131" s="1977"/>
      <c r="BM131" s="1977"/>
      <c r="BN131" s="1977"/>
      <c r="BO131" s="1977"/>
      <c r="BP131" s="1977"/>
      <c r="BQ131" s="1977"/>
      <c r="BR131" s="1977"/>
      <c r="BS131" s="1977"/>
      <c r="BT131" s="1977"/>
      <c r="BU131" s="1977"/>
      <c r="BV131" s="1977"/>
      <c r="BW131" s="1977"/>
      <c r="BX131" s="1977"/>
      <c r="BY131" s="1977"/>
      <c r="BZ131" s="1977"/>
      <c r="CA131" s="1977"/>
      <c r="CB131" s="1977"/>
      <c r="CC131" s="1977"/>
      <c r="CD131" s="1977"/>
      <c r="CE131" s="1977"/>
    </row>
    <row s="17376" customFormat="1" customHeight="1" ht="11.25">
      <c r="A132" s="2147"/>
      <c r="B132" s="1501"/>
      <c r="C132" s="753"/>
      <c r="D132" s="2920"/>
      <c r="E132" s="990" t="s">
        <v>22</v>
      </c>
      <c r="F132" s="1509" t="s">
        <v>22</v>
      </c>
      <c r="G132" s="1509" t="s">
        <v>2060</v>
      </c>
      <c r="H132" s="992" t="s">
        <v>22</v>
      </c>
      <c r="I132" s="992"/>
      <c r="J132" s="992"/>
      <c r="K132" s="992"/>
      <c r="L132" s="992"/>
      <c r="M132" s="992"/>
      <c r="N132" s="992"/>
      <c r="O132" s="992"/>
      <c r="P132" s="992"/>
      <c r="Q132" s="992"/>
      <c r="R132" s="993"/>
      <c r="S132" s="994"/>
      <c r="T132" s="1059"/>
      <c r="U132" s="2715"/>
      <c r="V132" s="2715"/>
      <c r="W132" s="1501"/>
      <c r="X132" s="1501"/>
      <c r="Y132" s="1501"/>
      <c r="Z132" s="1501"/>
      <c r="AA132" s="1977"/>
      <c r="AB132" s="1501"/>
      <c r="AC132" s="2716"/>
      <c r="AD132" s="970"/>
      <c r="AE132" s="1501"/>
      <c r="AF132" s="1501"/>
      <c r="AG132" s="1977"/>
      <c r="AH132" s="1977"/>
      <c r="AI132" s="1977"/>
      <c r="AJ132" s="1977"/>
      <c r="AK132" s="1977"/>
      <c r="AL132" s="1977"/>
      <c r="AM132" s="1977"/>
      <c r="AN132" s="1977"/>
      <c r="AO132" s="1977"/>
      <c r="AP132" s="1977"/>
      <c r="AQ132" s="1977"/>
      <c r="AR132" s="1977"/>
      <c r="AS132" s="1977"/>
      <c r="AT132" s="1977"/>
      <c r="AU132" s="1977"/>
      <c r="AV132" s="1977"/>
      <c r="AW132" s="1977"/>
      <c r="AX132" s="1977"/>
      <c r="AY132" s="1977"/>
      <c r="AZ132" s="1977"/>
      <c r="BA132" s="1977"/>
      <c r="BB132" s="1977"/>
      <c r="BC132" s="1977"/>
      <c r="BD132" s="1977"/>
      <c r="BE132" s="1977"/>
      <c r="BF132" s="1977"/>
      <c r="BG132" s="1977"/>
      <c r="BH132" s="1977"/>
      <c r="BI132" s="1977"/>
      <c r="BJ132" s="1977"/>
      <c r="BK132" s="1977"/>
      <c r="BL132" s="1977"/>
      <c r="BM132" s="1977"/>
      <c r="BN132" s="1977"/>
      <c r="BO132" s="1977"/>
      <c r="BP132" s="1977"/>
      <c r="BQ132" s="1977"/>
      <c r="BR132" s="1977"/>
      <c r="BS132" s="1977"/>
      <c r="BT132" s="1977"/>
      <c r="BU132" s="1977"/>
      <c r="BV132" s="1501"/>
      <c r="BW132" s="1501"/>
      <c r="BX132" s="1501"/>
      <c r="BY132" s="1501"/>
      <c r="BZ132" s="1501"/>
      <c r="CA132" s="1501"/>
      <c r="CB132" s="1501"/>
      <c r="CC132" s="1501"/>
      <c r="CD132" s="1501"/>
      <c r="CE132" s="1501"/>
    </row>
    <row s="17623" customFormat="1" customHeight="1" ht="5.25" hidden="1">
      <c r="A133" s="2134"/>
      <c r="B133" s="1977"/>
      <c r="C133" s="1977"/>
      <c r="D133" s="2920"/>
      <c r="E133" s="1380"/>
      <c r="F133" s="1380"/>
      <c r="G133" s="1380"/>
      <c r="H133" s="1380"/>
      <c r="I133" s="1380"/>
      <c r="J133" s="1380"/>
      <c r="K133" s="1380"/>
      <c r="L133" s="1380"/>
      <c r="M133" s="1380"/>
      <c r="N133" s="1380"/>
      <c r="O133" s="1380"/>
      <c r="P133" s="1380"/>
      <c r="Q133" s="1381"/>
      <c r="R133" s="1382"/>
      <c r="S133" s="1383"/>
      <c r="T133" s="1058" t="s">
        <v>607</v>
      </c>
      <c r="U133" s="2715">
        <v>1</v>
      </c>
      <c r="V133" s="2715" t="s">
        <v>570</v>
      </c>
      <c r="W133" s="1977"/>
      <c r="X133" s="1977"/>
      <c r="Y133" s="1977"/>
      <c r="Z133" s="1977"/>
      <c r="AA133" s="1977"/>
      <c r="AB133" s="1977"/>
      <c r="AC133" s="1378"/>
      <c r="AD133" s="1379"/>
      <c r="AE133" s="1977"/>
      <c r="AF133" s="1977"/>
      <c r="AG133" s="1977"/>
      <c r="AH133" s="1977"/>
      <c r="AI133" s="1977"/>
      <c r="AJ133" s="1977"/>
      <c r="AK133" s="1977"/>
      <c r="AL133" s="1977"/>
      <c r="AM133" s="1977"/>
      <c r="AN133" s="1977"/>
      <c r="AO133" s="1977"/>
      <c r="AP133" s="1977"/>
      <c r="AQ133" s="1977"/>
      <c r="AR133" s="1977"/>
      <c r="AS133" s="1977"/>
      <c r="AT133" s="1977"/>
      <c r="AU133" s="1977"/>
      <c r="AV133" s="1977"/>
      <c r="AW133" s="1977"/>
      <c r="AX133" s="1977"/>
      <c r="AY133" s="1977"/>
      <c r="AZ133" s="1977"/>
      <c r="BA133" s="1977"/>
      <c r="BB133" s="1977"/>
      <c r="BC133" s="1977"/>
      <c r="BD133" s="1977"/>
      <c r="BE133" s="1977"/>
      <c r="BF133" s="1977"/>
      <c r="BG133" s="1977"/>
      <c r="BH133" s="1977"/>
      <c r="BI133" s="1977"/>
      <c r="BJ133" s="1977"/>
      <c r="BK133" s="1977"/>
      <c r="BL133" s="1977"/>
      <c r="BM133" s="1977"/>
      <c r="BN133" s="1977"/>
      <c r="BO133" s="1977"/>
      <c r="BP133" s="1977"/>
      <c r="BQ133" s="1977"/>
      <c r="BR133" s="1977"/>
      <c r="BS133" s="1977"/>
      <c r="BT133" s="1977"/>
      <c r="BU133" s="1977"/>
      <c r="BV133" s="1977"/>
      <c r="BW133" s="1977"/>
      <c r="BX133" s="1977"/>
      <c r="BY133" s="1977"/>
      <c r="BZ133" s="1977"/>
      <c r="CA133" s="1977"/>
      <c r="CB133" s="1977"/>
      <c r="CC133" s="1977"/>
      <c r="CD133" s="1977"/>
      <c r="CE133" s="1977"/>
    </row>
    <row s="17623" customFormat="1" customHeight="1" ht="5.25" hidden="1">
      <c r="A134" s="2134"/>
      <c r="B134" s="1977"/>
      <c r="C134" s="1977"/>
      <c r="D134" s="2920"/>
      <c r="E134" s="976"/>
      <c r="F134" s="976"/>
      <c r="G134" s="976"/>
      <c r="H134" s="976"/>
      <c r="I134" s="976"/>
      <c r="J134" s="976"/>
      <c r="K134" s="976"/>
      <c r="L134" s="976"/>
      <c r="M134" s="976"/>
      <c r="N134" s="976"/>
      <c r="O134" s="976"/>
      <c r="P134" s="976"/>
      <c r="Q134" s="976"/>
      <c r="R134" s="976"/>
      <c r="S134" s="977"/>
      <c r="T134" s="1059"/>
      <c r="U134" s="2715"/>
      <c r="V134" s="2715"/>
      <c r="W134" s="1977"/>
      <c r="X134" s="1977"/>
      <c r="Y134" s="1977"/>
      <c r="Z134" s="1977"/>
      <c r="AA134" s="1977"/>
      <c r="AB134" s="1977"/>
      <c r="AC134" s="1378"/>
      <c r="AD134" s="1379"/>
      <c r="AE134" s="1977"/>
      <c r="AF134" s="1977"/>
      <c r="AG134" s="1977"/>
      <c r="AH134" s="1977"/>
      <c r="AI134" s="1977"/>
      <c r="AJ134" s="1977"/>
      <c r="AK134" s="1977"/>
      <c r="AL134" s="1977"/>
      <c r="AM134" s="1977"/>
      <c r="AN134" s="1977"/>
      <c r="AO134" s="1977"/>
      <c r="AP134" s="1977"/>
      <c r="AQ134" s="1977"/>
      <c r="AR134" s="1977"/>
      <c r="AS134" s="1977"/>
      <c r="AT134" s="1977"/>
      <c r="AU134" s="1977"/>
      <c r="AV134" s="1977"/>
      <c r="AW134" s="1977"/>
      <c r="AX134" s="1977"/>
      <c r="AY134" s="1977"/>
      <c r="AZ134" s="1977"/>
      <c r="BA134" s="1977"/>
      <c r="BB134" s="1977"/>
      <c r="BC134" s="1977"/>
      <c r="BD134" s="1977"/>
      <c r="BE134" s="1977"/>
      <c r="BF134" s="1977"/>
      <c r="BG134" s="1977"/>
      <c r="BH134" s="1977"/>
      <c r="BI134" s="1977"/>
      <c r="BJ134" s="1977"/>
      <c r="BK134" s="1977"/>
      <c r="BL134" s="1977"/>
      <c r="BM134" s="1977"/>
      <c r="BN134" s="1977"/>
      <c r="BO134" s="1977"/>
      <c r="BP134" s="1977"/>
      <c r="BQ134" s="1977"/>
      <c r="BR134" s="1977"/>
      <c r="BS134" s="1977"/>
      <c r="BT134" s="1977"/>
      <c r="BU134" s="1977"/>
      <c r="BV134" s="1977"/>
      <c r="BW134" s="1977"/>
      <c r="BX134" s="1977"/>
      <c r="BY134" s="1977"/>
      <c r="BZ134" s="1977"/>
      <c r="CA134" s="1977"/>
      <c r="CB134" s="1977"/>
      <c r="CC134" s="1977"/>
      <c r="CD134" s="1977"/>
      <c r="CE134" s="1977"/>
    </row>
    <row s="17623" customFormat="1" customHeight="1" ht="5.25" hidden="1">
      <c r="A135" s="2134"/>
      <c r="B135" s="1977"/>
      <c r="C135" s="1977"/>
      <c r="D135" s="2921"/>
      <c r="E135" s="1384"/>
      <c r="F135" s="1385"/>
      <c r="G135" s="1385"/>
      <c r="H135" s="1386"/>
      <c r="I135" s="1386"/>
      <c r="J135" s="1386"/>
      <c r="K135" s="1386"/>
      <c r="L135" s="1386"/>
      <c r="M135" s="1386"/>
      <c r="N135" s="1386"/>
      <c r="O135" s="1386"/>
      <c r="P135" s="1386"/>
      <c r="Q135" s="1386"/>
      <c r="R135" s="1287"/>
      <c r="S135" s="1387"/>
      <c r="T135" s="1059"/>
      <c r="U135" s="2715"/>
      <c r="V135" s="2715"/>
      <c r="W135" s="1977"/>
      <c r="X135" s="1977"/>
      <c r="Y135" s="1977"/>
      <c r="Z135" s="1977"/>
      <c r="AA135" s="1977"/>
      <c r="AB135" s="1977"/>
      <c r="AC135" s="1378"/>
      <c r="AD135" s="1379"/>
      <c r="AE135" s="1977"/>
      <c r="AF135" s="1977"/>
      <c r="AG135" s="1977"/>
      <c r="AH135" s="1977"/>
      <c r="AI135" s="1977"/>
      <c r="AJ135" s="1977"/>
      <c r="AK135" s="1977"/>
      <c r="AL135" s="1977"/>
      <c r="AM135" s="1977"/>
      <c r="AN135" s="1977"/>
      <c r="AO135" s="1977"/>
      <c r="AP135" s="1977"/>
      <c r="AQ135" s="1977"/>
      <c r="AR135" s="1977"/>
      <c r="AS135" s="1977"/>
      <c r="AT135" s="1977"/>
      <c r="AU135" s="1977"/>
      <c r="AV135" s="1977"/>
      <c r="AW135" s="1977"/>
      <c r="AX135" s="1977"/>
      <c r="AY135" s="1977"/>
      <c r="AZ135" s="1977"/>
      <c r="BA135" s="1977"/>
      <c r="BB135" s="1977"/>
      <c r="BC135" s="1977"/>
      <c r="BD135" s="1977"/>
      <c r="BE135" s="1977"/>
      <c r="BF135" s="1977"/>
      <c r="BG135" s="1977"/>
      <c r="BH135" s="1977"/>
      <c r="BI135" s="1977"/>
      <c r="BJ135" s="1977"/>
      <c r="BK135" s="1977"/>
      <c r="BL135" s="1977"/>
      <c r="BM135" s="1977"/>
      <c r="BN135" s="1977"/>
      <c r="BO135" s="1977"/>
      <c r="BP135" s="1977"/>
      <c r="BQ135" s="1977"/>
      <c r="BR135" s="1977"/>
      <c r="BS135" s="1977"/>
      <c r="BT135" s="1977"/>
      <c r="BU135" s="1977"/>
      <c r="BV135" s="1977"/>
      <c r="BW135" s="1977"/>
      <c r="BX135" s="1977"/>
      <c r="BY135" s="1977"/>
      <c r="BZ135" s="1977"/>
      <c r="CA135" s="1977"/>
      <c r="CB135" s="1977"/>
      <c r="CC135" s="1977"/>
      <c r="CD135" s="1977"/>
      <c r="CE135" s="1977"/>
    </row>
    <row customHeight="1" ht="17.25">
      <c r="D136" s="2177"/>
    </row>
    <row s="19648" customFormat="1" customHeight="1" ht="11.25">
      <c r="A137" s="2156" t="s">
        <v>2062</v>
      </c>
    </row>
    <row r="139" s="17376" customFormat="1" customHeight="1" ht="45">
      <c r="A139" s="2147"/>
      <c r="B139" s="1501"/>
      <c r="C139" s="753"/>
      <c r="D139" s="430"/>
      <c r="E139" s="2913"/>
      <c r="F139" s="2449" t="s">
        <v>106</v>
      </c>
      <c r="G139" s="2916" t="s">
        <v>22</v>
      </c>
      <c r="H139" s="630"/>
      <c r="I139" s="978" t="s">
        <v>106</v>
      </c>
      <c r="J139" s="2148" t="s">
        <v>2063</v>
      </c>
      <c r="K139" s="979" t="s">
        <v>541</v>
      </c>
      <c r="L139" s="2565" t="s">
        <v>541</v>
      </c>
      <c r="M139" s="2918"/>
      <c r="N139" s="979" t="s">
        <v>541</v>
      </c>
      <c r="O139" s="979" t="s">
        <v>541</v>
      </c>
      <c r="P139" s="979" t="s">
        <v>541</v>
      </c>
      <c r="Q139" s="980">
        <f>SUM(Q140:Q142)</f>
        <v>0</v>
      </c>
      <c r="R139" s="980">
        <f>IF(R136=0,0,(Q136/R136)*100)</f>
        <v>0</v>
      </c>
      <c r="S139" s="2520"/>
      <c r="T139" s="1058" t="s">
        <v>607</v>
      </c>
      <c r="U139" s="430"/>
      <c r="V139" s="430"/>
      <c r="AC139" s="430"/>
    </row>
    <row s="17376" customFormat="1" customHeight="1" ht="11.25">
      <c r="A140" s="2147"/>
      <c r="B140" s="1501"/>
      <c r="C140" s="753"/>
      <c r="D140" s="430"/>
      <c r="E140" s="2914"/>
      <c r="F140" s="2449"/>
      <c r="G140" s="2916"/>
      <c r="H140" s="2468"/>
      <c r="I140" s="2856" t="s">
        <v>1199</v>
      </c>
      <c r="J140" s="2910"/>
      <c r="K140" s="2911"/>
      <c r="L140" s="981"/>
      <c r="M140" s="982" t="s">
        <v>106</v>
      </c>
      <c r="N140" s="2136"/>
      <c r="O140" s="983"/>
      <c r="P140" s="984"/>
      <c r="Q140" s="983"/>
      <c r="R140" s="985">
        <v>0</v>
      </c>
      <c r="S140" s="2520"/>
      <c r="T140" s="1058"/>
      <c r="U140" s="430"/>
      <c r="V140" s="430"/>
      <c r="AC140" s="430"/>
    </row>
    <row s="17376" customFormat="1" customHeight="1" ht="11.25">
      <c r="A141" s="2147"/>
      <c r="B141" s="1501"/>
      <c r="C141" s="753"/>
      <c r="D141" s="430"/>
      <c r="E141" s="2914"/>
      <c r="F141" s="2449"/>
      <c r="G141" s="2916"/>
      <c r="H141" s="2468"/>
      <c r="I141" s="2856"/>
      <c r="J141" s="2910"/>
      <c r="K141" s="2912"/>
      <c r="L141" s="986"/>
      <c r="M141" s="987"/>
      <c r="N141" s="988" t="s">
        <v>2064</v>
      </c>
      <c r="O141" s="988"/>
      <c r="P141" s="988"/>
      <c r="Q141" s="988"/>
      <c r="R141" s="989"/>
      <c r="S141" s="2520"/>
      <c r="T141" s="1058"/>
      <c r="U141" s="430"/>
      <c r="V141" s="430"/>
      <c r="AC141" s="430"/>
    </row>
    <row s="17376" customFormat="1" customHeight="1" ht="11.25">
      <c r="A142" s="2147"/>
      <c r="B142" s="1501"/>
      <c r="C142" s="753"/>
      <c r="D142" s="430"/>
      <c r="E142" s="2915"/>
      <c r="F142" s="2449"/>
      <c r="G142" s="2917"/>
      <c r="H142" s="986" t="s">
        <v>22</v>
      </c>
      <c r="I142" s="987"/>
      <c r="J142" s="988" t="s">
        <v>2065</v>
      </c>
      <c r="K142" s="988"/>
      <c r="L142" s="988"/>
      <c r="M142" s="988"/>
      <c r="N142" s="988"/>
      <c r="O142" s="988"/>
      <c r="P142" s="988"/>
      <c r="Q142" s="988"/>
      <c r="R142" s="989"/>
      <c r="S142" s="2520"/>
      <c r="T142" s="1058"/>
      <c r="U142" s="430"/>
      <c r="V142" s="430"/>
      <c r="AC142" s="430"/>
    </row>
    <row r="147" s="17376" customFormat="1" customHeight="1" ht="11.25">
      <c r="A147" s="2147"/>
      <c r="B147" s="1501"/>
      <c r="C147" s="753"/>
      <c r="D147" s="430"/>
      <c r="E147" s="2171"/>
      <c r="F147" s="2171"/>
      <c r="G147" s="2171"/>
      <c r="H147" s="2468"/>
      <c r="I147" s="2856" t="s">
        <v>1199</v>
      </c>
      <c r="J147" s="2910"/>
      <c r="K147" s="2911"/>
      <c r="L147" s="981"/>
      <c r="M147" s="982" t="s">
        <v>106</v>
      </c>
      <c r="N147" s="2136"/>
      <c r="O147" s="983"/>
      <c r="P147" s="984"/>
      <c r="Q147" s="983"/>
      <c r="R147" s="985">
        <v>0</v>
      </c>
      <c r="S147" s="430"/>
      <c r="T147" s="1058"/>
      <c r="U147" s="430"/>
      <c r="V147" s="430"/>
      <c r="AC147" s="430"/>
    </row>
    <row s="17376" customFormat="1" customHeight="1" ht="11.25">
      <c r="A148" s="2147"/>
      <c r="B148" s="1501"/>
      <c r="C148" s="753"/>
      <c r="D148" s="430"/>
      <c r="E148" s="2171"/>
      <c r="F148" s="2171"/>
      <c r="G148" s="2171"/>
      <c r="H148" s="2468"/>
      <c r="I148" s="2856"/>
      <c r="J148" s="2910"/>
      <c r="K148" s="2912"/>
      <c r="L148" s="986"/>
      <c r="M148" s="987"/>
      <c r="N148" s="988" t="s">
        <v>2064</v>
      </c>
      <c r="O148" s="988"/>
      <c r="P148" s="988"/>
      <c r="Q148" s="988"/>
      <c r="R148" s="989"/>
      <c r="S148" s="430"/>
      <c r="T148" s="1058"/>
      <c r="U148" s="430"/>
      <c r="V148" s="430"/>
      <c r="AC148" s="430"/>
    </row>
    <row r="150" s="17376" customFormat="1" customHeight="1" ht="11.25">
      <c r="A150" s="2147"/>
      <c r="B150" s="1501"/>
      <c r="C150" s="753"/>
      <c r="D150" s="430"/>
      <c r="E150" s="2178"/>
      <c r="F150" s="2176"/>
      <c r="G150" s="2176"/>
      <c r="H150" s="2179"/>
      <c r="I150" s="2171"/>
      <c r="J150" s="2172"/>
      <c r="K150" s="2172"/>
      <c r="L150" s="981"/>
      <c r="M150" s="982" t="s">
        <v>106</v>
      </c>
      <c r="N150" s="2136"/>
      <c r="O150" s="983"/>
      <c r="P150" s="984"/>
      <c r="Q150" s="983"/>
      <c r="R150" s="985">
        <v>0</v>
      </c>
      <c r="S150" s="430"/>
      <c r="T150" s="1058"/>
      <c r="U150" s="430"/>
      <c r="V150" s="430"/>
      <c r="AC150" s="430"/>
    </row>
    <row r="152" s="19648" customFormat="1" customHeight="1" ht="17.25">
      <c r="A152" s="2156" t="s">
        <v>2066</v>
      </c>
    </row>
    <row customHeight="1" ht="17.25">
      <c r="G153" s="2180"/>
      <c r="H153" s="2180"/>
      <c r="I153" s="2180"/>
      <c r="M153" s="2176"/>
    </row>
    <row s="17442" customFormat="1" customHeight="1" ht="17.25">
      <c r="A154" s="2181"/>
      <c r="C154" s="2183"/>
      <c r="D154" s="2870"/>
      <c r="E154" s="2484"/>
      <c r="F154" s="2486"/>
      <c r="G154" s="2872"/>
      <c r="H154" s="2870"/>
      <c r="I154" s="2870">
        <v>1</v>
      </c>
      <c r="J154" s="2842"/>
      <c r="K154" s="2526" t="s">
        <v>65</v>
      </c>
      <c r="L154" s="2449"/>
      <c r="M154" s="2449" t="s">
        <v>106</v>
      </c>
      <c r="N154" s="2845" t="str">
        <f>IF(Z154="","",INDEX(TERRITORY_MR_LIST,MATCH(Z154,TERRITORY_LIST_ID,0)))</f>
        <v/>
      </c>
      <c r="O154" s="2526" t="s">
        <v>65</v>
      </c>
      <c r="P154" s="2449"/>
      <c r="Q154" s="2449" t="s">
        <v>106</v>
      </c>
      <c r="R154" s="2843" t="s">
        <v>22</v>
      </c>
      <c r="S154" s="2448" t="s">
        <v>65</v>
      </c>
      <c r="T154" s="2152"/>
      <c r="U154" s="2152" t="s">
        <v>106</v>
      </c>
      <c r="V154" s="2184" t="s">
        <v>22</v>
      </c>
      <c r="W154" s="2142"/>
      <c r="Y154" s="1608"/>
      <c r="Z154" s="1608"/>
      <c r="AA154" s="1608"/>
      <c r="AB154" s="1608"/>
      <c r="AC154" s="1608"/>
      <c r="AD154" s="1608"/>
      <c r="AE154" s="1608"/>
      <c r="AF154" s="1608"/>
      <c r="AG154" s="1608"/>
      <c r="AH154" s="1608"/>
      <c r="AI154" s="1608"/>
      <c r="AJ154" s="1608"/>
      <c r="AK154" s="1608"/>
      <c r="AL154" s="2185"/>
      <c r="AM154" s="2185"/>
      <c r="AN154" s="1608"/>
      <c r="AO154" s="1608"/>
      <c r="AP154" s="1608"/>
      <c r="AQ154" s="1608"/>
    </row>
    <row s="17442" customFormat="1" customHeight="1" ht="17.25">
      <c r="A155" s="2181"/>
      <c r="C155" s="2186"/>
      <c r="D155" s="2870"/>
      <c r="E155" s="2484"/>
      <c r="F155" s="2487"/>
      <c r="G155" s="2872"/>
      <c r="H155" s="2870"/>
      <c r="I155" s="2870"/>
      <c r="J155" s="2842"/>
      <c r="K155" s="2527"/>
      <c r="L155" s="2449"/>
      <c r="M155" s="2449"/>
      <c r="N155" s="2845"/>
      <c r="O155" s="2527"/>
      <c r="P155" s="2449"/>
      <c r="Q155" s="2449"/>
      <c r="R155" s="2843"/>
      <c r="S155" s="2448"/>
      <c r="T155" s="658"/>
      <c r="U155" s="659"/>
      <c r="V155" s="659" t="s">
        <v>409</v>
      </c>
      <c r="W155" s="660"/>
      <c r="Y155" s="1600"/>
      <c r="Z155" s="1600"/>
      <c r="AA155" s="1600"/>
      <c r="AB155" s="1600"/>
      <c r="AC155" s="1600"/>
      <c r="AD155" s="1600"/>
      <c r="AE155" s="1600"/>
      <c r="AF155" s="1600"/>
      <c r="AG155" s="1600"/>
      <c r="AH155" s="1600"/>
      <c r="AI155" s="1600"/>
      <c r="AJ155" s="1600"/>
      <c r="AK155" s="1600"/>
    </row>
    <row s="17442" customFormat="1" customHeight="1" ht="17.25">
      <c r="A156" s="2181"/>
      <c r="C156" s="2186"/>
      <c r="D156" s="2844"/>
      <c r="E156" s="2871"/>
      <c r="F156" s="2487"/>
      <c r="G156" s="2873"/>
      <c r="H156" s="2844"/>
      <c r="I156" s="2844"/>
      <c r="J156" s="2874"/>
      <c r="K156" s="2527"/>
      <c r="L156" s="2844"/>
      <c r="M156" s="2844"/>
      <c r="N156" s="2846"/>
      <c r="O156" s="2453"/>
      <c r="P156" s="658"/>
      <c r="Q156" s="659"/>
      <c r="R156" s="659" t="s">
        <v>410</v>
      </c>
      <c r="S156" s="2187"/>
      <c r="T156" s="2187"/>
      <c r="U156" s="2187"/>
      <c r="V156" s="2187"/>
      <c r="W156" s="660"/>
      <c r="Y156" s="1600"/>
      <c r="Z156" s="1600"/>
      <c r="AA156" s="1600"/>
      <c r="AB156" s="1600"/>
      <c r="AC156" s="1600"/>
      <c r="AD156" s="1600"/>
      <c r="AE156" s="1600"/>
      <c r="AF156" s="1600"/>
      <c r="AG156" s="1600"/>
      <c r="AH156" s="1600"/>
      <c r="AI156" s="1600"/>
      <c r="AJ156" s="1600"/>
      <c r="AK156" s="1600"/>
    </row>
    <row s="17442" customFormat="1" customHeight="1" ht="17.25">
      <c r="A157" s="2181"/>
      <c r="C157" s="2186"/>
      <c r="D157" s="2844"/>
      <c r="E157" s="2871"/>
      <c r="F157" s="2487"/>
      <c r="G157" s="2873"/>
      <c r="H157" s="2844"/>
      <c r="I157" s="2844"/>
      <c r="J157" s="2874"/>
      <c r="K157" s="2453"/>
      <c r="L157" s="658"/>
      <c r="M157" s="659"/>
      <c r="N157" s="659" t="s">
        <v>411</v>
      </c>
      <c r="O157" s="659"/>
      <c r="P157" s="659"/>
      <c r="Q157" s="659"/>
      <c r="R157" s="659"/>
      <c r="S157" s="2187"/>
      <c r="T157" s="2187"/>
      <c r="U157" s="2187"/>
      <c r="V157" s="2187"/>
      <c r="W157" s="660"/>
      <c r="Y157" s="1600"/>
      <c r="Z157" s="1600"/>
      <c r="AA157" s="1600"/>
      <c r="AB157" s="1600"/>
      <c r="AC157" s="1600"/>
      <c r="AD157" s="1600"/>
      <c r="AE157" s="1600"/>
      <c r="AF157" s="1600"/>
      <c r="AG157" s="1600"/>
      <c r="AH157" s="1600"/>
      <c r="AI157" s="1600"/>
      <c r="AJ157" s="1600"/>
      <c r="AK157" s="1600"/>
    </row>
    <row s="17442" customFormat="1" customHeight="1" ht="17.25">
      <c r="A158" s="2181"/>
      <c r="C158" s="2186"/>
      <c r="D158" s="2844"/>
      <c r="E158" s="2871"/>
      <c r="F158" s="2488"/>
      <c r="G158" s="2873"/>
      <c r="H158" s="658"/>
      <c r="I158" s="659"/>
      <c r="J158" s="659" t="s">
        <v>443</v>
      </c>
      <c r="K158" s="659"/>
      <c r="L158" s="659"/>
      <c r="M158" s="659"/>
      <c r="N158" s="659"/>
      <c r="O158" s="659"/>
      <c r="P158" s="659"/>
      <c r="Q158" s="659"/>
      <c r="R158" s="659"/>
      <c r="S158" s="2187"/>
      <c r="T158" s="2187"/>
      <c r="U158" s="2187"/>
      <c r="V158" s="2187"/>
      <c r="W158" s="660"/>
      <c r="Y158" s="1600"/>
      <c r="Z158" s="1600"/>
      <c r="AA158" s="1600"/>
      <c r="AB158" s="1600"/>
      <c r="AC158" s="1600"/>
      <c r="AD158" s="1600"/>
      <c r="AE158" s="1600"/>
      <c r="AF158" s="1600"/>
      <c r="AG158" s="1600"/>
      <c r="AH158" s="1600"/>
      <c r="AI158" s="1600"/>
      <c r="AJ158" s="1600"/>
      <c r="AK158" s="1600"/>
    </row>
    <row customHeight="1" ht="17.25">
      <c r="G159" s="2180"/>
      <c r="H159" s="2180"/>
      <c r="I159" s="2180"/>
      <c r="M159" s="2176"/>
    </row>
    <row s="17442" customFormat="1" customHeight="1" ht="17.25">
      <c r="A160" s="2181"/>
      <c r="C160" s="2183"/>
      <c r="D160" s="2171"/>
      <c r="E160" s="2188"/>
      <c r="F160" s="2125"/>
      <c r="G160" s="2189"/>
      <c r="H160" s="2870"/>
      <c r="I160" s="2870">
        <v>1</v>
      </c>
      <c r="J160" s="2842"/>
      <c r="K160" s="2526" t="s">
        <v>65</v>
      </c>
      <c r="L160" s="2449"/>
      <c r="M160" s="2449" t="s">
        <v>106</v>
      </c>
      <c r="N160" s="2845" t="str">
        <f>IF(Z160="","",INDEX(TERRITORY_MR_LIST,MATCH(Z160,TERRITORY_LIST_ID,0)))</f>
        <v/>
      </c>
      <c r="O160" s="2526" t="s">
        <v>65</v>
      </c>
      <c r="P160" s="2449"/>
      <c r="Q160" s="2449" t="s">
        <v>106</v>
      </c>
      <c r="R160" s="2843" t="s">
        <v>22</v>
      </c>
      <c r="S160" s="2448" t="s">
        <v>65</v>
      </c>
      <c r="T160" s="2152"/>
      <c r="U160" s="2152" t="s">
        <v>106</v>
      </c>
      <c r="V160" s="2184" t="s">
        <v>22</v>
      </c>
      <c r="W160" s="2142"/>
      <c r="Y160" s="1608"/>
      <c r="Z160" s="1608"/>
      <c r="AA160" s="1608"/>
      <c r="AB160" s="1608"/>
      <c r="AC160" s="1608"/>
      <c r="AD160" s="1608"/>
      <c r="AE160" s="1608"/>
      <c r="AF160" s="1608"/>
      <c r="AG160" s="1608"/>
      <c r="AH160" s="1608"/>
      <c r="AI160" s="1608"/>
      <c r="AJ160" s="1608"/>
      <c r="AK160" s="1608"/>
      <c r="AL160" s="2185"/>
      <c r="AM160" s="2185"/>
      <c r="AN160" s="1608"/>
      <c r="AO160" s="1608"/>
      <c r="AP160" s="1608"/>
      <c r="AQ160" s="1608"/>
    </row>
    <row s="17442" customFormat="1" customHeight="1" ht="17.25">
      <c r="A161" s="2181"/>
      <c r="C161" s="2186"/>
      <c r="D161" s="2171"/>
      <c r="E161" s="2188"/>
      <c r="F161" s="2125"/>
      <c r="G161" s="2189"/>
      <c r="H161" s="2870"/>
      <c r="I161" s="2870"/>
      <c r="J161" s="2842"/>
      <c r="K161" s="2527"/>
      <c r="L161" s="2449"/>
      <c r="M161" s="2449"/>
      <c r="N161" s="2845"/>
      <c r="O161" s="2527"/>
      <c r="P161" s="2449"/>
      <c r="Q161" s="2449"/>
      <c r="R161" s="2843"/>
      <c r="S161" s="2448"/>
      <c r="T161" s="658"/>
      <c r="U161" s="659"/>
      <c r="V161" s="659" t="s">
        <v>409</v>
      </c>
      <c r="W161" s="660"/>
      <c r="Y161" s="1600"/>
      <c r="Z161" s="1600"/>
      <c r="AA161" s="1600"/>
      <c r="AB161" s="1600"/>
      <c r="AC161" s="1600"/>
      <c r="AD161" s="1600"/>
      <c r="AE161" s="1600"/>
      <c r="AF161" s="1600"/>
      <c r="AG161" s="1600"/>
      <c r="AH161" s="1600"/>
      <c r="AI161" s="1600"/>
      <c r="AJ161" s="1600"/>
      <c r="AK161" s="1600"/>
    </row>
    <row s="17442" customFormat="1" customHeight="1" ht="17.25">
      <c r="A162" s="2181"/>
      <c r="C162" s="2186"/>
      <c r="D162" s="2171"/>
      <c r="E162" s="2188"/>
      <c r="F162" s="2125"/>
      <c r="G162" s="2189"/>
      <c r="H162" s="2844"/>
      <c r="I162" s="2844"/>
      <c r="J162" s="2874"/>
      <c r="K162" s="2527"/>
      <c r="L162" s="2844"/>
      <c r="M162" s="2844"/>
      <c r="N162" s="2846"/>
      <c r="O162" s="2453"/>
      <c r="P162" s="658"/>
      <c r="Q162" s="659"/>
      <c r="R162" s="659" t="s">
        <v>410</v>
      </c>
      <c r="S162" s="2187"/>
      <c r="T162" s="2187"/>
      <c r="U162" s="2187"/>
      <c r="V162" s="2187"/>
      <c r="W162" s="660"/>
      <c r="Y162" s="1600"/>
      <c r="Z162" s="1600"/>
      <c r="AA162" s="1600"/>
      <c r="AB162" s="1600"/>
      <c r="AC162" s="1600"/>
      <c r="AD162" s="1600"/>
      <c r="AE162" s="1600"/>
      <c r="AF162" s="1600"/>
      <c r="AG162" s="1600"/>
      <c r="AH162" s="1600"/>
      <c r="AI162" s="1600"/>
      <c r="AJ162" s="1600"/>
      <c r="AK162" s="1600"/>
    </row>
    <row s="17442" customFormat="1" customHeight="1" ht="17.25">
      <c r="A163" s="2181"/>
      <c r="C163" s="2186"/>
      <c r="D163" s="2171"/>
      <c r="E163" s="2188"/>
      <c r="F163" s="2125"/>
      <c r="G163" s="2189"/>
      <c r="H163" s="2844"/>
      <c r="I163" s="2844"/>
      <c r="J163" s="2874"/>
      <c r="K163" s="2453"/>
      <c r="L163" s="658"/>
      <c r="M163" s="659"/>
      <c r="N163" s="659" t="s">
        <v>411</v>
      </c>
      <c r="O163" s="659"/>
      <c r="P163" s="659"/>
      <c r="Q163" s="659"/>
      <c r="R163" s="659"/>
      <c r="S163" s="2187"/>
      <c r="T163" s="2187"/>
      <c r="U163" s="2187"/>
      <c r="V163" s="2187"/>
      <c r="W163" s="660"/>
      <c r="Y163" s="1600"/>
      <c r="Z163" s="1600"/>
      <c r="AA163" s="1600"/>
      <c r="AB163" s="1600"/>
      <c r="AC163" s="1600"/>
      <c r="AD163" s="1600"/>
      <c r="AE163" s="1600"/>
      <c r="AF163" s="1600"/>
      <c r="AG163" s="1600"/>
      <c r="AH163" s="1600"/>
      <c r="AI163" s="1600"/>
      <c r="AJ163" s="1600"/>
      <c r="AK163" s="1600"/>
    </row>
    <row customHeight="1" ht="17.25">
      <c r="G164" s="2180"/>
      <c r="H164" s="2180"/>
      <c r="I164" s="2180"/>
      <c r="M164" s="2176"/>
    </row>
    <row s="17442" customFormat="1" customHeight="1" ht="17.25">
      <c r="A165" s="2181"/>
      <c r="C165" s="2183"/>
      <c r="D165" s="2171"/>
      <c r="E165" s="2188"/>
      <c r="F165" s="2125"/>
      <c r="G165" s="2189"/>
      <c r="H165" s="2171"/>
      <c r="I165" s="2171"/>
      <c r="J165" s="2190"/>
      <c r="K165" s="2101"/>
      <c r="L165" s="2449"/>
      <c r="M165" s="2449" t="s">
        <v>106</v>
      </c>
      <c r="N165" s="2845" t="str">
        <f>IF(Z165="","",INDEX(TERRITORY_MR_LIST,MATCH(Z165,TERRITORY_LIST_ID,0)))</f>
        <v/>
      </c>
      <c r="O165" s="2526" t="s">
        <v>65</v>
      </c>
      <c r="P165" s="2449"/>
      <c r="Q165" s="2449" t="s">
        <v>106</v>
      </c>
      <c r="R165" s="2843" t="s">
        <v>22</v>
      </c>
      <c r="S165" s="2448" t="s">
        <v>65</v>
      </c>
      <c r="T165" s="2152"/>
      <c r="U165" s="2152" t="s">
        <v>106</v>
      </c>
      <c r="V165" s="2184" t="s">
        <v>22</v>
      </c>
      <c r="W165" s="2142"/>
      <c r="Y165" s="1608"/>
      <c r="Z165" s="1608"/>
      <c r="AA165" s="1608"/>
      <c r="AB165" s="1608"/>
      <c r="AC165" s="1608"/>
      <c r="AD165" s="1608"/>
      <c r="AE165" s="1608"/>
      <c r="AF165" s="1608"/>
      <c r="AG165" s="1608"/>
      <c r="AH165" s="1608"/>
      <c r="AI165" s="1608"/>
      <c r="AJ165" s="1608"/>
      <c r="AK165" s="1608"/>
      <c r="AL165" s="2185"/>
      <c r="AM165" s="2185"/>
      <c r="AN165" s="1608"/>
      <c r="AO165" s="1608"/>
      <c r="AP165" s="1608"/>
      <c r="AQ165" s="1608"/>
    </row>
    <row s="17442" customFormat="1" customHeight="1" ht="17.25">
      <c r="A166" s="2181"/>
      <c r="C166" s="2186"/>
      <c r="D166" s="2171"/>
      <c r="E166" s="2188"/>
      <c r="F166" s="2125"/>
      <c r="G166" s="2189"/>
      <c r="H166" s="2171"/>
      <c r="I166" s="2171"/>
      <c r="J166" s="2190"/>
      <c r="K166" s="2101"/>
      <c r="L166" s="2449"/>
      <c r="M166" s="2449"/>
      <c r="N166" s="2845"/>
      <c r="O166" s="2527"/>
      <c r="P166" s="2449"/>
      <c r="Q166" s="2449"/>
      <c r="R166" s="2843"/>
      <c r="S166" s="2448"/>
      <c r="T166" s="658"/>
      <c r="U166" s="659"/>
      <c r="V166" s="659" t="s">
        <v>409</v>
      </c>
      <c r="W166" s="660"/>
      <c r="Y166" s="1600"/>
      <c r="Z166" s="1600"/>
      <c r="AA166" s="1600"/>
      <c r="AB166" s="1600"/>
      <c r="AC166" s="1600"/>
      <c r="AD166" s="1600"/>
      <c r="AE166" s="1600"/>
      <c r="AF166" s="1600"/>
      <c r="AG166" s="1600"/>
      <c r="AH166" s="1600"/>
      <c r="AI166" s="1600"/>
      <c r="AJ166" s="1600"/>
      <c r="AK166" s="1600"/>
    </row>
    <row s="17442" customFormat="1" customHeight="1" ht="17.25">
      <c r="A167" s="2181"/>
      <c r="C167" s="2186"/>
      <c r="D167" s="2171"/>
      <c r="E167" s="2188"/>
      <c r="F167" s="2125"/>
      <c r="G167" s="2189"/>
      <c r="H167" s="2171"/>
      <c r="I167" s="2171"/>
      <c r="J167" s="2190"/>
      <c r="K167" s="2101"/>
      <c r="L167" s="2844"/>
      <c r="M167" s="2844"/>
      <c r="N167" s="2846"/>
      <c r="O167" s="2453"/>
      <c r="P167" s="658"/>
      <c r="Q167" s="659"/>
      <c r="R167" s="659" t="s">
        <v>410</v>
      </c>
      <c r="S167" s="2187"/>
      <c r="T167" s="2187"/>
      <c r="U167" s="2187"/>
      <c r="V167" s="2187"/>
      <c r="W167" s="660"/>
      <c r="Y167" s="1600"/>
      <c r="Z167" s="1600"/>
      <c r="AA167" s="1600"/>
      <c r="AB167" s="1600"/>
      <c r="AC167" s="1600"/>
      <c r="AD167" s="1600"/>
      <c r="AE167" s="1600"/>
      <c r="AF167" s="1600"/>
      <c r="AG167" s="1600"/>
      <c r="AH167" s="1600"/>
      <c r="AI167" s="1600"/>
      <c r="AJ167" s="1600"/>
      <c r="AK167" s="1600"/>
    </row>
    <row customHeight="1" ht="17.25">
      <c r="G168" s="2180"/>
      <c r="H168" s="2180"/>
      <c r="I168" s="2180"/>
      <c r="M168" s="2176"/>
    </row>
    <row s="17442" customFormat="1" customHeight="1" ht="17.25">
      <c r="A169" s="2181"/>
      <c r="C169" s="2183"/>
      <c r="D169" s="2171"/>
      <c r="E169" s="2188"/>
      <c r="F169" s="2125"/>
      <c r="G169" s="2189"/>
      <c r="H169" s="2171"/>
      <c r="I169" s="2171"/>
      <c r="J169" s="2190"/>
      <c r="K169" s="2101"/>
      <c r="L169" s="2097"/>
      <c r="M169" s="2097"/>
      <c r="N169" s="2389"/>
      <c r="O169" s="2128"/>
      <c r="P169" s="2449"/>
      <c r="Q169" s="2449" t="s">
        <v>106</v>
      </c>
      <c r="R169" s="2843" t="s">
        <v>22</v>
      </c>
      <c r="S169" s="2448" t="s">
        <v>65</v>
      </c>
      <c r="T169" s="2152"/>
      <c r="U169" s="2152" t="s">
        <v>106</v>
      </c>
      <c r="V169" s="2184" t="s">
        <v>22</v>
      </c>
      <c r="W169" s="2142"/>
      <c r="Y169" s="1608"/>
      <c r="Z169" s="1608"/>
      <c r="AA169" s="1608"/>
      <c r="AB169" s="1608"/>
      <c r="AC169" s="1608"/>
      <c r="AD169" s="1608"/>
      <c r="AE169" s="1608"/>
      <c r="AF169" s="1608"/>
      <c r="AG169" s="1608"/>
      <c r="AH169" s="1608"/>
      <c r="AI169" s="1608"/>
      <c r="AJ169" s="1608"/>
      <c r="AK169" s="1608"/>
      <c r="AL169" s="2185"/>
      <c r="AM169" s="2185"/>
      <c r="AN169" s="1608"/>
      <c r="AO169" s="1608"/>
      <c r="AP169" s="1608"/>
      <c r="AQ169" s="1608"/>
    </row>
    <row s="17442" customFormat="1" customHeight="1" ht="17.25">
      <c r="A170" s="2181"/>
      <c r="C170" s="2186"/>
      <c r="D170" s="2171"/>
      <c r="E170" s="2188"/>
      <c r="F170" s="2125"/>
      <c r="G170" s="2189"/>
      <c r="H170" s="2171"/>
      <c r="I170" s="2171"/>
      <c r="J170" s="2190"/>
      <c r="K170" s="2101"/>
      <c r="L170" s="2097"/>
      <c r="M170" s="2097"/>
      <c r="N170" s="2389"/>
      <c r="O170" s="2128"/>
      <c r="P170" s="2449"/>
      <c r="Q170" s="2449"/>
      <c r="R170" s="2843"/>
      <c r="S170" s="2448"/>
      <c r="T170" s="658"/>
      <c r="U170" s="659"/>
      <c r="V170" s="659" t="s">
        <v>409</v>
      </c>
      <c r="W170" s="660"/>
      <c r="Y170" s="1600"/>
      <c r="Z170" s="1600"/>
      <c r="AA170" s="1600"/>
      <c r="AB170" s="1600"/>
      <c r="AC170" s="1600"/>
      <c r="AD170" s="1600"/>
      <c r="AE170" s="1600"/>
      <c r="AF170" s="1600"/>
      <c r="AG170" s="1600"/>
      <c r="AH170" s="1600"/>
      <c r="AI170" s="1600"/>
      <c r="AJ170" s="1600"/>
      <c r="AK170" s="1600"/>
    </row>
    <row customHeight="1" ht="17.25">
      <c r="G171" s="2180"/>
      <c r="H171" s="2180"/>
      <c r="I171" s="2180"/>
      <c r="M171" s="2176"/>
    </row>
    <row s="17442" customFormat="1" customHeight="1" ht="17.25">
      <c r="A172" s="2181"/>
      <c r="C172" s="2183"/>
      <c r="D172" s="2171"/>
      <c r="E172" s="2188"/>
      <c r="F172" s="2125"/>
      <c r="G172" s="2189"/>
      <c r="H172" s="2097"/>
      <c r="I172" s="2097"/>
      <c r="J172" s="2098"/>
      <c r="K172" s="2189"/>
      <c r="L172" s="2097"/>
      <c r="M172" s="2097"/>
      <c r="N172" s="2189"/>
      <c r="O172" s="2189"/>
      <c r="P172" s="2097"/>
      <c r="Q172" s="2097"/>
      <c r="R172" s="2099"/>
      <c r="S172" s="2189"/>
      <c r="T172" s="2152"/>
      <c r="U172" s="2152" t="s">
        <v>106</v>
      </c>
      <c r="V172" s="2184" t="s">
        <v>22</v>
      </c>
      <c r="W172" s="2142"/>
      <c r="Y172" s="1608"/>
      <c r="Z172" s="1608"/>
      <c r="AA172" s="1608"/>
      <c r="AB172" s="1608"/>
      <c r="AC172" s="1608"/>
      <c r="AD172" s="1608"/>
      <c r="AE172" s="1608"/>
      <c r="AF172" s="1608"/>
      <c r="AG172" s="1608"/>
      <c r="AH172" s="1608"/>
      <c r="AI172" s="1608"/>
      <c r="AJ172" s="1608"/>
      <c r="AK172" s="1608"/>
      <c r="AL172" s="2185"/>
      <c r="AM172" s="2185"/>
      <c r="AN172" s="1608"/>
      <c r="AO172" s="1608"/>
      <c r="AP172" s="1608"/>
      <c r="AQ172" s="1608"/>
    </row>
    <row r="174" s="19648" customFormat="1" customHeight="1" ht="17.25">
      <c r="A174" s="2156" t="s">
        <v>2067</v>
      </c>
    </row>
    <row customHeight="1" ht="17.25">
      <c r="G175" s="2180"/>
      <c r="H175" s="2180"/>
      <c r="I175" s="2180"/>
      <c r="M175" s="2176"/>
    </row>
    <row s="17442" customFormat="1" customHeight="1" ht="17.25">
      <c r="A176" s="2181"/>
      <c r="C176" s="2183"/>
      <c r="D176" s="2870"/>
      <c r="E176" s="2484"/>
      <c r="F176" s="2486"/>
      <c r="G176" s="2872"/>
      <c r="H176" s="2870"/>
      <c r="I176" s="2870">
        <v>1</v>
      </c>
      <c r="J176" s="2842"/>
      <c r="K176" s="2526" t="s">
        <v>65</v>
      </c>
      <c r="L176" s="2449"/>
      <c r="M176" s="2449" t="s">
        <v>106</v>
      </c>
      <c r="N176" s="2845" t="str">
        <f>IF(Z176="","",INDEX(TERRITORY_MR_LIST,MATCH(Z176,TERRITORY_LIST_ID,0)))</f>
        <v/>
      </c>
      <c r="O176" s="2526" t="s">
        <v>65</v>
      </c>
      <c r="P176" s="2449"/>
      <c r="Q176" s="2449" t="s">
        <v>106</v>
      </c>
      <c r="R176" s="2843" t="s">
        <v>22</v>
      </c>
      <c r="S176" s="2747" t="s">
        <v>19</v>
      </c>
      <c r="T176" s="2143"/>
      <c r="U176" s="2143" t="s">
        <v>106</v>
      </c>
      <c r="V176" s="1775"/>
      <c r="W176" s="2842"/>
      <c r="Y176" s="1608"/>
      <c r="Z176" s="1608"/>
      <c r="AA176" s="1608"/>
      <c r="AB176" s="1608"/>
      <c r="AC176" s="1608"/>
      <c r="AD176" s="1608"/>
      <c r="AE176" s="1608"/>
      <c r="AF176" s="1608"/>
      <c r="AG176" s="1608"/>
      <c r="AH176" s="1608"/>
      <c r="AI176" s="1608"/>
      <c r="AJ176" s="1608"/>
      <c r="AK176" s="1608"/>
      <c r="AL176" s="2185"/>
      <c r="AM176" s="2185"/>
      <c r="AN176" s="1608"/>
      <c r="AO176" s="1608"/>
      <c r="AP176" s="1608"/>
      <c r="AQ176" s="1608"/>
    </row>
    <row s="17442" customFormat="1" customHeight="1" ht="17.25">
      <c r="A177" s="2181"/>
      <c r="C177" s="2186"/>
      <c r="D177" s="2870"/>
      <c r="E177" s="2484"/>
      <c r="F177" s="2487"/>
      <c r="G177" s="2872"/>
      <c r="H177" s="2870"/>
      <c r="I177" s="2870"/>
      <c r="J177" s="2842"/>
      <c r="K177" s="2527"/>
      <c r="L177" s="2449"/>
      <c r="M177" s="2449"/>
      <c r="N177" s="2845"/>
      <c r="O177" s="2527"/>
      <c r="P177" s="2449"/>
      <c r="Q177" s="2449"/>
      <c r="R177" s="2843"/>
      <c r="S177" s="2747"/>
      <c r="T177" s="1776"/>
      <c r="U177" s="1777"/>
      <c r="V177" s="1777"/>
      <c r="W177" s="2842"/>
      <c r="Y177" s="1600"/>
      <c r="Z177" s="1600"/>
      <c r="AA177" s="1600"/>
      <c r="AB177" s="1600"/>
      <c r="AC177" s="1600"/>
      <c r="AD177" s="1600"/>
      <c r="AE177" s="1600"/>
      <c r="AF177" s="1600"/>
      <c r="AG177" s="1600"/>
      <c r="AH177" s="1600"/>
      <c r="AI177" s="1600"/>
      <c r="AJ177" s="1600"/>
      <c r="AK177" s="1600"/>
    </row>
    <row s="17442" customFormat="1" customHeight="1" ht="17.25">
      <c r="A178" s="2181"/>
      <c r="C178" s="2186"/>
      <c r="D178" s="2844"/>
      <c r="E178" s="2871"/>
      <c r="F178" s="2487"/>
      <c r="G178" s="2873"/>
      <c r="H178" s="2844"/>
      <c r="I178" s="2844"/>
      <c r="J178" s="2874"/>
      <c r="K178" s="2527"/>
      <c r="L178" s="2844"/>
      <c r="M178" s="2844"/>
      <c r="N178" s="2846"/>
      <c r="O178" s="2453"/>
      <c r="P178" s="658"/>
      <c r="Q178" s="659"/>
      <c r="R178" s="659" t="s">
        <v>410</v>
      </c>
      <c r="S178" s="2187"/>
      <c r="T178" s="2187"/>
      <c r="U178" s="2187"/>
      <c r="V178" s="2187"/>
      <c r="W178" s="1774"/>
      <c r="Y178" s="1600"/>
      <c r="Z178" s="1600"/>
      <c r="AA178" s="1600"/>
      <c r="AB178" s="1600"/>
      <c r="AC178" s="1600"/>
      <c r="AD178" s="1600"/>
      <c r="AE178" s="1600"/>
      <c r="AF178" s="1600"/>
      <c r="AG178" s="1600"/>
      <c r="AH178" s="1600"/>
      <c r="AI178" s="1600"/>
      <c r="AJ178" s="1600"/>
      <c r="AK178" s="1600"/>
    </row>
    <row s="17442" customFormat="1" customHeight="1" ht="17.25">
      <c r="A179" s="2181"/>
      <c r="C179" s="2186"/>
      <c r="D179" s="2844"/>
      <c r="E179" s="2871"/>
      <c r="F179" s="2487"/>
      <c r="G179" s="2873"/>
      <c r="H179" s="2844"/>
      <c r="I179" s="2844"/>
      <c r="J179" s="2874"/>
      <c r="K179" s="2453"/>
      <c r="L179" s="658"/>
      <c r="M179" s="659"/>
      <c r="N179" s="659" t="s">
        <v>411</v>
      </c>
      <c r="O179" s="659"/>
      <c r="P179" s="659"/>
      <c r="Q179" s="659"/>
      <c r="R179" s="659"/>
      <c r="S179" s="2187"/>
      <c r="T179" s="2187"/>
      <c r="U179" s="2187"/>
      <c r="V179" s="2187"/>
      <c r="W179" s="660"/>
      <c r="Y179" s="1600"/>
      <c r="Z179" s="1600"/>
      <c r="AA179" s="1600"/>
      <c r="AB179" s="1600"/>
      <c r="AC179" s="1600"/>
      <c r="AD179" s="1600"/>
      <c r="AE179" s="1600"/>
      <c r="AF179" s="1600"/>
      <c r="AG179" s="1600"/>
      <c r="AH179" s="1600"/>
      <c r="AI179" s="1600"/>
      <c r="AJ179" s="1600"/>
      <c r="AK179" s="1600"/>
    </row>
    <row s="17442" customFormat="1" customHeight="1" ht="17.25">
      <c r="A180" s="2181"/>
      <c r="C180" s="2186"/>
      <c r="D180" s="2844"/>
      <c r="E180" s="2871"/>
      <c r="F180" s="2488"/>
      <c r="G180" s="2873"/>
      <c r="H180" s="658"/>
      <c r="I180" s="659"/>
      <c r="J180" s="659" t="s">
        <v>443</v>
      </c>
      <c r="K180" s="659"/>
      <c r="L180" s="659"/>
      <c r="M180" s="659"/>
      <c r="N180" s="659"/>
      <c r="O180" s="659"/>
      <c r="P180" s="659"/>
      <c r="Q180" s="659"/>
      <c r="R180" s="659"/>
      <c r="S180" s="2187"/>
      <c r="T180" s="2187"/>
      <c r="U180" s="2187"/>
      <c r="V180" s="2187"/>
      <c r="W180" s="660"/>
      <c r="Y180" s="1600"/>
      <c r="Z180" s="1600"/>
      <c r="AA180" s="1600"/>
      <c r="AB180" s="1600"/>
      <c r="AC180" s="1600"/>
      <c r="AD180" s="1600"/>
      <c r="AE180" s="1600"/>
      <c r="AF180" s="1600"/>
      <c r="AG180" s="1600"/>
      <c r="AH180" s="1600"/>
      <c r="AI180" s="1600"/>
      <c r="AJ180" s="1600"/>
      <c r="AK180" s="1600"/>
    </row>
    <row customHeight="1" ht="17.25">
      <c r="A181" s="2191"/>
    </row>
    <row s="17442" customFormat="1" customHeight="1" ht="17.25">
      <c r="A182" s="2181"/>
      <c r="C182" s="2183"/>
      <c r="D182" s="2171"/>
      <c r="E182" s="2188"/>
      <c r="F182" s="2125"/>
      <c r="G182" s="2189"/>
      <c r="H182" s="2870"/>
      <c r="I182" s="2870">
        <v>1</v>
      </c>
      <c r="J182" s="2842"/>
      <c r="K182" s="2526" t="s">
        <v>65</v>
      </c>
      <c r="L182" s="2449"/>
      <c r="M182" s="2449" t="s">
        <v>106</v>
      </c>
      <c r="N182" s="2845" t="str">
        <f>IF(Z182="","",INDEX(TERRITORY_MR_LIST,MATCH(Z182,TERRITORY_LIST_ID,0)))</f>
        <v/>
      </c>
      <c r="O182" s="2526" t="s">
        <v>65</v>
      </c>
      <c r="P182" s="2449"/>
      <c r="Q182" s="2449" t="s">
        <v>106</v>
      </c>
      <c r="R182" s="2843" t="s">
        <v>22</v>
      </c>
      <c r="S182" s="2747" t="s">
        <v>19</v>
      </c>
      <c r="T182" s="2143"/>
      <c r="U182" s="2143" t="s">
        <v>106</v>
      </c>
      <c r="V182" s="1775"/>
      <c r="W182" s="2842"/>
      <c r="Y182" s="1608"/>
      <c r="Z182" s="1608"/>
      <c r="AA182" s="1608"/>
      <c r="AB182" s="1608"/>
      <c r="AC182" s="1608"/>
      <c r="AD182" s="1608"/>
      <c r="AE182" s="1608"/>
      <c r="AF182" s="1608"/>
      <c r="AG182" s="1608"/>
      <c r="AH182" s="1608"/>
      <c r="AI182" s="1608"/>
      <c r="AJ182" s="1608"/>
      <c r="AK182" s="1608"/>
      <c r="AL182" s="2185"/>
      <c r="AM182" s="2185"/>
      <c r="AN182" s="1608"/>
      <c r="AO182" s="1608"/>
      <c r="AP182" s="1608"/>
      <c r="AQ182" s="1608"/>
    </row>
    <row s="17442" customFormat="1" customHeight="1" ht="17.25">
      <c r="A183" s="2181"/>
      <c r="C183" s="2186"/>
      <c r="D183" s="2171"/>
      <c r="E183" s="2188"/>
      <c r="F183" s="2125"/>
      <c r="G183" s="2189"/>
      <c r="H183" s="2870"/>
      <c r="I183" s="2870"/>
      <c r="J183" s="2842"/>
      <c r="K183" s="2527"/>
      <c r="L183" s="2449"/>
      <c r="M183" s="2449"/>
      <c r="N183" s="2845"/>
      <c r="O183" s="2527"/>
      <c r="P183" s="2449"/>
      <c r="Q183" s="2449"/>
      <c r="R183" s="2843"/>
      <c r="S183" s="2747"/>
      <c r="T183" s="1776"/>
      <c r="U183" s="1777"/>
      <c r="V183" s="1777"/>
      <c r="W183" s="2842"/>
      <c r="Y183" s="1600"/>
      <c r="Z183" s="1600"/>
      <c r="AA183" s="1600"/>
      <c r="AB183" s="1600"/>
      <c r="AC183" s="1600"/>
      <c r="AD183" s="1600"/>
      <c r="AE183" s="1600"/>
      <c r="AF183" s="1600"/>
      <c r="AG183" s="1600"/>
      <c r="AH183" s="1600"/>
      <c r="AI183" s="1600"/>
      <c r="AJ183" s="1600"/>
      <c r="AK183" s="1600"/>
    </row>
    <row s="17442" customFormat="1" customHeight="1" ht="17.25">
      <c r="A184" s="2181"/>
      <c r="C184" s="2186"/>
      <c r="D184" s="2171"/>
      <c r="E184" s="2188"/>
      <c r="F184" s="2125"/>
      <c r="G184" s="2189"/>
      <c r="H184" s="2844"/>
      <c r="I184" s="2844"/>
      <c r="J184" s="2874"/>
      <c r="K184" s="2527"/>
      <c r="L184" s="2844"/>
      <c r="M184" s="2844"/>
      <c r="N184" s="2846"/>
      <c r="O184" s="2453"/>
      <c r="P184" s="658"/>
      <c r="Q184" s="659"/>
      <c r="R184" s="659" t="s">
        <v>410</v>
      </c>
      <c r="S184" s="2187"/>
      <c r="T184" s="2187"/>
      <c r="U184" s="2187"/>
      <c r="V184" s="2187"/>
      <c r="W184" s="1774"/>
      <c r="Y184" s="1600"/>
      <c r="Z184" s="1600"/>
      <c r="AA184" s="1600"/>
      <c r="AB184" s="1600"/>
      <c r="AC184" s="1600"/>
      <c r="AD184" s="1600"/>
      <c r="AE184" s="1600"/>
      <c r="AF184" s="1600"/>
      <c r="AG184" s="1600"/>
      <c r="AH184" s="1600"/>
      <c r="AI184" s="1600"/>
      <c r="AJ184" s="1600"/>
      <c r="AK184" s="1600"/>
    </row>
    <row s="17442" customFormat="1" customHeight="1" ht="17.25">
      <c r="A185" s="2181"/>
      <c r="C185" s="2186"/>
      <c r="D185" s="2171"/>
      <c r="E185" s="2188"/>
      <c r="F185" s="2125"/>
      <c r="G185" s="2189"/>
      <c r="H185" s="2844"/>
      <c r="I185" s="2844"/>
      <c r="J185" s="2874"/>
      <c r="K185" s="2453"/>
      <c r="L185" s="658"/>
      <c r="M185" s="659"/>
      <c r="N185" s="659" t="s">
        <v>411</v>
      </c>
      <c r="O185" s="659"/>
      <c r="P185" s="659"/>
      <c r="Q185" s="659"/>
      <c r="R185" s="659"/>
      <c r="S185" s="2187"/>
      <c r="T185" s="2187"/>
      <c r="U185" s="2187"/>
      <c r="V185" s="2187"/>
      <c r="W185" s="660"/>
      <c r="Y185" s="1600"/>
      <c r="Z185" s="1600"/>
      <c r="AA185" s="1600"/>
      <c r="AB185" s="1600"/>
      <c r="AC185" s="1600"/>
      <c r="AD185" s="1600"/>
      <c r="AE185" s="1600"/>
      <c r="AF185" s="1600"/>
      <c r="AG185" s="1600"/>
      <c r="AH185" s="1600"/>
      <c r="AI185" s="1600"/>
      <c r="AJ185" s="1600"/>
      <c r="AK185" s="1600"/>
    </row>
    <row customHeight="1" ht="17.25">
      <c r="A186" s="2191"/>
    </row>
    <row s="17442" customFormat="1" customHeight="1" ht="17.25">
      <c r="A187" s="2181"/>
      <c r="C187" s="2183"/>
      <c r="D187" s="2171"/>
      <c r="E187" s="2188"/>
      <c r="F187" s="2125"/>
      <c r="G187" s="2189"/>
      <c r="H187" s="2171"/>
      <c r="I187" s="2171"/>
      <c r="J187" s="2192"/>
      <c r="K187" s="2189"/>
      <c r="L187" s="2449"/>
      <c r="M187" s="2449" t="s">
        <v>106</v>
      </c>
      <c r="N187" s="2845" t="str">
        <f>IF(Z187="","",INDEX(TERRITORY_MR_LIST,MATCH(Z187,TERRITORY_LIST_ID,0)))</f>
        <v/>
      </c>
      <c r="O187" s="2526" t="s">
        <v>65</v>
      </c>
      <c r="P187" s="2449"/>
      <c r="Q187" s="2449" t="s">
        <v>106</v>
      </c>
      <c r="R187" s="2843" t="s">
        <v>22</v>
      </c>
      <c r="S187" s="2747" t="s">
        <v>19</v>
      </c>
      <c r="T187" s="2143"/>
      <c r="U187" s="2143" t="s">
        <v>106</v>
      </c>
      <c r="V187" s="1775"/>
      <c r="W187" s="2842"/>
      <c r="Y187" s="1608"/>
      <c r="Z187" s="1608"/>
      <c r="AA187" s="1608"/>
      <c r="AB187" s="1608"/>
      <c r="AC187" s="1608"/>
      <c r="AD187" s="1608"/>
      <c r="AE187" s="1608"/>
      <c r="AF187" s="1608"/>
      <c r="AG187" s="1608"/>
      <c r="AH187" s="1608"/>
      <c r="AI187" s="1608"/>
      <c r="AJ187" s="1608"/>
      <c r="AK187" s="1608"/>
      <c r="AL187" s="2185"/>
      <c r="AM187" s="2185"/>
      <c r="AN187" s="1608"/>
      <c r="AO187" s="1608"/>
      <c r="AP187" s="1608"/>
      <c r="AQ187" s="1608"/>
    </row>
    <row s="17442" customFormat="1" customHeight="1" ht="17.25">
      <c r="A188" s="2181"/>
      <c r="C188" s="2186"/>
      <c r="D188" s="2171"/>
      <c r="E188" s="2188"/>
      <c r="F188" s="2125"/>
      <c r="G188" s="2189"/>
      <c r="H188" s="2171"/>
      <c r="I188" s="2171"/>
      <c r="J188" s="2192"/>
      <c r="K188" s="2189"/>
      <c r="L188" s="2449"/>
      <c r="M188" s="2449"/>
      <c r="N188" s="2845"/>
      <c r="O188" s="2527"/>
      <c r="P188" s="2449"/>
      <c r="Q188" s="2449"/>
      <c r="R188" s="2843"/>
      <c r="S188" s="2747"/>
      <c r="T188" s="1776"/>
      <c r="U188" s="1777"/>
      <c r="V188" s="1777"/>
      <c r="W188" s="2842"/>
      <c r="Y188" s="1600"/>
      <c r="Z188" s="1600"/>
      <c r="AA188" s="1600"/>
      <c r="AB188" s="1600"/>
      <c r="AC188" s="1600"/>
      <c r="AD188" s="1600"/>
      <c r="AE188" s="1600"/>
      <c r="AF188" s="1600"/>
      <c r="AG188" s="1600"/>
      <c r="AH188" s="1600"/>
      <c r="AI188" s="1600"/>
      <c r="AJ188" s="1600"/>
      <c r="AK188" s="1600"/>
    </row>
    <row s="17442" customFormat="1" customHeight="1" ht="17.25">
      <c r="A189" s="2181"/>
      <c r="C189" s="2186"/>
      <c r="D189" s="2171"/>
      <c r="E189" s="2188"/>
      <c r="F189" s="2125"/>
      <c r="G189" s="2189"/>
      <c r="H189" s="2171"/>
      <c r="I189" s="2171"/>
      <c r="J189" s="2192"/>
      <c r="K189" s="2189"/>
      <c r="L189" s="2844"/>
      <c r="M189" s="2844"/>
      <c r="N189" s="2846"/>
      <c r="O189" s="2453"/>
      <c r="P189" s="658"/>
      <c r="Q189" s="659"/>
      <c r="R189" s="659" t="s">
        <v>410</v>
      </c>
      <c r="S189" s="2187"/>
      <c r="T189" s="2187"/>
      <c r="U189" s="2187"/>
      <c r="V189" s="2187"/>
      <c r="W189" s="1774"/>
      <c r="Y189" s="1600"/>
      <c r="Z189" s="1600"/>
      <c r="AA189" s="1600"/>
      <c r="AB189" s="1600"/>
      <c r="AC189" s="1600"/>
      <c r="AD189" s="1600"/>
      <c r="AE189" s="1600"/>
      <c r="AF189" s="1600"/>
      <c r="AG189" s="1600"/>
      <c r="AH189" s="1600"/>
      <c r="AI189" s="1600"/>
      <c r="AJ189" s="1600"/>
      <c r="AK189" s="1600"/>
    </row>
    <row customHeight="1" ht="17.25">
      <c r="A190" s="2191"/>
    </row>
    <row s="17442" customFormat="1" customHeight="1" ht="17.25">
      <c r="A191" s="2181"/>
      <c r="C191" s="2183"/>
      <c r="D191" s="2171"/>
      <c r="E191" s="2188"/>
      <c r="F191" s="2125"/>
      <c r="G191" s="2189"/>
      <c r="H191" s="2171"/>
      <c r="I191" s="2171"/>
      <c r="J191" s="2192"/>
      <c r="K191" s="2189"/>
      <c r="L191" s="2171"/>
      <c r="M191" s="2171"/>
      <c r="N191" s="2389"/>
      <c r="O191" s="2128"/>
      <c r="P191" s="2449"/>
      <c r="Q191" s="2449" t="s">
        <v>106</v>
      </c>
      <c r="R191" s="2843" t="s">
        <v>22</v>
      </c>
      <c r="S191" s="2747" t="s">
        <v>19</v>
      </c>
      <c r="T191" s="2143"/>
      <c r="U191" s="2143" t="s">
        <v>106</v>
      </c>
      <c r="V191" s="1775"/>
      <c r="W191" s="2842"/>
      <c r="Y191" s="1608"/>
      <c r="Z191" s="1608"/>
      <c r="AA191" s="1608"/>
      <c r="AB191" s="1608"/>
      <c r="AC191" s="1608"/>
      <c r="AD191" s="1608"/>
      <c r="AE191" s="1608"/>
      <c r="AF191" s="1608"/>
      <c r="AG191" s="1608"/>
      <c r="AH191" s="1608"/>
      <c r="AI191" s="1608"/>
      <c r="AJ191" s="1608"/>
      <c r="AK191" s="1608"/>
      <c r="AL191" s="2185"/>
      <c r="AM191" s="2185"/>
      <c r="AN191" s="1608"/>
      <c r="AO191" s="1608"/>
      <c r="AP191" s="1608"/>
      <c r="AQ191" s="1608"/>
    </row>
    <row s="17442" customFormat="1" customHeight="1" ht="17.25">
      <c r="A192" s="2181"/>
      <c r="C192" s="2186"/>
      <c r="D192" s="2171"/>
      <c r="E192" s="2188"/>
      <c r="F192" s="2125"/>
      <c r="G192" s="2189"/>
      <c r="H192" s="2171"/>
      <c r="I192" s="2171"/>
      <c r="J192" s="2192"/>
      <c r="K192" s="2189"/>
      <c r="L192" s="2171"/>
      <c r="M192" s="2171"/>
      <c r="N192" s="2389"/>
      <c r="O192" s="2128"/>
      <c r="P192" s="2449"/>
      <c r="Q192" s="2449"/>
      <c r="R192" s="2843"/>
      <c r="S192" s="2747"/>
      <c r="T192" s="1776"/>
      <c r="U192" s="1777"/>
      <c r="V192" s="1777"/>
      <c r="W192" s="2842"/>
      <c r="Y192" s="1600"/>
      <c r="Z192" s="1600"/>
      <c r="AA192" s="1600"/>
      <c r="AB192" s="1600"/>
      <c r="AC192" s="1600"/>
      <c r="AD192" s="1600"/>
      <c r="AE192" s="1600"/>
      <c r="AF192" s="1600"/>
      <c r="AG192" s="1600"/>
      <c r="AH192" s="1600"/>
      <c r="AI192" s="1600"/>
      <c r="AJ192" s="1600"/>
      <c r="AK192" s="1600"/>
    </row>
    <row customHeight="1" ht="17.25">
      <c r="A193" s="2191"/>
    </row>
    <row customHeight="1" ht="16.5">
      <c r="A194" s="2181"/>
      <c r="B194" s="2182"/>
      <c r="C194" s="2186"/>
      <c r="D194" s="2894"/>
      <c r="E194" s="2520"/>
      <c r="F194" s="2520"/>
      <c r="G194" s="2468"/>
      <c r="H194" s="2895"/>
      <c r="I194" s="2908"/>
      <c r="J194" s="2493"/>
      <c r="K194" s="2478"/>
      <c r="L194" s="2478"/>
      <c r="M194" s="2478"/>
      <c r="N194" s="2906"/>
      <c r="O194" s="2478"/>
      <c r="P194" s="2478"/>
      <c r="Q194" s="2478"/>
      <c r="R194" s="2904"/>
      <c r="S194" s="2478"/>
      <c r="T194" s="2124"/>
      <c r="U194" s="2124"/>
      <c r="V194" s="2193"/>
      <c r="W194" s="1637"/>
    </row>
    <row customHeight="1" ht="16.5">
      <c r="A195" s="2181"/>
      <c r="B195" s="2182"/>
      <c r="C195" s="2186"/>
      <c r="D195" s="2894"/>
      <c r="E195" s="2520"/>
      <c r="F195" s="2520"/>
      <c r="G195" s="2468"/>
      <c r="H195" s="2896"/>
      <c r="I195" s="2909"/>
      <c r="J195" s="2494"/>
      <c r="K195" s="2479"/>
      <c r="L195" s="2479"/>
      <c r="M195" s="2479"/>
      <c r="N195" s="2907"/>
      <c r="O195" s="2479"/>
      <c r="P195" s="2479"/>
      <c r="Q195" s="2479"/>
      <c r="R195" s="2905"/>
      <c r="S195" s="2479"/>
      <c r="T195" s="1638"/>
      <c r="U195" s="1638"/>
      <c r="V195" s="1638"/>
      <c r="W195" s="1639"/>
    </row>
    <row customHeight="1" ht="17.25">
      <c r="A196" s="2181"/>
      <c r="B196" s="2182"/>
      <c r="C196" s="2186"/>
      <c r="D196" s="2894"/>
      <c r="E196" s="2520"/>
      <c r="F196" s="2520"/>
      <c r="G196" s="2468"/>
      <c r="H196" s="2896"/>
      <c r="I196" s="2909"/>
      <c r="J196" s="2897"/>
      <c r="K196" s="2479"/>
      <c r="L196" s="2479"/>
      <c r="M196" s="2479"/>
      <c r="N196" s="2905"/>
      <c r="O196" s="2479"/>
      <c r="P196" s="2127"/>
      <c r="Q196" s="1638"/>
      <c r="R196" s="1638"/>
      <c r="S196" s="2194"/>
      <c r="T196" s="2194"/>
      <c r="U196" s="2194"/>
      <c r="V196" s="2194"/>
      <c r="W196" s="1639"/>
    </row>
    <row customHeight="1" ht="17.25">
      <c r="A197" s="2181"/>
      <c r="B197" s="2182"/>
      <c r="C197" s="2186"/>
      <c r="D197" s="2894"/>
      <c r="E197" s="2520"/>
      <c r="F197" s="2520"/>
      <c r="G197" s="2468"/>
      <c r="H197" s="2896"/>
      <c r="I197" s="2909"/>
      <c r="J197" s="2897"/>
      <c r="K197" s="2479"/>
      <c r="L197" s="1638"/>
      <c r="M197" s="1638"/>
      <c r="N197" s="1638"/>
      <c r="O197" s="1638"/>
      <c r="P197" s="1638"/>
      <c r="Q197" s="1638"/>
      <c r="R197" s="1638"/>
      <c r="S197" s="2194"/>
      <c r="T197" s="2194"/>
      <c r="U197" s="2194"/>
      <c r="V197" s="2194"/>
      <c r="W197" s="1639"/>
    </row>
    <row customHeight="1" ht="17.25">
      <c r="A198" s="2181"/>
      <c r="B198" s="2182"/>
      <c r="C198" s="2186"/>
      <c r="D198" s="2894"/>
      <c r="E198" s="2520"/>
      <c r="F198" s="2520"/>
      <c r="G198" s="2468"/>
      <c r="H198" s="1640"/>
      <c r="I198" s="1641"/>
      <c r="J198" s="1641"/>
      <c r="K198" s="1641"/>
      <c r="L198" s="1641"/>
      <c r="M198" s="1641"/>
      <c r="N198" s="1641"/>
      <c r="O198" s="1641"/>
      <c r="P198" s="1641"/>
      <c r="Q198" s="1641"/>
      <c r="R198" s="1641"/>
      <c r="S198" s="2195"/>
      <c r="T198" s="2195"/>
      <c r="U198" s="2195"/>
      <c r="V198" s="2195"/>
      <c r="W198" s="1643"/>
    </row>
    <row r="200" s="19648" customFormat="1" customHeight="1" ht="17.25">
      <c r="A200" s="2156" t="s">
        <v>2068</v>
      </c>
    </row>
    <row customHeight="1" ht="17.25">
      <c r="G201" s="2180"/>
      <c r="H201" s="2180"/>
      <c r="I201" s="2180"/>
      <c r="M201" s="2176"/>
    </row>
    <row s="17376" customFormat="1" customHeight="1" ht="15">
      <c r="D202" s="2864"/>
      <c r="E202" s="2540"/>
      <c r="F202" s="2540"/>
      <c r="G202" s="2526"/>
      <c r="H202" s="1905"/>
      <c r="I202" s="2868">
        <v>1</v>
      </c>
      <c r="J202" s="2842"/>
      <c r="K202" s="1920"/>
      <c r="L202" s="2526" t="s">
        <v>65</v>
      </c>
      <c r="M202" s="2526" t="s">
        <v>65</v>
      </c>
      <c r="N202" s="1905"/>
      <c r="O202" s="2449" t="s">
        <v>106</v>
      </c>
      <c r="P202" s="2858"/>
      <c r="Q202" s="1921"/>
      <c r="R202" s="2526" t="s">
        <v>65</v>
      </c>
      <c r="S202" s="2526" t="s">
        <v>65</v>
      </c>
      <c r="T202" s="2196"/>
      <c r="U202" s="2449" t="s">
        <v>106</v>
      </c>
      <c r="V202" s="2865" t="str">
        <f>IF(AK202="","",INDEX(TERRITORY_MR_LIST,MATCH(AK202,TERRITORY_LIST_ID,0)))</f>
        <v/>
      </c>
      <c r="W202" s="1922"/>
      <c r="X202" s="2526" t="s">
        <v>65</v>
      </c>
      <c r="Y202" s="2526" t="s">
        <v>19</v>
      </c>
      <c r="Z202" s="1905"/>
      <c r="AA202" s="2449" t="s">
        <v>106</v>
      </c>
      <c r="AB202" s="2867"/>
      <c r="AC202" s="1923"/>
      <c r="AD202" s="2526" t="s">
        <v>65</v>
      </c>
      <c r="AE202" s="2526" t="s">
        <v>19</v>
      </c>
      <c r="AF202" s="1903"/>
      <c r="AG202" s="2152" t="s">
        <v>106</v>
      </c>
      <c r="AH202" s="1913"/>
      <c r="AI202" s="2142"/>
    </row>
    <row s="17376" customFormat="1" customHeight="1" ht="15">
      <c r="D203" s="2864"/>
      <c r="E203" s="2540"/>
      <c r="F203" s="2540"/>
      <c r="G203" s="2527"/>
      <c r="H203" s="1905"/>
      <c r="I203" s="2868"/>
      <c r="J203" s="2842"/>
      <c r="K203" s="1904"/>
      <c r="L203" s="2527"/>
      <c r="M203" s="2527"/>
      <c r="N203" s="1905"/>
      <c r="O203" s="2449"/>
      <c r="P203" s="2858"/>
      <c r="Q203" s="1901"/>
      <c r="R203" s="2527"/>
      <c r="S203" s="2527"/>
      <c r="T203" s="2196"/>
      <c r="U203" s="2449"/>
      <c r="V203" s="2866"/>
      <c r="W203" s="1902"/>
      <c r="X203" s="2527"/>
      <c r="Y203" s="2527"/>
      <c r="Z203" s="1905"/>
      <c r="AA203" s="2449"/>
      <c r="AB203" s="2836"/>
      <c r="AC203" s="1906"/>
      <c r="AD203" s="2453"/>
      <c r="AE203" s="2453"/>
      <c r="AF203" s="1907"/>
      <c r="AG203" s="1908"/>
      <c r="AH203" s="2859" t="s">
        <v>2069</v>
      </c>
      <c r="AI203" s="2860"/>
    </row>
    <row s="17376" customFormat="1" customHeight="1" ht="15">
      <c r="D204" s="2864"/>
      <c r="E204" s="2540"/>
      <c r="F204" s="2540"/>
      <c r="G204" s="2527"/>
      <c r="H204" s="1905"/>
      <c r="I204" s="2868"/>
      <c r="J204" s="2842"/>
      <c r="K204" s="1904"/>
      <c r="L204" s="2527"/>
      <c r="M204" s="2527"/>
      <c r="N204" s="1905"/>
      <c r="O204" s="2449"/>
      <c r="P204" s="2858"/>
      <c r="Q204" s="1901"/>
      <c r="R204" s="2527"/>
      <c r="S204" s="2527"/>
      <c r="T204" s="2196"/>
      <c r="U204" s="2449"/>
      <c r="V204" s="2866"/>
      <c r="W204" s="1902"/>
      <c r="X204" s="2527"/>
      <c r="Y204" s="2527"/>
      <c r="Z204" s="1944"/>
      <c r="AA204" s="1910"/>
      <c r="AB204" s="2861" t="s">
        <v>2070</v>
      </c>
      <c r="AC204" s="2861"/>
      <c r="AD204" s="2861"/>
      <c r="AE204" s="2861"/>
      <c r="AF204" s="2861"/>
      <c r="AG204" s="2861"/>
      <c r="AH204" s="2861"/>
      <c r="AI204" s="2862"/>
    </row>
    <row s="17376" customFormat="1" customHeight="1" ht="15">
      <c r="D205" s="2864"/>
      <c r="E205" s="2540"/>
      <c r="F205" s="2540"/>
      <c r="G205" s="2527"/>
      <c r="H205" s="1905"/>
      <c r="I205" s="2868"/>
      <c r="J205" s="2842"/>
      <c r="K205" s="1904"/>
      <c r="L205" s="2527"/>
      <c r="M205" s="2527"/>
      <c r="N205" s="1905"/>
      <c r="O205" s="2449"/>
      <c r="P205" s="2863"/>
      <c r="Q205" s="1901"/>
      <c r="R205" s="2527"/>
      <c r="S205" s="2527"/>
      <c r="T205" s="2197"/>
      <c r="U205" s="1945"/>
      <c r="V205" s="2859" t="s">
        <v>100</v>
      </c>
      <c r="W205" s="2859"/>
      <c r="X205" s="2859"/>
      <c r="Y205" s="2859"/>
      <c r="Z205" s="2859"/>
      <c r="AA205" s="2859"/>
      <c r="AB205" s="2859"/>
      <c r="AC205" s="2859"/>
      <c r="AD205" s="2859"/>
      <c r="AE205" s="2859"/>
      <c r="AF205" s="2859"/>
      <c r="AG205" s="2859"/>
      <c r="AH205" s="2859"/>
      <c r="AI205" s="2860"/>
    </row>
    <row s="17376" customFormat="1" customHeight="1" ht="11.25">
      <c r="D206" s="2864"/>
      <c r="E206" s="2540"/>
      <c r="F206" s="2540"/>
      <c r="G206" s="2527"/>
      <c r="H206" s="1909"/>
      <c r="I206" s="2868"/>
      <c r="J206" s="2869"/>
      <c r="K206" s="1904"/>
      <c r="L206" s="2527"/>
      <c r="M206" s="2527"/>
      <c r="N206" s="1909"/>
      <c r="O206" s="1910"/>
      <c r="P206" s="2859" t="s">
        <v>2071</v>
      </c>
      <c r="Q206" s="2859"/>
      <c r="R206" s="2859"/>
      <c r="S206" s="2859"/>
      <c r="T206" s="2859"/>
      <c r="U206" s="2859"/>
      <c r="V206" s="2859"/>
      <c r="W206" s="2859"/>
      <c r="X206" s="2859"/>
      <c r="Y206" s="2859"/>
      <c r="Z206" s="2859"/>
      <c r="AA206" s="2859"/>
      <c r="AB206" s="2859"/>
      <c r="AC206" s="2859"/>
      <c r="AD206" s="2859"/>
      <c r="AE206" s="2859"/>
      <c r="AF206" s="2859"/>
      <c r="AG206" s="2859"/>
      <c r="AH206" s="2859"/>
      <c r="AI206" s="2860"/>
    </row>
    <row s="17627" customFormat="1" customHeight="1" ht="11.25">
      <c r="D207" s="2864"/>
      <c r="E207" s="2540"/>
      <c r="F207" s="2540"/>
      <c r="G207" s="2453"/>
      <c r="H207" s="1911"/>
      <c r="I207" s="1912"/>
      <c r="J207" s="2859" t="s">
        <v>443</v>
      </c>
      <c r="K207" s="2859"/>
      <c r="L207" s="2859"/>
      <c r="M207" s="2859"/>
      <c r="N207" s="2859"/>
      <c r="O207" s="2859"/>
      <c r="P207" s="2859"/>
      <c r="Q207" s="2859"/>
      <c r="R207" s="2859"/>
      <c r="S207" s="2859"/>
      <c r="T207" s="2859"/>
      <c r="U207" s="2859"/>
      <c r="V207" s="2859"/>
      <c r="W207" s="2859"/>
      <c r="X207" s="2859"/>
      <c r="Y207" s="2859"/>
      <c r="Z207" s="2859"/>
      <c r="AA207" s="2859"/>
      <c r="AB207" s="2859"/>
      <c r="AC207" s="2859"/>
      <c r="AD207" s="2859"/>
      <c r="AE207" s="2859"/>
      <c r="AF207" s="2859"/>
      <c r="AG207" s="2859"/>
      <c r="AH207" s="2859"/>
      <c r="AI207" s="2860"/>
      <c r="BK207" s="1915"/>
    </row>
    <row customHeight="1" ht="17.25">
      <c r="G208" s="2180"/>
      <c r="I208" s="2180"/>
      <c r="J208" s="2180"/>
      <c r="N208" s="2176"/>
    </row>
    <row s="17376" customFormat="1" customHeight="1" ht="15">
      <c r="D209" s="2864"/>
      <c r="E209" s="2540"/>
      <c r="F209" s="2540"/>
      <c r="G209" s="2520"/>
      <c r="H209" s="1940"/>
      <c r="I209" s="2522"/>
      <c r="J209" s="2493"/>
      <c r="K209" s="2126"/>
      <c r="L209" s="2478"/>
      <c r="M209" s="2478"/>
      <c r="N209" s="1925"/>
      <c r="O209" s="2478"/>
      <c r="P209" s="2493"/>
      <c r="Q209" s="2130"/>
      <c r="R209" s="2478"/>
      <c r="S209" s="2478"/>
      <c r="T209" s="2198"/>
      <c r="U209" s="2478"/>
      <c r="V209" s="2493"/>
      <c r="W209" s="1928"/>
      <c r="X209" s="2478"/>
      <c r="Y209" s="2478"/>
      <c r="Z209" s="1925"/>
      <c r="AA209" s="2478"/>
      <c r="AB209" s="2493"/>
      <c r="AC209" s="1929"/>
      <c r="AD209" s="2478"/>
      <c r="AE209" s="2478"/>
      <c r="AF209" s="2124"/>
      <c r="AG209" s="2124"/>
      <c r="AH209" s="1930"/>
      <c r="AI209" s="1637"/>
    </row>
    <row s="17376" customFormat="1" customHeight="1" ht="15">
      <c r="D210" s="2864"/>
      <c r="E210" s="2540"/>
      <c r="F210" s="2540"/>
      <c r="G210" s="2520"/>
      <c r="H210" s="1941"/>
      <c r="I210" s="2523"/>
      <c r="J210" s="2494"/>
      <c r="K210" s="1951"/>
      <c r="L210" s="2479"/>
      <c r="M210" s="2479"/>
      <c r="N210" s="1931"/>
      <c r="O210" s="2479"/>
      <c r="P210" s="2494"/>
      <c r="Q210" s="2131"/>
      <c r="R210" s="2479"/>
      <c r="S210" s="2479"/>
      <c r="T210" s="2199"/>
      <c r="U210" s="2479"/>
      <c r="V210" s="2494"/>
      <c r="W210" s="1934"/>
      <c r="X210" s="2479"/>
      <c r="Y210" s="2479"/>
      <c r="Z210" s="1931"/>
      <c r="AA210" s="2479"/>
      <c r="AB210" s="2494"/>
      <c r="AC210" s="1935"/>
      <c r="AD210" s="2479"/>
      <c r="AE210" s="2479"/>
      <c r="AF210" s="2129"/>
      <c r="AG210" s="2129"/>
      <c r="AH210" s="2518"/>
      <c r="AI210" s="2519"/>
    </row>
    <row s="17376" customFormat="1" customHeight="1" ht="15">
      <c r="D211" s="2864"/>
      <c r="E211" s="2540"/>
      <c r="F211" s="2540"/>
      <c r="G211" s="2520"/>
      <c r="H211" s="1941"/>
      <c r="I211" s="2523"/>
      <c r="J211" s="2494"/>
      <c r="K211" s="1951"/>
      <c r="L211" s="2479"/>
      <c r="M211" s="2479"/>
      <c r="N211" s="1931"/>
      <c r="O211" s="2479"/>
      <c r="P211" s="2494"/>
      <c r="Q211" s="2131"/>
      <c r="R211" s="2479"/>
      <c r="S211" s="2479"/>
      <c r="T211" s="2199"/>
      <c r="U211" s="2479"/>
      <c r="V211" s="2494"/>
      <c r="W211" s="1934"/>
      <c r="X211" s="2479"/>
      <c r="Y211" s="2479"/>
      <c r="Z211" s="2127"/>
      <c r="AA211" s="2129"/>
      <c r="AB211" s="2518"/>
      <c r="AC211" s="2518"/>
      <c r="AD211" s="2518"/>
      <c r="AE211" s="2518"/>
      <c r="AF211" s="2518"/>
      <c r="AG211" s="2518"/>
      <c r="AH211" s="2518"/>
      <c r="AI211" s="2519"/>
    </row>
    <row s="17376" customFormat="1" customHeight="1" ht="15">
      <c r="D212" s="2864"/>
      <c r="E212" s="2540"/>
      <c r="F212" s="2540"/>
      <c r="G212" s="2520"/>
      <c r="H212" s="1941"/>
      <c r="I212" s="2523"/>
      <c r="J212" s="2494"/>
      <c r="K212" s="1951"/>
      <c r="L212" s="2479"/>
      <c r="M212" s="2479"/>
      <c r="N212" s="1931"/>
      <c r="O212" s="2479"/>
      <c r="P212" s="2494"/>
      <c r="Q212" s="2131"/>
      <c r="R212" s="2479"/>
      <c r="S212" s="2479"/>
      <c r="T212" s="2200"/>
      <c r="U212" s="1938"/>
      <c r="V212" s="2518"/>
      <c r="W212" s="2518"/>
      <c r="X212" s="2518"/>
      <c r="Y212" s="2518"/>
      <c r="Z212" s="2518"/>
      <c r="AA212" s="2518"/>
      <c r="AB212" s="2518"/>
      <c r="AC212" s="2518"/>
      <c r="AD212" s="2518"/>
      <c r="AE212" s="2518"/>
      <c r="AF212" s="2518"/>
      <c r="AG212" s="2518"/>
      <c r="AH212" s="2518"/>
      <c r="AI212" s="2519"/>
    </row>
    <row s="17376" customFormat="1" customHeight="1" ht="11.25">
      <c r="D213" s="2864"/>
      <c r="E213" s="2540"/>
      <c r="F213" s="2540"/>
      <c r="G213" s="2520"/>
      <c r="H213" s="1942"/>
      <c r="I213" s="2523"/>
      <c r="J213" s="2494"/>
      <c r="K213" s="1951"/>
      <c r="L213" s="2479"/>
      <c r="M213" s="2479"/>
      <c r="N213" s="2129"/>
      <c r="O213" s="2129"/>
      <c r="P213" s="2518"/>
      <c r="Q213" s="2518"/>
      <c r="R213" s="2518"/>
      <c r="S213" s="2518"/>
      <c r="T213" s="2518"/>
      <c r="U213" s="2518"/>
      <c r="V213" s="2518"/>
      <c r="W213" s="2518"/>
      <c r="X213" s="2518"/>
      <c r="Y213" s="2518"/>
      <c r="Z213" s="2518"/>
      <c r="AA213" s="2518"/>
      <c r="AB213" s="2518"/>
      <c r="AC213" s="2518"/>
      <c r="AD213" s="2518"/>
      <c r="AE213" s="2518"/>
      <c r="AF213" s="2518"/>
      <c r="AG213" s="2518"/>
      <c r="AH213" s="2518"/>
      <c r="AI213" s="2519"/>
    </row>
    <row s="17627" customFormat="1" customHeight="1" ht="11.25">
      <c r="D214" s="2864"/>
      <c r="E214" s="2540"/>
      <c r="F214" s="2540"/>
      <c r="G214" s="2525"/>
      <c r="H214" s="1939"/>
      <c r="I214" s="1943"/>
      <c r="J214" s="2528"/>
      <c r="K214" s="2528"/>
      <c r="L214" s="2528"/>
      <c r="M214" s="2528"/>
      <c r="N214" s="2528"/>
      <c r="O214" s="2528"/>
      <c r="P214" s="2528"/>
      <c r="Q214" s="2528"/>
      <c r="R214" s="2528"/>
      <c r="S214" s="2528"/>
      <c r="T214" s="2528"/>
      <c r="U214" s="2528"/>
      <c r="V214" s="2528"/>
      <c r="W214" s="2528"/>
      <c r="X214" s="2528"/>
      <c r="Y214" s="2528"/>
      <c r="Z214" s="2528"/>
      <c r="AA214" s="2528"/>
      <c r="AB214" s="2528"/>
      <c r="AC214" s="2528"/>
      <c r="AD214" s="2528"/>
      <c r="AE214" s="2528"/>
      <c r="AF214" s="2528"/>
      <c r="AG214" s="2528"/>
      <c r="AH214" s="2528"/>
      <c r="AI214" s="2529"/>
      <c r="BK214" s="1915"/>
    </row>
    <row customHeight="1" ht="17.25">
      <c r="A215" s="2191"/>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93E061-DC52-E9CB-7B92-ACEF9830484E}"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9879" width="43.140625"/>
    <col min="2" max="2" style="19879" width="43.140625" hidden="1"/>
    <col min="3" max="3" style="19879" width="43.140625"/>
    <col min="4" max="5" style="19879" width="36.421875" customWidth="1"/>
    <col min="6" max="8" style="19880" width="36.421875" customWidth="1"/>
  </cols>
  <sheetData>
    <row customHeight="1" ht="9">
      <c r="A1" s="1187" t="s">
        <v>2072</v>
      </c>
      <c r="B1" s="1187"/>
      <c r="C1" s="1323" t="s">
        <v>2073</v>
      </c>
      <c r="D1" s="1321" t="s">
        <v>803</v>
      </c>
      <c r="E1" s="1321" t="s">
        <v>849</v>
      </c>
      <c r="F1" s="1321" t="s">
        <v>902</v>
      </c>
      <c r="G1" s="1321" t="s">
        <v>889</v>
      </c>
      <c r="H1" s="1321" t="s">
        <v>1766</v>
      </c>
    </row>
    <row customHeight="1" ht="9">
      <c r="A2" s="1324" t="s">
        <v>2074</v>
      </c>
      <c r="B2" s="1324"/>
      <c r="C2" s="1325" t="str">
        <f>INDEX(TEMPLATE_NUMBER_FORM_LIST,MATCH(TEMPLATE_SPHERE,TEMPLATE_SPHERE_LIST,0))</f>
        <v>16</v>
      </c>
      <c r="D2" s="1324" t="s">
        <v>1098</v>
      </c>
      <c r="E2" s="1324" t="s">
        <v>146</v>
      </c>
      <c r="F2" s="1326" t="s">
        <v>146</v>
      </c>
      <c r="G2" s="1324" t="s">
        <v>146</v>
      </c>
      <c r="H2" s="1327"/>
    </row>
    <row customHeight="1" ht="63">
      <c r="A3" s="1187"/>
      <c r="B3" s="1187" t="s">
        <v>106</v>
      </c>
      <c r="C3" s="132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325" t="s">
        <v>2075</v>
      </c>
      <c r="E3" s="132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326"/>
      <c r="G3" s="1327"/>
      <c r="H3" s="1187"/>
    </row>
    <row customHeight="1" ht="243">
      <c r="A4" s="1187" t="s">
        <v>2076</v>
      </c>
      <c r="B4" s="1187" t="s">
        <v>107</v>
      </c>
      <c r="C4" s="132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324" t="s">
        <v>2077</v>
      </c>
      <c r="E4" s="132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324"/>
      <c r="G4" s="1324"/>
      <c r="H4" s="1187" t="s">
        <v>2078</v>
      </c>
    </row>
    <row customHeight="1" ht="117">
      <c r="A5" s="1187" t="s">
        <v>2079</v>
      </c>
      <c r="B5" s="1187" t="s">
        <v>90</v>
      </c>
      <c r="C5" s="132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187" t="s">
        <v>2080</v>
      </c>
      <c r="E5" s="119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327"/>
      <c r="G5" s="1327"/>
      <c r="H5" s="1187" t="s">
        <v>2081</v>
      </c>
    </row>
    <row customHeight="1" ht="90">
      <c r="A6" s="1187" t="s">
        <v>2082</v>
      </c>
      <c r="B6" s="1187" t="s">
        <v>91</v>
      </c>
      <c r="C6" s="132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19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19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187"/>
      <c r="G6" s="1187"/>
      <c r="H6" s="1327"/>
    </row>
    <row customHeight="1" ht="45">
      <c r="A7" s="1187" t="s">
        <v>2083</v>
      </c>
      <c r="B7" s="1187" t="s">
        <v>108</v>
      </c>
      <c r="C7" s="1325" t="str">
        <f>IF(TEMPLATE_SPHERE="HEAT",D7,E7)</f>
        <v>Форма 11. Информация о расходах на капитальный и текущий ремонт основных средств</v>
      </c>
      <c r="D7" s="1187" t="s">
        <v>2084</v>
      </c>
      <c r="E7" s="1187" t="s">
        <v>2085</v>
      </c>
      <c r="F7" s="1327"/>
      <c r="G7" s="1327"/>
      <c r="H7" s="1327"/>
    </row>
    <row customHeight="1" ht="108">
      <c r="A8" s="1187" t="s">
        <v>2086</v>
      </c>
      <c r="B8" s="1187" t="s">
        <v>92</v>
      </c>
      <c r="C8" s="132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187" t="s">
        <v>1335</v>
      </c>
      <c r="E8" s="1187" t="s">
        <v>2087</v>
      </c>
      <c r="F8" s="1327"/>
      <c r="G8" s="1327"/>
      <c r="H8" s="1327"/>
    </row>
    <row customHeight="1" ht="99">
      <c r="A9" s="1187" t="s">
        <v>2088</v>
      </c>
      <c r="B9" s="1187"/>
      <c r="C9" s="1187" t="s">
        <v>2089</v>
      </c>
      <c r="D9" s="1187"/>
      <c r="E9" s="1187"/>
      <c r="F9" s="1327"/>
      <c r="G9" s="1327"/>
      <c r="H9" s="1327"/>
    </row>
    <row customHeight="1" ht="126">
      <c r="A10" s="1187" t="s">
        <v>2090</v>
      </c>
      <c r="B10" s="1187"/>
      <c r="C10" s="1187" t="s">
        <v>2091</v>
      </c>
      <c r="D10" s="1187"/>
      <c r="E10" s="1187"/>
      <c r="F10" s="1327"/>
      <c r="G10" s="1327"/>
      <c r="H10" s="1327"/>
    </row>
    <row customHeight="1" ht="108">
      <c r="A11" s="1187" t="s">
        <v>2092</v>
      </c>
      <c r="B11" s="1187"/>
      <c r="C11" s="1187" t="s">
        <v>2093</v>
      </c>
      <c r="D11" s="1187"/>
      <c r="E11" s="1187"/>
      <c r="F11" s="1327"/>
      <c r="G11" s="1327"/>
      <c r="H11" s="1327"/>
    </row>
    <row customHeight="1" ht="54">
      <c r="A12" s="1187" t="s">
        <v>2094</v>
      </c>
      <c r="B12" s="1187"/>
      <c r="C12" s="1187" t="s">
        <v>2095</v>
      </c>
      <c r="D12" s="1187"/>
      <c r="E12" s="1187"/>
      <c r="F12" s="1327"/>
      <c r="G12" s="1327"/>
      <c r="H12" s="1327"/>
    </row>
    <row customHeight="1" ht="45">
      <c r="A13" s="1187" t="s">
        <v>2096</v>
      </c>
      <c r="B13" s="1187"/>
      <c r="C13" s="1187" t="s">
        <v>2097</v>
      </c>
      <c r="D13" s="1187"/>
      <c r="E13" s="1187"/>
      <c r="F13" s="1327"/>
      <c r="G13" s="1327"/>
      <c r="H13" s="1327"/>
    </row>
    <row customHeight="1" ht="117">
      <c r="A14" s="1187" t="s">
        <v>2098</v>
      </c>
      <c r="B14" s="1187"/>
      <c r="C14" s="1187" t="s">
        <v>2099</v>
      </c>
      <c r="D14" s="1187"/>
      <c r="E14" s="1187"/>
      <c r="F14" s="1327"/>
      <c r="G14" s="1327"/>
      <c r="H14" s="1327"/>
    </row>
    <row customHeight="1" ht="117">
      <c r="A15" s="1187" t="s">
        <v>2100</v>
      </c>
      <c r="B15" s="1187"/>
      <c r="C15" s="1187" t="s">
        <v>2101</v>
      </c>
      <c r="D15" s="1187"/>
      <c r="E15" s="1187"/>
      <c r="F15" s="1327"/>
      <c r="G15" s="1327"/>
      <c r="H15" s="1327"/>
    </row>
    <row customHeight="1" ht="63">
      <c r="A16" s="1187" t="s">
        <v>2102</v>
      </c>
      <c r="B16" s="1187"/>
      <c r="C16" s="1187" t="s">
        <v>2103</v>
      </c>
      <c r="D16" s="1187"/>
      <c r="E16" s="1187"/>
      <c r="F16" s="1327"/>
      <c r="G16" s="1327"/>
      <c r="H16" s="1327"/>
    </row>
    <row customHeight="1" ht="54">
      <c r="A17" s="1187" t="s">
        <v>2104</v>
      </c>
      <c r="B17" s="1187"/>
      <c r="C17" s="1325" t="s">
        <v>2105</v>
      </c>
      <c r="D17" s="1187"/>
      <c r="E17" s="1187"/>
      <c r="F17" s="1327"/>
      <c r="G17" s="1327"/>
      <c r="H17" s="1327"/>
    </row>
    <row customHeight="1" ht="27">
      <c r="A18" s="1187" t="s">
        <v>2106</v>
      </c>
      <c r="B18" s="1187"/>
      <c r="C18" s="1325" t="s">
        <v>2107</v>
      </c>
      <c r="D18" s="1187"/>
      <c r="E18" s="1187"/>
      <c r="F18" s="1327"/>
      <c r="G18" s="1327"/>
      <c r="H18" s="1327"/>
    </row>
    <row customHeight="1" ht="54">
      <c r="A19" s="1187" t="s">
        <v>2108</v>
      </c>
      <c r="B19" s="1187"/>
      <c r="C19" s="1325" t="s">
        <v>2109</v>
      </c>
      <c r="D19" s="1187"/>
      <c r="E19" s="1187"/>
      <c r="F19" s="1327"/>
      <c r="G19" s="1327"/>
      <c r="H19" s="1327"/>
    </row>
    <row customHeight="1" ht="36">
      <c r="A20" s="1187" t="s">
        <v>2110</v>
      </c>
      <c r="B20" s="1187"/>
      <c r="C20" s="1325" t="s">
        <v>2111</v>
      </c>
      <c r="D20" s="1187"/>
      <c r="E20" s="1187"/>
      <c r="F20" s="1327"/>
      <c r="G20" s="1327"/>
      <c r="H20" s="1327"/>
    </row>
    <row customHeight="1" ht="36">
      <c r="A21" s="1187" t="s">
        <v>2112</v>
      </c>
      <c r="B21" s="1187"/>
      <c r="C21" s="1325" t="s">
        <v>2113</v>
      </c>
      <c r="D21" s="1187"/>
      <c r="E21" s="1187"/>
      <c r="F21" s="1327"/>
      <c r="G21" s="1327"/>
      <c r="H21" s="1327"/>
    </row>
    <row customHeight="1" ht="27">
      <c r="A22" s="1187" t="s">
        <v>2114</v>
      </c>
      <c r="B22" s="1187"/>
      <c r="C22" s="1325" t="s">
        <v>2115</v>
      </c>
      <c r="D22" s="1187"/>
      <c r="E22" s="1187"/>
      <c r="F22" s="1327"/>
      <c r="G22" s="1327"/>
      <c r="H22" s="1327"/>
    </row>
    <row customHeight="1" ht="36">
      <c r="A23" s="1187" t="s">
        <v>2116</v>
      </c>
      <c r="B23" s="1187"/>
      <c r="C23" s="1325" t="s">
        <v>2117</v>
      </c>
      <c r="D23" s="1187"/>
      <c r="E23" s="1187"/>
      <c r="F23" s="1327"/>
      <c r="G23" s="1327"/>
      <c r="H23" s="1327"/>
    </row>
    <row customHeight="1" ht="28.5">
      <c r="A24" s="1187" t="s">
        <v>2118</v>
      </c>
      <c r="B24" s="1187"/>
      <c r="C24" s="1325" t="s">
        <v>2119</v>
      </c>
      <c r="D24" s="1187"/>
      <c r="E24" s="1187"/>
      <c r="F24" s="1327"/>
      <c r="G24" s="1327"/>
      <c r="H24" s="1327"/>
    </row>
    <row customHeight="1" ht="36">
      <c r="A25" s="1187" t="s">
        <v>2120</v>
      </c>
      <c r="B25" s="1187"/>
      <c r="C25" s="1325" t="s">
        <v>2121</v>
      </c>
      <c r="D25" s="1187"/>
      <c r="E25" s="1187"/>
      <c r="F25" s="1327"/>
      <c r="G25" s="1327"/>
      <c r="H25" s="1327"/>
    </row>
    <row customHeight="1" ht="27">
      <c r="A26" s="1187" t="s">
        <v>2122</v>
      </c>
      <c r="B26" s="1187"/>
      <c r="C26" s="1325" t="s">
        <v>2123</v>
      </c>
      <c r="D26" s="1187"/>
      <c r="E26" s="1187"/>
      <c r="F26" s="1327"/>
      <c r="G26" s="1327"/>
      <c r="H26" s="1327"/>
    </row>
    <row customHeight="1" ht="36">
      <c r="A27" s="1187" t="s">
        <v>2124</v>
      </c>
      <c r="B27" s="1187"/>
      <c r="C27" s="1325" t="s">
        <v>2125</v>
      </c>
      <c r="D27" s="1187"/>
      <c r="E27" s="1187"/>
      <c r="F27" s="1327"/>
      <c r="G27" s="1327"/>
      <c r="H27" s="1327"/>
    </row>
    <row customHeight="1" ht="28.5">
      <c r="A28" s="1187" t="s">
        <v>2126</v>
      </c>
      <c r="B28" s="1187"/>
      <c r="C28" s="1325" t="s">
        <v>2127</v>
      </c>
      <c r="D28" s="1187"/>
      <c r="E28" s="1187"/>
      <c r="F28" s="1327"/>
      <c r="G28" s="1327"/>
      <c r="H28" s="1327"/>
    </row>
    <row customHeight="1" ht="126">
      <c r="A29" s="1187" t="s">
        <v>2128</v>
      </c>
      <c r="B29" s="1187" t="s">
        <v>1125</v>
      </c>
      <c r="C29" s="132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187" t="s">
        <v>2129</v>
      </c>
      <c r="E29" s="119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327"/>
      <c r="G29" s="1327"/>
      <c r="H29" s="1187" t="s">
        <v>2130</v>
      </c>
    </row>
    <row customHeight="1" ht="36">
      <c r="A30" s="1187" t="s">
        <v>2131</v>
      </c>
      <c r="B30" s="1187"/>
      <c r="C30" s="132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187" t="s">
        <v>2132</v>
      </c>
      <c r="E30" s="119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327"/>
      <c r="G30" s="1327"/>
      <c r="H30" s="1327"/>
    </row>
    <row customHeight="1" ht="54">
      <c r="A31" s="1187" t="s">
        <v>2133</v>
      </c>
      <c r="B31" s="1187"/>
      <c r="C31" s="132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187" t="s">
        <v>2134</v>
      </c>
      <c r="E31" s="119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327"/>
      <c r="G31" s="1327"/>
      <c r="H31" s="1327"/>
    </row>
    <row customHeight="1" ht="198">
      <c r="A32" s="1187" t="s">
        <v>2135</v>
      </c>
      <c r="B32" s="1187"/>
      <c r="C32" s="132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187" t="s">
        <v>2136</v>
      </c>
      <c r="E32" s="119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327"/>
      <c r="G32" s="1327"/>
      <c r="H32" s="1187" t="s">
        <v>2137</v>
      </c>
    </row>
    <row customHeight="1" ht="9">
      <c r="A33" s="1187"/>
      <c r="B33" s="1187"/>
      <c r="C33" s="1325"/>
      <c r="D33" s="1187"/>
      <c r="E33" s="1187"/>
      <c r="F33" s="1327"/>
      <c r="G33" s="1327"/>
      <c r="H33" s="1327"/>
    </row>
    <row customHeight="1" ht="9">
      <c r="A34" s="1187"/>
      <c r="B34" s="1187" t="s">
        <v>1108</v>
      </c>
      <c r="C34" s="1325">
        <f>INDEX(TEMPLATE_NAME_FORM_LIST,B34,MATCH(TEMPLATE_SPHERE,TEMPLATE_SPHERE_LIST,0))</f>
        <v>0</v>
      </c>
      <c r="D34" s="1187"/>
      <c r="E34" s="1187"/>
      <c r="F34" s="1327"/>
      <c r="G34" s="1327"/>
      <c r="H34" s="1327"/>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9373CAA-D0B2-C391-117B-037FFFFFB815}"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9879" width="9.140625"/>
    <col min="3" max="7" style="19923" width="8.00390625" customWidth="1"/>
    <col min="8" max="12" style="19923" width="8.57421875" customWidth="1"/>
    <col min="13" max="14" style="19923" width="27.7109375" customWidth="1"/>
    <col min="15" max="19" style="19923" width="5.140625" customWidth="1"/>
    <col min="20" max="24" style="19923" width="27.7109375" customWidth="1"/>
    <col min="25" max="25" style="19924" width="1.8515625" customWidth="1"/>
    <col min="26" max="26" style="19879" width="27.7109375" customWidth="1"/>
    <col min="27" max="27" style="19925" width="27.7109375" customWidth="1"/>
    <col min="28" max="29" style="19879" width="27.7109375" customWidth="1"/>
    <col min="30" max="30" style="19879" width="3.8515625" customWidth="1"/>
    <col min="31" max="34" style="19879" width="9.140625"/>
  </cols>
  <sheetData>
    <row s="19881" customFormat="1" customHeight="1" ht="18">
      <c r="A1" s="1239"/>
      <c r="B1" s="1239"/>
      <c r="C1" s="1239" t="s">
        <v>2138</v>
      </c>
      <c r="D1" s="1239"/>
      <c r="E1" s="1239"/>
      <c r="F1" s="1239"/>
      <c r="G1" s="1239"/>
      <c r="H1" s="1239" t="s">
        <v>2139</v>
      </c>
      <c r="I1" s="1239"/>
      <c r="J1" s="1239"/>
      <c r="K1" s="1239"/>
      <c r="L1" s="1239"/>
      <c r="M1" s="1239" t="s">
        <v>2140</v>
      </c>
      <c r="N1" s="1239" t="s">
        <v>2141</v>
      </c>
      <c r="O1" s="2933" t="s">
        <v>2142</v>
      </c>
      <c r="P1" s="2933"/>
      <c r="Q1" s="2933"/>
      <c r="R1" s="2933"/>
      <c r="S1" s="2933"/>
      <c r="T1" s="2933" t="s">
        <v>2140</v>
      </c>
      <c r="U1" s="2933"/>
      <c r="V1" s="2933"/>
      <c r="W1" s="2933"/>
      <c r="X1" s="2933"/>
      <c r="Y1" s="1340"/>
      <c r="Z1" s="2933" t="s">
        <v>2143</v>
      </c>
      <c r="AA1" s="2933"/>
      <c r="AB1" s="2933"/>
      <c r="AC1" s="2933"/>
      <c r="AD1" s="2933"/>
    </row>
    <row customHeight="1" ht="18">
      <c r="A2" s="1187"/>
      <c r="B2" s="1187"/>
      <c r="C2" s="1182" t="s">
        <v>803</v>
      </c>
      <c r="D2" s="1182" t="s">
        <v>849</v>
      </c>
      <c r="E2" s="1182" t="s">
        <v>902</v>
      </c>
      <c r="F2" s="1182" t="s">
        <v>889</v>
      </c>
      <c r="G2" s="1182" t="s">
        <v>1766</v>
      </c>
      <c r="H2" s="1184"/>
      <c r="I2" s="1184"/>
      <c r="J2" s="1184"/>
      <c r="K2" s="1184"/>
      <c r="L2" s="1184"/>
      <c r="M2" s="1184"/>
      <c r="N2" s="1184"/>
      <c r="O2" s="1182" t="s">
        <v>803</v>
      </c>
      <c r="P2" s="1182" t="s">
        <v>849</v>
      </c>
      <c r="Q2" s="1182" t="s">
        <v>889</v>
      </c>
      <c r="R2" s="1182" t="s">
        <v>902</v>
      </c>
      <c r="S2" s="1182" t="s">
        <v>1766</v>
      </c>
      <c r="T2" s="1182" t="s">
        <v>803</v>
      </c>
      <c r="U2" s="1182" t="s">
        <v>849</v>
      </c>
      <c r="V2" s="1182" t="s">
        <v>889</v>
      </c>
      <c r="W2" s="1182" t="s">
        <v>902</v>
      </c>
      <c r="X2" s="1182" t="s">
        <v>1766</v>
      </c>
      <c r="Y2" s="1182"/>
      <c r="Z2" s="1182" t="s">
        <v>803</v>
      </c>
      <c r="AA2" s="1191" t="s">
        <v>849</v>
      </c>
      <c r="AB2" s="1182" t="s">
        <v>889</v>
      </c>
      <c r="AC2" s="1182" t="s">
        <v>902</v>
      </c>
      <c r="AD2" s="1182" t="s">
        <v>1766</v>
      </c>
    </row>
    <row customHeight="1" ht="162">
      <c r="A3" s="1186" t="s">
        <v>27</v>
      </c>
      <c r="B3" s="1186"/>
      <c r="C3" s="2937" t="s">
        <v>2144</v>
      </c>
      <c r="D3" s="2938"/>
      <c r="E3" s="2938"/>
      <c r="F3" s="2939"/>
      <c r="G3" s="1184"/>
      <c r="H3" s="1184"/>
      <c r="I3" s="1184"/>
      <c r="J3" s="1184"/>
      <c r="K3" s="1184"/>
      <c r="L3" s="1184"/>
      <c r="M3" s="1184"/>
      <c r="N3" s="118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184"/>
      <c r="P3" s="1184"/>
      <c r="Q3" s="1184"/>
      <c r="R3" s="1184"/>
      <c r="S3" s="1184"/>
      <c r="T3" s="1184"/>
      <c r="U3" s="1184"/>
      <c r="V3" s="1184"/>
      <c r="W3" s="1184"/>
      <c r="X3" s="1184"/>
      <c r="Y3" s="1341"/>
      <c r="Z3" s="1187" t="s">
        <v>2145</v>
      </c>
      <c r="AA3" s="1184" t="s">
        <v>2146</v>
      </c>
      <c r="AB3" s="1187" t="s">
        <v>2147</v>
      </c>
      <c r="AC3" s="1187" t="s">
        <v>2148</v>
      </c>
      <c r="AD3" s="1187"/>
      <c r="AG3" s="1187"/>
      <c r="AH3" s="1187"/>
    </row>
    <row customHeight="1" ht="9">
      <c r="A4" s="1186"/>
      <c r="B4" s="1186"/>
      <c r="C4" s="1184"/>
      <c r="D4" s="1184"/>
      <c r="E4" s="1184"/>
      <c r="F4" s="1184"/>
      <c r="G4" s="1184"/>
      <c r="H4" s="1184"/>
      <c r="I4" s="1184"/>
      <c r="J4" s="1184"/>
      <c r="K4" s="1184"/>
      <c r="L4" s="1184"/>
      <c r="M4" s="1184"/>
      <c r="N4" s="1184"/>
      <c r="O4" s="1184"/>
      <c r="P4" s="1184"/>
      <c r="Q4" s="1184"/>
      <c r="R4" s="1184"/>
      <c r="S4" s="1184"/>
      <c r="T4" s="1184"/>
      <c r="U4" s="1184"/>
      <c r="V4" s="1184"/>
      <c r="W4" s="1184"/>
      <c r="X4" s="1184"/>
      <c r="Y4" s="1341"/>
      <c r="Z4" s="1187"/>
      <c r="AA4" s="1190"/>
      <c r="AB4" s="1187"/>
      <c r="AC4" s="1187"/>
      <c r="AD4" s="1187"/>
    </row>
    <row customHeight="1" ht="9">
      <c r="A5" s="1186"/>
      <c r="B5" s="1186"/>
      <c r="C5" s="1184"/>
      <c r="D5" s="1184"/>
      <c r="E5" s="1184"/>
      <c r="F5" s="1184"/>
      <c r="G5" s="1184"/>
      <c r="H5" s="1184"/>
      <c r="I5" s="1184"/>
      <c r="J5" s="1184"/>
      <c r="K5" s="1184"/>
      <c r="L5" s="1184"/>
      <c r="M5" s="1184"/>
      <c r="N5" s="1184"/>
      <c r="O5" s="1184"/>
      <c r="P5" s="1184"/>
      <c r="Q5" s="1184"/>
      <c r="R5" s="1184"/>
      <c r="S5" s="1184"/>
      <c r="T5" s="1184"/>
      <c r="U5" s="1184"/>
      <c r="V5" s="1184"/>
      <c r="W5" s="1184"/>
      <c r="X5" s="1184"/>
      <c r="Y5" s="1341"/>
      <c r="Z5" s="1187"/>
      <c r="AA5" s="1190"/>
      <c r="AB5" s="1187"/>
      <c r="AC5" s="1187"/>
      <c r="AD5" s="1187"/>
    </row>
    <row customHeight="1" ht="9">
      <c r="A6" s="1186"/>
      <c r="B6" s="1186"/>
      <c r="C6" s="1184"/>
      <c r="D6" s="1184"/>
      <c r="E6" s="1184"/>
      <c r="F6" s="1184"/>
      <c r="G6" s="1184"/>
      <c r="H6" s="1184"/>
      <c r="I6" s="1184"/>
      <c r="J6" s="1184"/>
      <c r="K6" s="1184"/>
      <c r="L6" s="1184"/>
      <c r="M6" s="1184"/>
      <c r="N6" s="1184"/>
      <c r="O6" s="1184"/>
      <c r="P6" s="1184"/>
      <c r="Q6" s="1184"/>
      <c r="R6" s="1184"/>
      <c r="S6" s="1184"/>
      <c r="T6" s="1184"/>
      <c r="U6" s="1184"/>
      <c r="V6" s="1184"/>
      <c r="W6" s="1184"/>
      <c r="X6" s="1184"/>
      <c r="Y6" s="1341"/>
      <c r="Z6" s="1187"/>
      <c r="AA6" s="1190"/>
      <c r="AB6" s="1187"/>
      <c r="AC6" s="1187"/>
      <c r="AD6" s="1187"/>
    </row>
    <row customHeight="1" ht="9">
      <c r="A7" s="1186"/>
      <c r="B7" s="1186"/>
      <c r="C7" s="1184"/>
      <c r="D7" s="1184"/>
      <c r="E7" s="1184"/>
      <c r="F7" s="1184"/>
      <c r="G7" s="1184"/>
      <c r="H7" s="1184"/>
      <c r="I7" s="1184"/>
      <c r="J7" s="1184"/>
      <c r="K7" s="1184"/>
      <c r="L7" s="1184"/>
      <c r="M7" s="1184"/>
      <c r="N7" s="1184"/>
      <c r="O7" s="1184"/>
      <c r="P7" s="1184"/>
      <c r="Q7" s="1184"/>
      <c r="R7" s="1184"/>
      <c r="S7" s="1184"/>
      <c r="T7" s="1184"/>
      <c r="U7" s="1184"/>
      <c r="V7" s="1184"/>
      <c r="W7" s="1184"/>
      <c r="X7" s="1184"/>
      <c r="Y7" s="1341"/>
      <c r="Z7" s="1187"/>
      <c r="AA7" s="1190"/>
      <c r="AB7" s="1187"/>
      <c r="AC7" s="1187"/>
      <c r="AD7" s="1187"/>
    </row>
    <row customHeight="1" ht="9">
      <c r="A8" s="1186"/>
      <c r="B8" s="1186"/>
      <c r="C8" s="1184"/>
      <c r="D8" s="1184"/>
      <c r="E8" s="1184"/>
      <c r="F8" s="1184"/>
      <c r="G8" s="1184"/>
      <c r="H8" s="1184"/>
      <c r="I8" s="1184"/>
      <c r="J8" s="1184"/>
      <c r="K8" s="1184"/>
      <c r="L8" s="1184"/>
      <c r="M8" s="1184"/>
      <c r="N8" s="1184"/>
      <c r="O8" s="1184"/>
      <c r="P8" s="1184"/>
      <c r="Q8" s="1184"/>
      <c r="R8" s="1184"/>
      <c r="S8" s="1184"/>
      <c r="T8" s="1184"/>
      <c r="U8" s="1184"/>
      <c r="V8" s="1184"/>
      <c r="W8" s="1184"/>
      <c r="X8" s="1184"/>
      <c r="Y8" s="1341"/>
      <c r="Z8" s="1187"/>
      <c r="AA8" s="1190"/>
      <c r="AB8" s="1187"/>
      <c r="AC8" s="1187"/>
      <c r="AD8" s="1187"/>
    </row>
    <row customHeight="1" ht="9">
      <c r="A9" s="1186"/>
      <c r="B9" s="1186"/>
      <c r="C9" s="1184"/>
      <c r="D9" s="1184"/>
      <c r="E9" s="1184"/>
      <c r="F9" s="1184"/>
      <c r="G9" s="1184"/>
      <c r="H9" s="1184"/>
      <c r="I9" s="1184"/>
      <c r="J9" s="1184"/>
      <c r="K9" s="1184"/>
      <c r="L9" s="1184"/>
      <c r="M9" s="1184"/>
      <c r="N9" s="1184"/>
      <c r="O9" s="1184"/>
      <c r="P9" s="1184"/>
      <c r="Q9" s="1184"/>
      <c r="R9" s="1184"/>
      <c r="S9" s="1184"/>
      <c r="T9" s="1184"/>
      <c r="U9" s="1184"/>
      <c r="V9" s="1184"/>
      <c r="W9" s="1184"/>
      <c r="X9" s="1184"/>
      <c r="Y9" s="1341"/>
      <c r="Z9" s="1187"/>
      <c r="AA9" s="1190"/>
      <c r="AB9" s="1187"/>
      <c r="AC9" s="1187"/>
      <c r="AD9" s="1187"/>
    </row>
    <row customHeight="1" ht="9">
      <c r="A10" s="1240"/>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row>
    <row customHeight="1" ht="45">
      <c r="A11" s="2934" t="s">
        <v>33</v>
      </c>
      <c r="B11" s="1240">
        <v>1</v>
      </c>
      <c r="C11" s="2940" t="s">
        <v>1121</v>
      </c>
      <c r="D11" s="2940" t="s">
        <v>1118</v>
      </c>
      <c r="E11" s="2940" t="s">
        <v>1792</v>
      </c>
      <c r="F11" s="2940" t="s">
        <v>2149</v>
      </c>
      <c r="G11" s="2940"/>
      <c r="H11" s="1239" t="s">
        <v>2150</v>
      </c>
      <c r="I11" s="1239"/>
      <c r="J11" s="1239"/>
      <c r="K11" s="1239"/>
      <c r="L11" s="1239"/>
      <c r="M11" s="1185" t="str">
        <f>IF(TEMPLATE_SPHERE="HEAT",T11,U11)</f>
        <v>Количество поданных заявок</v>
      </c>
      <c r="N11" s="1185"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184"/>
      <c r="P11" s="1184"/>
      <c r="Q11" s="1184"/>
      <c r="R11" s="1184"/>
      <c r="S11" s="1184"/>
      <c r="T11" s="1184" t="s">
        <v>2151</v>
      </c>
      <c r="U11" s="1184" t="s">
        <v>2152</v>
      </c>
      <c r="V11" s="1184"/>
      <c r="W11" s="1184"/>
      <c r="X11" s="1184"/>
      <c r="Y11" s="1341"/>
      <c r="Z11" s="1187" t="s">
        <v>2153</v>
      </c>
      <c r="AA11" s="119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187"/>
      <c r="AC11" s="1187"/>
      <c r="AD11" s="1187"/>
    </row>
    <row customHeight="1" ht="45">
      <c r="A12" s="2934"/>
      <c r="B12" s="1240">
        <v>2</v>
      </c>
      <c r="C12" s="2941"/>
      <c r="D12" s="2941"/>
      <c r="E12" s="2941"/>
      <c r="F12" s="2941"/>
      <c r="G12" s="2941"/>
      <c r="H12" s="1239" t="s">
        <v>2154</v>
      </c>
      <c r="I12" s="1239"/>
      <c r="J12" s="1239"/>
      <c r="K12" s="1239"/>
      <c r="L12" s="1239"/>
      <c r="M12" s="1185" t="str">
        <f>IF(TEMPLATE_SPHERE="HEAT",T12,U12)</f>
        <v>Количество рассмотренных заявок</v>
      </c>
      <c r="N12" s="1185"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184"/>
      <c r="P12" s="1184"/>
      <c r="Q12" s="1184"/>
      <c r="R12" s="1184"/>
      <c r="S12" s="1184"/>
      <c r="T12" s="1184" t="s">
        <v>2155</v>
      </c>
      <c r="U12" s="1184" t="s">
        <v>2156</v>
      </c>
      <c r="V12" s="1184"/>
      <c r="W12" s="1184"/>
      <c r="X12" s="1184"/>
      <c r="Y12" s="1341"/>
      <c r="Z12" s="1187" t="s">
        <v>2157</v>
      </c>
      <c r="AA12" s="119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187"/>
      <c r="AC12" s="1187"/>
      <c r="AD12" s="1187"/>
    </row>
    <row customHeight="1" ht="72">
      <c r="A13" s="2934"/>
      <c r="B13" s="1240">
        <v>3</v>
      </c>
      <c r="C13" s="2941"/>
      <c r="D13" s="2941"/>
      <c r="E13" s="2941"/>
      <c r="F13" s="2941"/>
      <c r="G13" s="2941"/>
      <c r="H13" s="2933" t="s">
        <v>2158</v>
      </c>
      <c r="I13" s="1239"/>
      <c r="J13" s="1239"/>
      <c r="K13" s="1239"/>
      <c r="L13" s="1239"/>
      <c r="M13" s="118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185" t="str">
        <f>IF(TEMPLATE_SPHERE="HEAT",Z13,AA13)</f>
        <v>Указывается количество заявок с решением об отказе в течение отчетного квартала.</v>
      </c>
      <c r="O13" s="1184"/>
      <c r="P13" s="1185"/>
      <c r="Q13" s="1185"/>
      <c r="R13" s="1185"/>
      <c r="S13" s="1184"/>
      <c r="T13" s="1184" t="s">
        <v>2159</v>
      </c>
      <c r="U13" s="1185" t="s">
        <v>2160</v>
      </c>
      <c r="V13" s="1185"/>
      <c r="W13" s="1185"/>
      <c r="X13" s="1184"/>
      <c r="Y13" s="1341"/>
      <c r="Z13" s="1187" t="s">
        <v>2161</v>
      </c>
      <c r="AA13" s="119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187"/>
      <c r="AC13" s="1187"/>
      <c r="AD13" s="1187"/>
    </row>
    <row customHeight="1" ht="45">
      <c r="A14" s="2934"/>
      <c r="B14" s="1240">
        <v>4</v>
      </c>
      <c r="C14" s="2941"/>
      <c r="D14" s="2941"/>
      <c r="E14" s="2941"/>
      <c r="F14" s="2941"/>
      <c r="G14" s="2941"/>
      <c r="H14" s="2933"/>
      <c r="I14" s="1242"/>
      <c r="J14" s="1242"/>
      <c r="K14" s="1242"/>
      <c r="L14" s="1242"/>
      <c r="M14" s="1188" t="str">
        <f>IF(TEMPLATE_SPHERE="HEAT",T14,U14)</f>
        <v>Причины отказа в заключении договора о подключении (технологическом присоединении) к системе теплоснабжения</v>
      </c>
      <c r="N14" s="1185"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184"/>
      <c r="P14" s="1185"/>
      <c r="Q14" s="1185"/>
      <c r="R14" s="1185"/>
      <c r="S14" s="1184"/>
      <c r="T14" s="1184" t="s">
        <v>2162</v>
      </c>
      <c r="U14" s="118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185"/>
      <c r="W14" s="1185"/>
      <c r="X14" s="1184"/>
      <c r="Y14" s="1341"/>
      <c r="Z14" s="1187" t="s">
        <v>2163</v>
      </c>
      <c r="AA14" s="1190" t="s">
        <v>2163</v>
      </c>
      <c r="AB14" s="1187"/>
      <c r="AC14" s="1187"/>
      <c r="AD14" s="1187"/>
    </row>
    <row customHeight="1" ht="108">
      <c r="A15" s="2934"/>
      <c r="B15" s="1240">
        <v>5</v>
      </c>
      <c r="C15" s="2941"/>
      <c r="D15" s="2941"/>
      <c r="E15" s="2941"/>
      <c r="F15" s="2941"/>
      <c r="G15" s="2941"/>
      <c r="H15" s="2935" t="s">
        <v>2164</v>
      </c>
      <c r="I15" s="1241"/>
      <c r="J15" s="1241"/>
      <c r="K15" s="1241"/>
      <c r="L15" s="1241"/>
      <c r="M15" s="1190" t="str">
        <f>IF(TEMPLATE_SPHERE="HEAT",T15,U15)</f>
        <v>Резерв мощности источников тепловой энергии, входящих в систему теплоснабжения, в течение одного квартала, в том числе:</v>
      </c>
      <c r="N15" s="1189"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184"/>
      <c r="P15" s="1185"/>
      <c r="Q15" s="1185"/>
      <c r="R15" s="1185"/>
      <c r="S15" s="1184"/>
      <c r="T15" s="1184" t="s">
        <v>2165</v>
      </c>
      <c r="U15" s="118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185"/>
      <c r="W15" s="1185"/>
      <c r="X15" s="1184"/>
      <c r="Y15" s="1341"/>
      <c r="Z15" s="1187" t="s">
        <v>2166</v>
      </c>
      <c r="AA15" s="119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187"/>
      <c r="AC15" s="1187"/>
      <c r="AD15" s="1187"/>
    </row>
    <row customHeight="1" ht="108">
      <c r="A16" s="1240"/>
      <c r="B16" s="1240">
        <v>6</v>
      </c>
      <c r="C16" s="2942"/>
      <c r="D16" s="2942"/>
      <c r="E16" s="2942"/>
      <c r="F16" s="2942"/>
      <c r="G16" s="2942"/>
      <c r="H16" s="2936"/>
      <c r="I16" s="1303"/>
      <c r="J16" s="1303"/>
      <c r="K16" s="1303"/>
      <c r="L16" s="1303"/>
      <c r="M16" s="1233"/>
      <c r="N16" s="1189"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184"/>
      <c r="P16" s="1185"/>
      <c r="Q16" s="1185"/>
      <c r="R16" s="1185"/>
      <c r="S16" s="1184"/>
      <c r="T16" s="1184"/>
      <c r="U16" s="1185"/>
      <c r="V16" s="1185"/>
      <c r="W16" s="1185"/>
      <c r="X16" s="1184"/>
      <c r="Y16" s="1341"/>
      <c r="Z16" s="1187" t="s">
        <v>2166</v>
      </c>
      <c r="AA16" s="119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187"/>
      <c r="AC16" s="1187"/>
      <c r="AD16" s="1187"/>
    </row>
    <row customHeight="1" ht="9">
      <c r="A17" s="1240"/>
      <c r="B17" s="1240"/>
      <c r="C17" s="1240">
        <v>22</v>
      </c>
      <c r="D17" s="1240">
        <v>21</v>
      </c>
      <c r="E17" s="1240">
        <v>42</v>
      </c>
      <c r="F17" s="1240">
        <v>63</v>
      </c>
      <c r="G17" s="1240"/>
      <c r="H17" s="1240"/>
      <c r="I17" s="1240"/>
      <c r="J17" s="1240"/>
      <c r="K17" s="1240"/>
      <c r="L17" s="1240"/>
      <c r="M17" s="1240"/>
      <c r="N17" s="1240"/>
      <c r="O17" s="1240"/>
      <c r="P17" s="1240"/>
      <c r="Q17" s="1240"/>
      <c r="R17" s="1240"/>
      <c r="S17" s="1240"/>
      <c r="T17" s="1240"/>
      <c r="U17" s="1240"/>
      <c r="V17" s="1240"/>
      <c r="W17" s="1240"/>
      <c r="X17" s="1240"/>
      <c r="Y17" s="1240"/>
      <c r="Z17" s="1240"/>
      <c r="AA17" s="1240"/>
      <c r="AB17" s="1240"/>
      <c r="AC17" s="1240"/>
      <c r="AD17" s="1240"/>
    </row>
    <row customHeight="1" ht="27">
      <c r="A18" s="1186" t="s">
        <v>1795</v>
      </c>
      <c r="B18" s="1240">
        <v>1</v>
      </c>
      <c r="C18" s="1184" t="s">
        <v>2150</v>
      </c>
      <c r="D18" s="1308" t="s">
        <v>2150</v>
      </c>
      <c r="E18" s="1184" t="s">
        <v>2150</v>
      </c>
      <c r="F18" s="1184" t="s">
        <v>2150</v>
      </c>
      <c r="G18" s="1184"/>
      <c r="H18" s="1343"/>
      <c r="I18" s="1346">
        <f>INDEX(TEMPLATE_NUMBER_POINT_FHD,B18,MATCH(TEMPLATE_SPHERE,TEMPLATE_SPHERE_LIST_FOR_NOTE,0))</f>
        <v>1</v>
      </c>
      <c r="J18" s="1346" t="str">
        <f>INDEX(TEMPLATE_DATA_POINT_FHD,B18,MATCH(TEMPLATE_SPHERE,TEMPLATE_SPHERE_LIST_FOR_NOTE,0))</f>
        <v>Выручка от регулируемого вида деятельности с распределением по видам деятельности</v>
      </c>
      <c r="K18" s="1346"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185">
        <f>IF(I18=0,"",I18)</f>
        <v>1</v>
      </c>
      <c r="M18" s="1185" t="str">
        <f>IF(J18=0,"",J18)</f>
        <v>Выручка от регулируемого вида деятельности с распределением по видам деятельности</v>
      </c>
      <c r="N18" s="1185" t="str">
        <f>IF(K18=0,"",K18)</f>
        <v>Указывается выручка от регулируемого вида деятельности с распределением по видам деятельности.</v>
      </c>
      <c r="O18" s="1298">
        <v>1</v>
      </c>
      <c r="P18" s="1298">
        <v>1</v>
      </c>
      <c r="Q18" s="1298">
        <v>1</v>
      </c>
      <c r="R18" s="1298">
        <v>1</v>
      </c>
      <c r="S18" s="1298"/>
      <c r="T18" s="1305" t="s">
        <v>2167</v>
      </c>
      <c r="U18" s="1187" t="s">
        <v>2168</v>
      </c>
      <c r="V18" s="1187" t="s">
        <v>2169</v>
      </c>
      <c r="W18" s="1187" t="s">
        <v>2170</v>
      </c>
      <c r="X18" s="1184"/>
      <c r="Y18" s="1341"/>
      <c r="Z18" s="1187" t="s">
        <v>2171</v>
      </c>
      <c r="AA18" s="1190" t="s">
        <v>2172</v>
      </c>
      <c r="AB18" s="1190" t="s">
        <v>2172</v>
      </c>
      <c r="AC18" s="1190" t="s">
        <v>2172</v>
      </c>
      <c r="AD18" s="1187"/>
    </row>
    <row customHeight="1" ht="36">
      <c r="A19" s="1186"/>
      <c r="B19" s="1240">
        <v>2</v>
      </c>
      <c r="C19" s="1184" t="s">
        <v>2154</v>
      </c>
      <c r="D19" s="1308" t="s">
        <v>2154</v>
      </c>
      <c r="E19" s="1184" t="s">
        <v>2154</v>
      </c>
      <c r="F19" s="1184" t="s">
        <v>2154</v>
      </c>
      <c r="G19" s="1184"/>
      <c r="H19" s="1343"/>
      <c r="I19" s="1346">
        <f>INDEX(TEMPLATE_NUMBER_POINT_FHD,B19,MATCH(TEMPLATE_SPHERE,TEMPLATE_SPHERE_LIST_FOR_NOTE,0))</f>
        <v>2</v>
      </c>
      <c r="J19" s="1346"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346" t="str">
        <f>INDEX(TEMPLATE_NOTE_POINT_FHD,B19,MATCH(TEMPLATE_SPHERE,TEMPLATE_SPHERE_LIST_FOR_NOTE,0))</f>
        <v>Указывается суммарная себестоимость производимых товаров.</v>
      </c>
      <c r="L19" s="1185">
        <f>IF(I19=0,"",I19)</f>
        <v>2</v>
      </c>
      <c r="M19" s="1185" t="str">
        <f>IF(J19=0,"",J19)</f>
        <v>Себестоимость производимых товаров (оказываемых услуг) по регулируемому виду деятельности, включая:</v>
      </c>
      <c r="N19" s="1185" t="str">
        <f>IF(K19=0,"",K19)</f>
        <v>Указывается суммарная себестоимость производимых товаров.</v>
      </c>
      <c r="O19" s="1298">
        <v>2</v>
      </c>
      <c r="P19" s="1298">
        <v>2</v>
      </c>
      <c r="Q19" s="1298">
        <v>2</v>
      </c>
      <c r="R19" s="1298">
        <v>2</v>
      </c>
      <c r="S19" s="1298"/>
      <c r="T19" s="1305" t="s">
        <v>2173</v>
      </c>
      <c r="U19" s="1187" t="s">
        <v>2174</v>
      </c>
      <c r="V19" s="1187" t="s">
        <v>2175</v>
      </c>
      <c r="W19" s="1187" t="s">
        <v>2176</v>
      </c>
      <c r="X19" s="1184"/>
      <c r="Y19" s="1341"/>
      <c r="Z19" s="1187" t="s">
        <v>2177</v>
      </c>
      <c r="AA19" s="1190" t="s">
        <v>2177</v>
      </c>
      <c r="AB19" s="1190" t="s">
        <v>2177</v>
      </c>
      <c r="AC19" s="1190" t="s">
        <v>2177</v>
      </c>
      <c r="AD19" s="1187"/>
    </row>
    <row customHeight="1" ht="27">
      <c r="A20" s="1186"/>
      <c r="B20" s="1240">
        <v>3</v>
      </c>
      <c r="C20" s="1184">
        <v>1</v>
      </c>
      <c r="D20" s="1308"/>
      <c r="E20" s="1184"/>
      <c r="F20" s="1184"/>
      <c r="G20" s="1184"/>
      <c r="H20" s="1343"/>
      <c r="I20" s="1346" t="str">
        <f>INDEX(TEMPLATE_NUMBER_POINT_FHD,B20,MATCH(TEMPLATE_SPHERE,TEMPLATE_SPHERE_LIST_FOR_NOTE,0))</f>
        <v>2.1</v>
      </c>
      <c r="J20" s="1346" t="str">
        <f>INDEX(TEMPLATE_DATA_POINT_FHD,B20,MATCH(TEMPLATE_SPHERE,TEMPLATE_SPHERE_LIST_FOR_NOTE,0))</f>
        <v>Расходы на приобретаемую тепловую энергию (мощность), теплоноситель</v>
      </c>
      <c r="K20" s="1346">
        <f>INDEX(TEMPLATE_NOTE_POINT_FHD,B20,MATCH(TEMPLATE_SPHERE,TEMPLATE_SPHERE_LIST_FOR_NOTE,0))</f>
        <v>0</v>
      </c>
      <c r="L20" s="1185" t="str">
        <f>IF(I20=0,"",I20)</f>
        <v>2.1</v>
      </c>
      <c r="M20" s="1185" t="str">
        <f>IF(J20=0,"",J20)</f>
        <v>Расходы на приобретаемую тепловую энергию (мощность), теплоноситель</v>
      </c>
      <c r="N20" s="1185" t="str">
        <f>IF(K20=0,"",K20)</f>
        <v/>
      </c>
      <c r="O20" s="1298" t="s">
        <v>704</v>
      </c>
      <c r="P20" s="1298" t="s">
        <v>704</v>
      </c>
      <c r="Q20" s="1298" t="s">
        <v>704</v>
      </c>
      <c r="R20" s="1298" t="s">
        <v>704</v>
      </c>
      <c r="S20" s="1298"/>
      <c r="T20" s="1305" t="s">
        <v>2178</v>
      </c>
      <c r="U20" s="1187" t="s">
        <v>2179</v>
      </c>
      <c r="V20" s="1187" t="s">
        <v>2180</v>
      </c>
      <c r="W20" s="1187" t="s">
        <v>2181</v>
      </c>
      <c r="X20" s="1184"/>
      <c r="Y20" s="1341"/>
      <c r="Z20" s="1187"/>
      <c r="AA20" s="1190"/>
      <c r="AB20" s="1187"/>
      <c r="AC20" s="1187"/>
      <c r="AD20" s="1187"/>
    </row>
    <row customHeight="1" ht="36">
      <c r="A21" s="1186"/>
      <c r="B21" s="1240">
        <v>4</v>
      </c>
      <c r="C21" s="1184">
        <v>2</v>
      </c>
      <c r="D21" s="1308"/>
      <c r="E21" s="1184"/>
      <c r="F21" s="1184"/>
      <c r="G21" s="1184"/>
      <c r="H21" s="1343"/>
      <c r="I21" s="1346" t="str">
        <f>INDEX(TEMPLATE_NUMBER_POINT_FHD,B21,MATCH(TEMPLATE_SPHERE,TEMPLATE_SPHERE_LIST_FOR_NOTE,0))</f>
        <v>2.2</v>
      </c>
      <c r="J21" s="1346"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346" t="str">
        <f>INDEX(TEMPLATE_NOTE_POINT_FHD,B21,MATCH(TEMPLATE_SPHERE,TEMPLATE_SPHERE_LIST_FOR_NOTE,0))</f>
        <v>Указываются суммарные расходы на приобретение топлива всех видов.</v>
      </c>
      <c r="L21" s="1185" t="str">
        <f>IF(I21=0,"",I21)</f>
        <v>2.2</v>
      </c>
      <c r="M21" s="1185"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185" t="str">
        <f>IF(K21=0,"",K21)</f>
        <v>Указываются суммарные расходы на приобретение топлива всех видов.</v>
      </c>
      <c r="O21" s="1298" t="s">
        <v>302</v>
      </c>
      <c r="P21" s="1298"/>
      <c r="Q21" s="1298"/>
      <c r="R21" s="1298"/>
      <c r="S21" s="1298"/>
      <c r="T21" s="1305" t="s">
        <v>2182</v>
      </c>
      <c r="U21" s="1187"/>
      <c r="V21" s="1187"/>
      <c r="W21" s="1187"/>
      <c r="X21" s="1184"/>
      <c r="Y21" s="1341"/>
      <c r="Z21" s="1187" t="s">
        <v>2183</v>
      </c>
      <c r="AA21" s="1190"/>
      <c r="AB21" s="1187"/>
      <c r="AC21" s="1187"/>
      <c r="AD21" s="1187"/>
    </row>
    <row customHeight="1" ht="36">
      <c r="A22" s="1186"/>
      <c r="B22" s="1240">
        <v>5</v>
      </c>
      <c r="C22" s="1184">
        <v>3</v>
      </c>
      <c r="D22" s="1308"/>
      <c r="E22" s="1184"/>
      <c r="F22" s="1184"/>
      <c r="G22" s="1232"/>
      <c r="H22" s="1299"/>
      <c r="I22" s="1346">
        <f>INDEX(TEMPLATE_NUMBER_POINT_FHD,B22,MATCH(TEMPLATE_SPHERE,TEMPLATE_SPHERE_LIST_FOR_NOTE,0))</f>
        <v>0</v>
      </c>
      <c r="J22" s="1346">
        <f>INDEX(TEMPLATE_DATA_POINT_FHD,B22,MATCH(TEMPLATE_SPHERE,TEMPLATE_SPHERE_LIST_FOR_NOTE,0))</f>
        <v>0</v>
      </c>
      <c r="K22" s="1346">
        <f>INDEX(TEMPLATE_NOTE_POINT_FHD,B22,MATCH(TEMPLATE_SPHERE,TEMPLATE_SPHERE_LIST_FOR_NOTE,0))</f>
        <v>0</v>
      </c>
      <c r="L22" s="1185" t="str">
        <f>IF(I22=0,"",I22)</f>
        <v/>
      </c>
      <c r="M22" s="1185" t="str">
        <f>IF(J22=0,"",J22)</f>
        <v/>
      </c>
      <c r="N22" s="1185" t="str">
        <f>IF(K22=0,"",K22)</f>
        <v/>
      </c>
      <c r="O22" s="1298"/>
      <c r="P22" s="1298"/>
      <c r="Q22" s="1298" t="s">
        <v>302</v>
      </c>
      <c r="R22" s="1298"/>
      <c r="S22" s="1298"/>
      <c r="T22" s="1305"/>
      <c r="U22" s="1187"/>
      <c r="V22" s="1187" t="s">
        <v>2184</v>
      </c>
      <c r="W22" s="1187"/>
      <c r="X22" s="1184"/>
      <c r="Y22" s="1341"/>
      <c r="Z22" s="1187"/>
      <c r="AA22" s="1190"/>
      <c r="AB22" s="1187"/>
      <c r="AC22" s="1187"/>
      <c r="AD22" s="1187"/>
    </row>
    <row customHeight="1" ht="27">
      <c r="A23" s="1186"/>
      <c r="B23" s="1240">
        <v>6</v>
      </c>
      <c r="C23" s="1184">
        <v>4</v>
      </c>
      <c r="D23" s="1308"/>
      <c r="E23" s="1184"/>
      <c r="F23" s="1184"/>
      <c r="G23" s="1232"/>
      <c r="H23" s="1299"/>
      <c r="I23" s="1346">
        <f>INDEX(TEMPLATE_NUMBER_POINT_FHD,B23,MATCH(TEMPLATE_SPHERE,TEMPLATE_SPHERE_LIST_FOR_NOTE,0))</f>
        <v>0</v>
      </c>
      <c r="J23" s="1346">
        <f>INDEX(TEMPLATE_DATA_POINT_FHD,B23,MATCH(TEMPLATE_SPHERE,TEMPLATE_SPHERE_LIST_FOR_NOTE,0))</f>
        <v>0</v>
      </c>
      <c r="K23" s="1346">
        <f>INDEX(TEMPLATE_NOTE_POINT_FHD,B23,MATCH(TEMPLATE_SPHERE,TEMPLATE_SPHERE_LIST_FOR_NOTE,0))</f>
        <v>0</v>
      </c>
      <c r="L23" s="1185" t="str">
        <f>IF(I23=0,"",I23)</f>
        <v/>
      </c>
      <c r="M23" s="1185" t="str">
        <f>IF(J23=0,"",J23)</f>
        <v/>
      </c>
      <c r="N23" s="1185" t="str">
        <f>IF(K23=0,"",K23)</f>
        <v/>
      </c>
      <c r="O23" s="1298"/>
      <c r="P23" s="1298"/>
      <c r="Q23" s="1298" t="s">
        <v>305</v>
      </c>
      <c r="R23" s="1298"/>
      <c r="S23" s="1298"/>
      <c r="T23" s="1305"/>
      <c r="U23" s="1187"/>
      <c r="V23" s="1187" t="s">
        <v>2185</v>
      </c>
      <c r="W23" s="1187"/>
      <c r="X23" s="1184"/>
      <c r="Y23" s="1341"/>
      <c r="Z23" s="1187"/>
      <c r="AA23" s="1190"/>
      <c r="AB23" s="1187"/>
      <c r="AC23" s="1187"/>
      <c r="AD23" s="1187"/>
    </row>
    <row customHeight="1" ht="36">
      <c r="A24" s="1186"/>
      <c r="B24" s="1240">
        <v>7</v>
      </c>
      <c r="C24" s="1184">
        <v>5</v>
      </c>
      <c r="D24" s="1308"/>
      <c r="E24" s="1184"/>
      <c r="F24" s="1184"/>
      <c r="G24" s="1232"/>
      <c r="H24" s="1299"/>
      <c r="I24" s="1346">
        <f>INDEX(TEMPLATE_NUMBER_POINT_FHD,B24,MATCH(TEMPLATE_SPHERE,TEMPLATE_SPHERE_LIST_FOR_NOTE,0))</f>
        <v>0</v>
      </c>
      <c r="J24" s="1346">
        <f>INDEX(TEMPLATE_DATA_POINT_FHD,B24,MATCH(TEMPLATE_SPHERE,TEMPLATE_SPHERE_LIST_FOR_NOTE,0))</f>
        <v>0</v>
      </c>
      <c r="K24" s="1346">
        <f>INDEX(TEMPLATE_NOTE_POINT_FHD,B24,MATCH(TEMPLATE_SPHERE,TEMPLATE_SPHERE_LIST_FOR_NOTE,0))</f>
        <v>0</v>
      </c>
      <c r="L24" s="1185" t="str">
        <f>IF(I24=0,"",I24)</f>
        <v/>
      </c>
      <c r="M24" s="1185" t="str">
        <f>IF(J24=0,"",J24)</f>
        <v/>
      </c>
      <c r="N24" s="1185" t="str">
        <f>IF(K24=0,"",K24)</f>
        <v/>
      </c>
      <c r="O24" s="1298"/>
      <c r="P24" s="1298"/>
      <c r="Q24" s="1298" t="s">
        <v>724</v>
      </c>
      <c r="R24" s="1298"/>
      <c r="S24" s="1298"/>
      <c r="T24" s="1305"/>
      <c r="U24" s="1187"/>
      <c r="V24" s="1187" t="s">
        <v>2186</v>
      </c>
      <c r="W24" s="1187"/>
      <c r="X24" s="1184"/>
      <c r="Y24" s="1341"/>
      <c r="Z24" s="1187"/>
      <c r="AA24" s="1190"/>
      <c r="AB24" s="1187"/>
      <c r="AC24" s="1187"/>
      <c r="AD24" s="1187"/>
    </row>
    <row customHeight="1" ht="36">
      <c r="A25" s="1186"/>
      <c r="B25" s="1240">
        <v>8</v>
      </c>
      <c r="C25" s="1184">
        <v>6</v>
      </c>
      <c r="D25" s="1308"/>
      <c r="E25" s="1184"/>
      <c r="F25" s="1184"/>
      <c r="G25" s="1232"/>
      <c r="H25" s="1299"/>
      <c r="I25" s="1346" t="str">
        <f>INDEX(TEMPLATE_NUMBER_POINT_FHD,B25,MATCH(TEMPLATE_SPHERE,TEMPLATE_SPHERE_LIST_FOR_NOTE,0))</f>
        <v>2.3</v>
      </c>
      <c r="J25" s="1346"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346">
        <f>INDEX(TEMPLATE_NOTE_POINT_FHD,B25,MATCH(TEMPLATE_SPHERE,TEMPLATE_SPHERE_LIST_FOR_NOTE,0))</f>
        <v>0</v>
      </c>
      <c r="L25" s="1185" t="str">
        <f>IF(I25=0,"",I25)</f>
        <v>2.3</v>
      </c>
      <c r="M25" s="1185" t="str">
        <f>IF(J25=0,"",J25)</f>
        <v>Расходы на приобретаемую электрическую энергию (мощность), используемую в технологическом процессе</v>
      </c>
      <c r="N25" s="1185" t="str">
        <f>IF(K25=0,"",K25)</f>
        <v/>
      </c>
      <c r="O25" s="1298" t="s">
        <v>305</v>
      </c>
      <c r="P25" s="1298" t="s">
        <v>302</v>
      </c>
      <c r="Q25" s="1298" t="s">
        <v>731</v>
      </c>
      <c r="R25" s="1298" t="s">
        <v>302</v>
      </c>
      <c r="S25" s="1298"/>
      <c r="T25" s="1305" t="s">
        <v>2187</v>
      </c>
      <c r="U25" s="1187" t="s">
        <v>2187</v>
      </c>
      <c r="V25" s="1187" t="s">
        <v>2187</v>
      </c>
      <c r="W25" s="1187" t="s">
        <v>2187</v>
      </c>
      <c r="X25" s="1184"/>
      <c r="Y25" s="1341"/>
      <c r="Z25" s="1187"/>
      <c r="AA25" s="1190"/>
      <c r="AB25" s="1187"/>
      <c r="AC25" s="1187"/>
      <c r="AD25" s="1187"/>
    </row>
    <row customHeight="1" ht="18">
      <c r="A26" s="1186"/>
      <c r="B26" s="1240">
        <v>9</v>
      </c>
      <c r="C26" s="1184" t="s">
        <v>647</v>
      </c>
      <c r="D26" s="1308"/>
      <c r="E26" s="1184"/>
      <c r="F26" s="1184"/>
      <c r="G26" s="1232"/>
      <c r="H26" s="1299"/>
      <c r="I26" s="1346" t="str">
        <f>INDEX(TEMPLATE_NUMBER_POINT_FHD,B26,MATCH(TEMPLATE_SPHERE,TEMPLATE_SPHERE_LIST_FOR_NOTE,0))</f>
        <v>2.3.1</v>
      </c>
      <c r="J26" s="1346" t="str">
        <f>INDEX(TEMPLATE_DATA_POINT_FHD,B26,MATCH(TEMPLATE_SPHERE,TEMPLATE_SPHERE_LIST_FOR_NOTE,0))</f>
        <v>Средневзвешенная стоимость 1 кВт.ч (с учетом мощности)</v>
      </c>
      <c r="K26" s="1346">
        <f>INDEX(TEMPLATE_NOTE_POINT_FHD,B26,MATCH(TEMPLATE_SPHERE,TEMPLATE_SPHERE_LIST_FOR_NOTE,0))</f>
        <v>0</v>
      </c>
      <c r="L26" s="1185" t="str">
        <f>IF(I26=0,"",I26)</f>
        <v>2.3.1</v>
      </c>
      <c r="M26" s="1185" t="str">
        <f>IF(J26=0,"",J26)</f>
        <v>Средневзвешенная стоимость 1 кВт.ч (с учетом мощности)</v>
      </c>
      <c r="N26" s="1185" t="str">
        <f>IF(K26=0,"",K26)</f>
        <v/>
      </c>
      <c r="O26" s="1298" t="s">
        <v>720</v>
      </c>
      <c r="P26" s="1298" t="s">
        <v>714</v>
      </c>
      <c r="Q26" s="1298" t="s">
        <v>2188</v>
      </c>
      <c r="R26" s="1298" t="s">
        <v>714</v>
      </c>
      <c r="S26" s="1298"/>
      <c r="T26" s="1305" t="str">
        <f>"Средневзвешенная стоимость 1 кВт.ч"&amp;IF(TITLE_TYPE_ORG="Регулируемая организация"," (с учетом мощности)","")</f>
        <v>Средневзвешенная стоимость 1 кВт.ч (с учетом мощности)</v>
      </c>
      <c r="U26" s="1305" t="s">
        <v>2189</v>
      </c>
      <c r="V26" s="1305" t="s">
        <v>2189</v>
      </c>
      <c r="W26" s="1305" t="s">
        <v>2189</v>
      </c>
      <c r="X26" s="1184"/>
      <c r="Y26" s="1341"/>
      <c r="Z26" s="1187"/>
      <c r="AA26" s="1190"/>
      <c r="AB26" s="1187"/>
      <c r="AC26" s="1187"/>
      <c r="AD26" s="1187"/>
    </row>
    <row customHeight="1" ht="18">
      <c r="A27" s="1186"/>
      <c r="B27" s="1240">
        <v>10</v>
      </c>
      <c r="C27" s="1184" t="s">
        <v>651</v>
      </c>
      <c r="D27" s="1308"/>
      <c r="E27" s="1184"/>
      <c r="F27" s="1184"/>
      <c r="G27" s="1232"/>
      <c r="H27" s="1299"/>
      <c r="I27" s="1346" t="str">
        <f>INDEX(TEMPLATE_NUMBER_POINT_FHD,B27,MATCH(TEMPLATE_SPHERE,TEMPLATE_SPHERE_LIST_FOR_NOTE,0))</f>
        <v>2.3.2</v>
      </c>
      <c r="J27" s="1346" t="str">
        <f>INDEX(TEMPLATE_DATA_POINT_FHD,B27,MATCH(TEMPLATE_SPHERE,TEMPLATE_SPHERE_LIST_FOR_NOTE,0))</f>
        <v>Объём приобретения электрической энергии</v>
      </c>
      <c r="K27" s="1346">
        <f>INDEX(TEMPLATE_NOTE_POINT_FHD,B27,MATCH(TEMPLATE_SPHERE,TEMPLATE_SPHERE_LIST_FOR_NOTE,0))</f>
        <v>0</v>
      </c>
      <c r="L27" s="1185" t="str">
        <f>IF(I27=0,"",I27)</f>
        <v>2.3.2</v>
      </c>
      <c r="M27" s="1185" t="str">
        <f>IF(J27=0,"",J27)</f>
        <v>Объём приобретения электрической энергии</v>
      </c>
      <c r="N27" s="1185" t="str">
        <f>IF(K27=0,"",K27)</f>
        <v/>
      </c>
      <c r="O27" s="1298" t="s">
        <v>722</v>
      </c>
      <c r="P27" s="1298" t="s">
        <v>716</v>
      </c>
      <c r="Q27" s="1298" t="s">
        <v>2190</v>
      </c>
      <c r="R27" s="1298" t="s">
        <v>716</v>
      </c>
      <c r="S27" s="1298"/>
      <c r="T27" s="1305" t="s">
        <v>2191</v>
      </c>
      <c r="U27" s="1305" t="s">
        <v>2191</v>
      </c>
      <c r="V27" s="1305" t="s">
        <v>2191</v>
      </c>
      <c r="W27" s="1305" t="s">
        <v>2191</v>
      </c>
      <c r="X27" s="1184"/>
      <c r="Y27" s="1341"/>
      <c r="Z27" s="1187"/>
      <c r="AA27" s="1190"/>
      <c r="AB27" s="1187"/>
      <c r="AC27" s="1187"/>
      <c r="AD27" s="1187"/>
    </row>
    <row customHeight="1" ht="27">
      <c r="A28" s="1186"/>
      <c r="B28" s="1240">
        <v>11</v>
      </c>
      <c r="C28" s="1184">
        <v>7</v>
      </c>
      <c r="D28" s="1308"/>
      <c r="E28" s="1184"/>
      <c r="F28" s="1184"/>
      <c r="G28" s="1232"/>
      <c r="H28" s="1299"/>
      <c r="I28" s="1346" t="str">
        <f>INDEX(TEMPLATE_NUMBER_POINT_FHD,B28,MATCH(TEMPLATE_SPHERE,TEMPLATE_SPHERE_LIST_FOR_NOTE,0))</f>
        <v>2.4</v>
      </c>
      <c r="J28" s="1346" t="str">
        <f>INDEX(TEMPLATE_DATA_POINT_FHD,B28,MATCH(TEMPLATE_SPHERE,TEMPLATE_SPHERE_LIST_FOR_NOTE,0))</f>
        <v>Расходы на приобретение холодной воды, используемой в технологическом процессе</v>
      </c>
      <c r="K28" s="1346">
        <f>INDEX(TEMPLATE_NOTE_POINT_FHD,B28,MATCH(TEMPLATE_SPHERE,TEMPLATE_SPHERE_LIST_FOR_NOTE,0))</f>
        <v>0</v>
      </c>
      <c r="L28" s="1185" t="str">
        <f>IF(I28=0,"",I28)</f>
        <v>2.4</v>
      </c>
      <c r="M28" s="1185" t="str">
        <f>IF(J28=0,"",J28)</f>
        <v>Расходы на приобретение холодной воды, используемой в технологическом процессе</v>
      </c>
      <c r="N28" s="1185" t="str">
        <f>IF(K28=0,"",K28)</f>
        <v/>
      </c>
      <c r="O28" s="1298" t="s">
        <v>724</v>
      </c>
      <c r="P28" s="1298"/>
      <c r="Q28" s="1298"/>
      <c r="R28" s="1298"/>
      <c r="S28" s="1298"/>
      <c r="T28" s="1305" t="s">
        <v>2192</v>
      </c>
      <c r="U28" s="1187"/>
      <c r="V28" s="1187"/>
      <c r="W28" s="1187"/>
      <c r="X28" s="1184"/>
      <c r="Y28" s="1341"/>
      <c r="Z28" s="1187"/>
      <c r="AA28" s="1190"/>
      <c r="AB28" s="1187"/>
      <c r="AC28" s="1187"/>
      <c r="AD28" s="1187"/>
    </row>
    <row customHeight="1" ht="27">
      <c r="A29" s="1186"/>
      <c r="B29" s="1240">
        <v>12</v>
      </c>
      <c r="C29" s="1184">
        <v>8</v>
      </c>
      <c r="D29" s="1308"/>
      <c r="E29" s="1184"/>
      <c r="F29" s="1184"/>
      <c r="G29" s="1232"/>
      <c r="H29" s="1299"/>
      <c r="I29" s="1346" t="str">
        <f>INDEX(TEMPLATE_NUMBER_POINT_FHD,B29,MATCH(TEMPLATE_SPHERE,TEMPLATE_SPHERE_LIST_FOR_NOTE,0))</f>
        <v>2.5</v>
      </c>
      <c r="J29" s="1346" t="str">
        <f>INDEX(TEMPLATE_DATA_POINT_FHD,B29,MATCH(TEMPLATE_SPHERE,TEMPLATE_SPHERE_LIST_FOR_NOTE,0))</f>
        <v>Расходы на  химические реагенты, используемые в технологическом процессе</v>
      </c>
      <c r="K29" s="1346">
        <f>INDEX(TEMPLATE_NOTE_POINT_FHD,B29,MATCH(TEMPLATE_SPHERE,TEMPLATE_SPHERE_LIST_FOR_NOTE,0))</f>
        <v>0</v>
      </c>
      <c r="L29" s="1185" t="str">
        <f>IF(I29=0,"",I29)</f>
        <v>2.5</v>
      </c>
      <c r="M29" s="1185" t="str">
        <f>IF(J29=0,"",J29)</f>
        <v>Расходы на  химические реагенты, используемые в технологическом процессе</v>
      </c>
      <c r="N29" s="1185" t="str">
        <f>IF(K29=0,"",K29)</f>
        <v/>
      </c>
      <c r="O29" s="1298" t="s">
        <v>731</v>
      </c>
      <c r="P29" s="1298" t="s">
        <v>305</v>
      </c>
      <c r="Q29" s="1298"/>
      <c r="R29" s="1298" t="s">
        <v>305</v>
      </c>
      <c r="S29" s="1298"/>
      <c r="T29" s="130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187" t="s">
        <v>2193</v>
      </c>
      <c r="V29" s="1187"/>
      <c r="W29" s="1187" t="s">
        <v>2193</v>
      </c>
      <c r="X29" s="1184"/>
      <c r="Y29" s="1341"/>
      <c r="Z29" s="1187"/>
      <c r="AA29" s="1190"/>
      <c r="AB29" s="1187"/>
      <c r="AC29" s="1187"/>
      <c r="AD29" s="1187"/>
    </row>
    <row customHeight="1" ht="54">
      <c r="A30" s="1186"/>
      <c r="B30" s="1240">
        <v>13</v>
      </c>
      <c r="C30" s="1184">
        <v>9</v>
      </c>
      <c r="D30" s="1308"/>
      <c r="E30" s="1184"/>
      <c r="F30" s="1184"/>
      <c r="G30" s="1232"/>
      <c r="H30" s="1299"/>
      <c r="I30" s="1346" t="str">
        <f>INDEX(TEMPLATE_NUMBER_POINT_FHD,B30,MATCH(TEMPLATE_SPHERE,TEMPLATE_SPHERE_LIST_FOR_NOTE,0))</f>
        <v>2.6</v>
      </c>
      <c r="J30" s="1346"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346">
        <f>INDEX(TEMPLATE_NOTE_POINT_FHD,B30,MATCH(TEMPLATE_SPHERE,TEMPLATE_SPHERE_LIST_FOR_NOTE,0))</f>
        <v>0</v>
      </c>
      <c r="L30" s="1185" t="str">
        <f>IF(I30=0,"",I30)</f>
        <v>2.6</v>
      </c>
      <c r="M30" s="1185"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185" t="str">
        <f>IF(K30=0,"",K30)</f>
        <v/>
      </c>
      <c r="O30" s="1298" t="s">
        <v>733</v>
      </c>
      <c r="P30" s="1298" t="s">
        <v>724</v>
      </c>
      <c r="Q30" s="1298" t="s">
        <v>733</v>
      </c>
      <c r="R30" s="1298" t="s">
        <v>724</v>
      </c>
      <c r="S30" s="1298"/>
      <c r="T30" s="1305" t="s">
        <v>2194</v>
      </c>
      <c r="U30" s="1187" t="s">
        <v>2194</v>
      </c>
      <c r="V30" s="1187" t="s">
        <v>2194</v>
      </c>
      <c r="W30" s="1187" t="s">
        <v>2194</v>
      </c>
      <c r="X30" s="1184"/>
      <c r="Y30" s="1341"/>
      <c r="Z30" s="1187"/>
      <c r="AA30" s="1190" t="s">
        <v>2195</v>
      </c>
      <c r="AB30" s="1190" t="s">
        <v>2195</v>
      </c>
      <c r="AC30" s="1190" t="s">
        <v>2195</v>
      </c>
      <c r="AD30" s="1187"/>
    </row>
    <row customHeight="1" ht="18">
      <c r="A31" s="1186"/>
      <c r="B31" s="1240">
        <v>14</v>
      </c>
      <c r="C31" s="1184" t="s">
        <v>2196</v>
      </c>
      <c r="D31" s="1308"/>
      <c r="E31" s="1184"/>
      <c r="F31" s="1184"/>
      <c r="G31" s="1232"/>
      <c r="H31" s="1299"/>
      <c r="I31" s="1346" t="str">
        <f>INDEX(TEMPLATE_NUMBER_POINT_FHD,B31,MATCH(TEMPLATE_SPHERE,TEMPLATE_SPHERE_LIST_FOR_NOTE,0))</f>
        <v>2.6.1</v>
      </c>
      <c r="J31" s="1346" t="str">
        <f>INDEX(TEMPLATE_DATA_POINT_FHD,B31,MATCH(TEMPLATE_SPHERE,TEMPLATE_SPHERE_LIST_FOR_NOTE,0))</f>
        <v>Расходы на оплату труда основного производственного персонала</v>
      </c>
      <c r="K31" s="1346">
        <f>INDEX(TEMPLATE_NOTE_POINT_FHD,B31,MATCH(TEMPLATE_SPHERE,TEMPLATE_SPHERE_LIST_FOR_NOTE,0))</f>
        <v>0</v>
      </c>
      <c r="L31" s="1185" t="str">
        <f>IF(I31=0,"",I31)</f>
        <v>2.6.1</v>
      </c>
      <c r="M31" s="1185" t="str">
        <f>IF(J31=0,"",J31)</f>
        <v>Расходы на оплату труда основного производственного персонала</v>
      </c>
      <c r="N31" s="1185" t="str">
        <f>IF(K31=0,"",K31)</f>
        <v/>
      </c>
      <c r="O31" s="1298" t="s">
        <v>2197</v>
      </c>
      <c r="P31" s="1298" t="s">
        <v>727</v>
      </c>
      <c r="Q31" s="1298" t="s">
        <v>2197</v>
      </c>
      <c r="R31" s="1298" t="s">
        <v>727</v>
      </c>
      <c r="S31" s="1298"/>
      <c r="T31" s="1306" t="s">
        <v>2198</v>
      </c>
      <c r="U31" s="1187" t="s">
        <v>2198</v>
      </c>
      <c r="V31" s="1187" t="s">
        <v>2198</v>
      </c>
      <c r="W31" s="1187" t="s">
        <v>2198</v>
      </c>
      <c r="X31" s="1184"/>
      <c r="Y31" s="1341"/>
      <c r="Z31" s="1187"/>
      <c r="AA31" s="1190"/>
      <c r="AB31" s="1190"/>
      <c r="AC31" s="1190"/>
      <c r="AD31" s="1187"/>
    </row>
    <row customHeight="1" ht="36">
      <c r="A32" s="1186"/>
      <c r="B32" s="1240">
        <v>15</v>
      </c>
      <c r="C32" s="1184" t="s">
        <v>2199</v>
      </c>
      <c r="D32" s="1308"/>
      <c r="E32" s="1184"/>
      <c r="F32" s="1184"/>
      <c r="G32" s="1232"/>
      <c r="H32" s="1299"/>
      <c r="I32" s="1346" t="str">
        <f>INDEX(TEMPLATE_NUMBER_POINT_FHD,B32,MATCH(TEMPLATE_SPHERE,TEMPLATE_SPHERE_LIST_FOR_NOTE,0))</f>
        <v>2.6.2</v>
      </c>
      <c r="J32" s="1346"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346">
        <f>INDEX(TEMPLATE_NOTE_POINT_FHD,B32,MATCH(TEMPLATE_SPHERE,TEMPLATE_SPHERE_LIST_FOR_NOTE,0))</f>
        <v>0</v>
      </c>
      <c r="L32" s="1185" t="str">
        <f>IF(I32=0,"",I32)</f>
        <v>2.6.2</v>
      </c>
      <c r="M32" s="1185" t="str">
        <f>IF(J32=0,"",J32)</f>
        <v>Страховые взносы на обязательное социальное страхование, выплачиваемые из фонда оплаты труда основного производственного персонала</v>
      </c>
      <c r="N32" s="1185" t="str">
        <f>IF(K32=0,"",K32)</f>
        <v/>
      </c>
      <c r="O32" s="1298" t="s">
        <v>2200</v>
      </c>
      <c r="P32" s="1298" t="s">
        <v>729</v>
      </c>
      <c r="Q32" s="1298" t="s">
        <v>2200</v>
      </c>
      <c r="R32" s="1298" t="s">
        <v>729</v>
      </c>
      <c r="S32" s="1298"/>
      <c r="T32" s="130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187" t="s">
        <v>2201</v>
      </c>
      <c r="V32" s="1187" t="s">
        <v>2201</v>
      </c>
      <c r="W32" s="1187" t="s">
        <v>2201</v>
      </c>
      <c r="X32" s="1184"/>
      <c r="Y32" s="1341"/>
      <c r="Z32" s="1187"/>
      <c r="AA32" s="1190"/>
      <c r="AB32" s="1190"/>
      <c r="AC32" s="1190"/>
      <c r="AD32" s="1187"/>
    </row>
    <row customHeight="1" ht="45">
      <c r="A33" s="1186"/>
      <c r="B33" s="1240">
        <v>16</v>
      </c>
      <c r="C33" s="1184">
        <v>10</v>
      </c>
      <c r="D33" s="1308"/>
      <c r="E33" s="1184"/>
      <c r="F33" s="1184"/>
      <c r="G33" s="1232"/>
      <c r="H33" s="1299"/>
      <c r="I33" s="1346" t="str">
        <f>INDEX(TEMPLATE_NUMBER_POINT_FHD,B33,MATCH(TEMPLATE_SPHERE,TEMPLATE_SPHERE_LIST_FOR_NOTE,0))</f>
        <v>2.7</v>
      </c>
      <c r="J33" s="1346"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346">
        <f>INDEX(TEMPLATE_NOTE_POINT_FHD,B33,MATCH(TEMPLATE_SPHERE,TEMPLATE_SPHERE_LIST_FOR_NOTE,0))</f>
        <v>0</v>
      </c>
      <c r="L33" s="1185" t="str">
        <f>IF(I33=0,"",I33)</f>
        <v>2.7</v>
      </c>
      <c r="M33" s="1185"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185" t="str">
        <f>IF(K33=0,"",K33)</f>
        <v/>
      </c>
      <c r="O33" s="1298" t="s">
        <v>735</v>
      </c>
      <c r="P33" s="1298" t="s">
        <v>731</v>
      </c>
      <c r="Q33" s="1298" t="s">
        <v>735</v>
      </c>
      <c r="R33" s="1298" t="s">
        <v>731</v>
      </c>
      <c r="S33" s="1298"/>
      <c r="T33" s="130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187" t="s">
        <v>2202</v>
      </c>
      <c r="V33" s="1187" t="s">
        <v>2202</v>
      </c>
      <c r="W33" s="1187" t="s">
        <v>2203</v>
      </c>
      <c r="X33" s="1184"/>
      <c r="Y33" s="1341"/>
      <c r="Z33" s="1187"/>
      <c r="AA33" s="1190" t="s">
        <v>2204</v>
      </c>
      <c r="AB33" s="1190" t="s">
        <v>2204</v>
      </c>
      <c r="AC33" s="1190" t="s">
        <v>2204</v>
      </c>
      <c r="AD33" s="1187"/>
    </row>
    <row customHeight="1" ht="27">
      <c r="A34" s="1186"/>
      <c r="B34" s="1240">
        <v>17</v>
      </c>
      <c r="C34" s="1184" t="s">
        <v>2205</v>
      </c>
      <c r="D34" s="1308"/>
      <c r="E34" s="1184"/>
      <c r="F34" s="1184"/>
      <c r="G34" s="1232"/>
      <c r="H34" s="1299"/>
      <c r="I34" s="1346" t="str">
        <f>INDEX(TEMPLATE_NUMBER_POINT_FHD,B34,MATCH(TEMPLATE_SPHERE,TEMPLATE_SPHERE_LIST_FOR_NOTE,0))</f>
        <v>2.7.1</v>
      </c>
      <c r="J34" s="1346" t="str">
        <f>INDEX(TEMPLATE_DATA_POINT_FHD,B34,MATCH(TEMPLATE_SPHERE,TEMPLATE_SPHERE_LIST_FOR_NOTE,0))</f>
        <v>Расходы на оплату труда административно-управленческого персонала</v>
      </c>
      <c r="K34" s="1346">
        <f>INDEX(TEMPLATE_NOTE_POINT_FHD,B34,MATCH(TEMPLATE_SPHERE,TEMPLATE_SPHERE_LIST_FOR_NOTE,0))</f>
        <v>0</v>
      </c>
      <c r="L34" s="1185" t="str">
        <f>IF(I34=0,"",I34)</f>
        <v>2.7.1</v>
      </c>
      <c r="M34" s="1185" t="str">
        <f>IF(J34=0,"",J34)</f>
        <v>Расходы на оплату труда административно-управленческого персонала</v>
      </c>
      <c r="N34" s="1185" t="str">
        <f>IF(K34=0,"",K34)</f>
        <v/>
      </c>
      <c r="O34" s="1298" t="s">
        <v>2206</v>
      </c>
      <c r="P34" s="1298" t="s">
        <v>2188</v>
      </c>
      <c r="Q34" s="1298" t="s">
        <v>2206</v>
      </c>
      <c r="R34" s="1298" t="s">
        <v>2188</v>
      </c>
      <c r="S34" s="1298"/>
      <c r="T34" s="1307" t="s">
        <v>2207</v>
      </c>
      <c r="U34" s="1187" t="s">
        <v>2207</v>
      </c>
      <c r="V34" s="1187" t="s">
        <v>2207</v>
      </c>
      <c r="W34" s="1187" t="s">
        <v>2208</v>
      </c>
      <c r="X34" s="1184"/>
      <c r="Y34" s="1341"/>
      <c r="Z34" s="1187"/>
      <c r="AA34" s="1190"/>
      <c r="AB34" s="1187"/>
      <c r="AC34" s="1187"/>
      <c r="AD34" s="1187"/>
    </row>
    <row customHeight="1" ht="45">
      <c r="A35" s="1186"/>
      <c r="B35" s="1240">
        <v>18</v>
      </c>
      <c r="C35" s="1184" t="s">
        <v>2209</v>
      </c>
      <c r="D35" s="1308"/>
      <c r="E35" s="1184"/>
      <c r="F35" s="1184"/>
      <c r="G35" s="1232"/>
      <c r="H35" s="1299"/>
      <c r="I35" s="1346" t="str">
        <f>INDEX(TEMPLATE_NUMBER_POINT_FHD,B35,MATCH(TEMPLATE_SPHERE,TEMPLATE_SPHERE_LIST_FOR_NOTE,0))</f>
        <v>2.7.2</v>
      </c>
      <c r="J35" s="1346"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346">
        <f>INDEX(TEMPLATE_NOTE_POINT_FHD,B35,MATCH(TEMPLATE_SPHERE,TEMPLATE_SPHERE_LIST_FOR_NOTE,0))</f>
        <v>0</v>
      </c>
      <c r="L35" s="1185" t="str">
        <f>IF(I35=0,"",I35)</f>
        <v>2.7.2</v>
      </c>
      <c r="M35" s="1185"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185" t="str">
        <f>IF(K35=0,"",K35)</f>
        <v/>
      </c>
      <c r="O35" s="1298" t="s">
        <v>2210</v>
      </c>
      <c r="P35" s="1298" t="s">
        <v>2190</v>
      </c>
      <c r="Q35" s="1298" t="s">
        <v>2210</v>
      </c>
      <c r="R35" s="1298" t="s">
        <v>2190</v>
      </c>
      <c r="S35" s="1298"/>
      <c r="T35" s="130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187" t="s">
        <v>2211</v>
      </c>
      <c r="V35" s="1187" t="s">
        <v>2211</v>
      </c>
      <c r="W35" s="1187" t="s">
        <v>2211</v>
      </c>
      <c r="X35" s="1184"/>
      <c r="Y35" s="1341"/>
      <c r="Z35" s="1187"/>
      <c r="AA35" s="1190"/>
      <c r="AB35" s="1187"/>
      <c r="AC35" s="1187"/>
      <c r="AD35" s="1187"/>
    </row>
    <row customHeight="1" ht="18">
      <c r="A36" s="1186"/>
      <c r="B36" s="1240">
        <v>19</v>
      </c>
      <c r="C36" s="1184">
        <v>11</v>
      </c>
      <c r="D36" s="1308"/>
      <c r="E36" s="1184"/>
      <c r="F36" s="1184"/>
      <c r="G36" s="1232"/>
      <c r="H36" s="1299"/>
      <c r="I36" s="1346" t="str">
        <f>INDEX(TEMPLATE_NUMBER_POINT_FHD,B36,MATCH(TEMPLATE_SPHERE,TEMPLATE_SPHERE_LIST_FOR_NOTE,0))</f>
        <v>2.8</v>
      </c>
      <c r="J36" s="1346" t="str">
        <f>INDEX(TEMPLATE_DATA_POINT_FHD,B36,MATCH(TEMPLATE_SPHERE,TEMPLATE_SPHERE_LIST_FOR_NOTE,0))</f>
        <v>Расходы на амортизацию основных средств и нематериальных активов</v>
      </c>
      <c r="K36" s="1346">
        <f>INDEX(TEMPLATE_NOTE_POINT_FHD,B36,MATCH(TEMPLATE_SPHERE,TEMPLATE_SPHERE_LIST_FOR_NOTE,0))</f>
        <v>0</v>
      </c>
      <c r="L36" s="1185" t="str">
        <f>IF(I36=0,"",I36)</f>
        <v>2.8</v>
      </c>
      <c r="M36" s="1185" t="str">
        <f>IF(J36=0,"",J36)</f>
        <v>Расходы на амортизацию основных средств и нематериальных активов</v>
      </c>
      <c r="N36" s="1185" t="str">
        <f>IF(K36=0,"",K36)</f>
        <v/>
      </c>
      <c r="O36" s="1298" t="s">
        <v>737</v>
      </c>
      <c r="P36" s="1298" t="s">
        <v>733</v>
      </c>
      <c r="Q36" s="1298" t="s">
        <v>737</v>
      </c>
      <c r="R36" s="1298" t="s">
        <v>733</v>
      </c>
      <c r="S36" s="1298"/>
      <c r="T36" s="1305" t="s">
        <v>2212</v>
      </c>
      <c r="U36" s="1187" t="s">
        <v>2212</v>
      </c>
      <c r="V36" s="1187" t="s">
        <v>2212</v>
      </c>
      <c r="W36" s="1187" t="s">
        <v>2212</v>
      </c>
      <c r="X36" s="1184"/>
      <c r="Y36" s="1341"/>
      <c r="Z36" s="1187"/>
      <c r="AA36" s="1190"/>
      <c r="AB36" s="1187"/>
      <c r="AC36" s="1187"/>
      <c r="AD36" s="1187"/>
    </row>
    <row customHeight="1" ht="18">
      <c r="A37" s="1186"/>
      <c r="B37" s="1240">
        <v>20</v>
      </c>
      <c r="C37" s="1184" t="s">
        <v>2213</v>
      </c>
      <c r="D37" s="1308"/>
      <c r="E37" s="1184"/>
      <c r="F37" s="1184"/>
      <c r="G37" s="1232"/>
      <c r="H37" s="1299"/>
      <c r="I37" s="1346" t="str">
        <f>INDEX(TEMPLATE_NUMBER_POINT_FHD,B37,MATCH(TEMPLATE_SPHERE,TEMPLATE_SPHERE_LIST_FOR_NOTE,0))</f>
        <v>2.8.1</v>
      </c>
      <c r="J37" s="1346" t="str">
        <f>INDEX(TEMPLATE_DATA_POINT_FHD,B37,MATCH(TEMPLATE_SPHERE,TEMPLATE_SPHERE_LIST_FOR_NOTE,0))</f>
        <v>Расходы на амортизацию основных средств</v>
      </c>
      <c r="K37" s="1346">
        <f>INDEX(TEMPLATE_NOTE_POINT_FHD,B37,MATCH(TEMPLATE_SPHERE,TEMPLATE_SPHERE_LIST_FOR_NOTE,0))</f>
        <v>0</v>
      </c>
      <c r="L37" s="1185" t="str">
        <f>IF(I37=0,"",I37)</f>
        <v>2.8.1</v>
      </c>
      <c r="M37" s="1185" t="str">
        <f>IF(J37=0,"",J37)</f>
        <v>Расходы на амортизацию основных средств</v>
      </c>
      <c r="N37" s="1185" t="str">
        <f>IF(K37=0,"",K37)</f>
        <v/>
      </c>
      <c r="O37" s="1298" t="s">
        <v>2214</v>
      </c>
      <c r="P37" s="1298" t="s">
        <v>2197</v>
      </c>
      <c r="Q37" s="1298" t="s">
        <v>2214</v>
      </c>
      <c r="R37" s="1298" t="s">
        <v>2197</v>
      </c>
      <c r="S37" s="1298"/>
      <c r="T37" s="1305" t="s">
        <v>2215</v>
      </c>
      <c r="U37" s="1187" t="s">
        <v>2215</v>
      </c>
      <c r="V37" s="1187" t="s">
        <v>2215</v>
      </c>
      <c r="W37" s="1187" t="s">
        <v>2215</v>
      </c>
      <c r="X37" s="1184"/>
      <c r="Y37" s="1341"/>
      <c r="Z37" s="1187"/>
      <c r="AA37" s="1190"/>
      <c r="AB37" s="1187"/>
      <c r="AC37" s="1187"/>
      <c r="AD37" s="1187"/>
    </row>
    <row customHeight="1" ht="18">
      <c r="A38" s="1186"/>
      <c r="B38" s="1240">
        <v>21</v>
      </c>
      <c r="C38" s="1184" t="s">
        <v>2216</v>
      </c>
      <c r="D38" s="1308"/>
      <c r="E38" s="1184"/>
      <c r="F38" s="1184"/>
      <c r="G38" s="1232"/>
      <c r="H38" s="1299"/>
      <c r="I38" s="1346" t="str">
        <f>INDEX(TEMPLATE_NUMBER_POINT_FHD,B38,MATCH(TEMPLATE_SPHERE,TEMPLATE_SPHERE_LIST_FOR_NOTE,0))</f>
        <v>2.8.2</v>
      </c>
      <c r="J38" s="1346" t="str">
        <f>INDEX(TEMPLATE_DATA_POINT_FHD,B38,MATCH(TEMPLATE_SPHERE,TEMPLATE_SPHERE_LIST_FOR_NOTE,0))</f>
        <v>Расходы на амортизацию нематериальных активов</v>
      </c>
      <c r="K38" s="1346">
        <f>INDEX(TEMPLATE_NOTE_POINT_FHD,B38,MATCH(TEMPLATE_SPHERE,TEMPLATE_SPHERE_LIST_FOR_NOTE,0))</f>
        <v>0</v>
      </c>
      <c r="L38" s="1185" t="str">
        <f>IF(I38=0,"",I38)</f>
        <v>2.8.2</v>
      </c>
      <c r="M38" s="1185" t="str">
        <f>IF(J38=0,"",J38)</f>
        <v>Расходы на амортизацию нематериальных активов</v>
      </c>
      <c r="N38" s="1185" t="str">
        <f>IF(K38=0,"",K38)</f>
        <v/>
      </c>
      <c r="O38" s="1298" t="s">
        <v>2217</v>
      </c>
      <c r="P38" s="1298" t="s">
        <v>2200</v>
      </c>
      <c r="Q38" s="1298" t="s">
        <v>2217</v>
      </c>
      <c r="R38" s="1298" t="s">
        <v>2200</v>
      </c>
      <c r="S38" s="1298"/>
      <c r="T38" s="1305" t="s">
        <v>2218</v>
      </c>
      <c r="U38" s="1187" t="s">
        <v>2218</v>
      </c>
      <c r="V38" s="1187" t="s">
        <v>2218</v>
      </c>
      <c r="W38" s="1187" t="s">
        <v>2218</v>
      </c>
      <c r="X38" s="1184"/>
      <c r="Y38" s="1341"/>
      <c r="Z38" s="1187"/>
      <c r="AA38" s="1190"/>
      <c r="AB38" s="1187"/>
      <c r="AC38" s="1187"/>
      <c r="AD38" s="1187"/>
    </row>
    <row customHeight="1" ht="36">
      <c r="A39" s="1186"/>
      <c r="B39" s="1240">
        <v>22</v>
      </c>
      <c r="C39" s="1184">
        <v>12</v>
      </c>
      <c r="D39" s="1308"/>
      <c r="E39" s="1184"/>
      <c r="F39" s="1184"/>
      <c r="G39" s="1232"/>
      <c r="H39" s="1299"/>
      <c r="I39" s="1346" t="str">
        <f>INDEX(TEMPLATE_NUMBER_POINT_FHD,B39,MATCH(TEMPLATE_SPHERE,TEMPLATE_SPHERE_LIST_FOR_NOTE,0))</f>
        <v>2.9</v>
      </c>
      <c r="J39" s="1346" t="str">
        <f>INDEX(TEMPLATE_DATA_POINT_FHD,B39,MATCH(TEMPLATE_SPHERE,TEMPLATE_SPHERE_LIST_FOR_NOTE,0))</f>
        <v>Расходы на аренду имущества, используемого для осуществления регулируемого вида деятельности</v>
      </c>
      <c r="K39" s="1346">
        <f>INDEX(TEMPLATE_NOTE_POINT_FHD,B39,MATCH(TEMPLATE_SPHERE,TEMPLATE_SPHERE_LIST_FOR_NOTE,0))</f>
        <v>0</v>
      </c>
      <c r="L39" s="1185" t="str">
        <f>IF(I39=0,"",I39)</f>
        <v>2.9</v>
      </c>
      <c r="M39" s="1185" t="str">
        <f>IF(J39=0,"",J39)</f>
        <v>Расходы на аренду имущества, используемого для осуществления регулируемого вида деятельности</v>
      </c>
      <c r="N39" s="1185" t="str">
        <f>IF(K39=0,"",K39)</f>
        <v/>
      </c>
      <c r="O39" s="1298" t="s">
        <v>741</v>
      </c>
      <c r="P39" s="1298" t="s">
        <v>735</v>
      </c>
      <c r="Q39" s="1298" t="s">
        <v>741</v>
      </c>
      <c r="R39" s="1298" t="s">
        <v>735</v>
      </c>
      <c r="S39" s="1298"/>
      <c r="T39" s="1305" t="s">
        <v>2219</v>
      </c>
      <c r="U39" s="1187" t="s">
        <v>2220</v>
      </c>
      <c r="V39" s="1187" t="s">
        <v>2221</v>
      </c>
      <c r="W39" s="1187" t="s">
        <v>2222</v>
      </c>
      <c r="X39" s="1184"/>
      <c r="Y39" s="1341"/>
      <c r="Z39" s="1187"/>
      <c r="AA39" s="1190"/>
      <c r="AB39" s="1187"/>
      <c r="AC39" s="1187"/>
      <c r="AD39" s="1187"/>
    </row>
    <row customHeight="1" ht="18">
      <c r="A40" s="1186"/>
      <c r="B40" s="1240">
        <v>23</v>
      </c>
      <c r="C40" s="1184">
        <v>13</v>
      </c>
      <c r="D40" s="1308"/>
      <c r="E40" s="1184"/>
      <c r="F40" s="1184"/>
      <c r="G40" s="1184"/>
      <c r="H40" s="1235"/>
      <c r="I40" s="1346" t="str">
        <f>INDEX(TEMPLATE_NUMBER_POINT_FHD,B40,MATCH(TEMPLATE_SPHERE,TEMPLATE_SPHERE_LIST_FOR_NOTE,0))</f>
        <v>2.10</v>
      </c>
      <c r="J40" s="1346" t="str">
        <f>INDEX(TEMPLATE_DATA_POINT_FHD,B40,MATCH(TEMPLATE_SPHERE,TEMPLATE_SPHERE_LIST_FOR_NOTE,0))</f>
        <v>Общепроизводственные расходы, в том числе:</v>
      </c>
      <c r="K40" s="1346" t="str">
        <f>INDEX(TEMPLATE_NOTE_POINT_FHD,B40,MATCH(TEMPLATE_SPHERE,TEMPLATE_SPHERE_LIST_FOR_NOTE,0))</f>
        <v>Указывается общая сумма общепроизводственных расходов.</v>
      </c>
      <c r="L40" s="1185" t="str">
        <f>IF(I40=0,"",I40)</f>
        <v>2.10</v>
      </c>
      <c r="M40" s="1185" t="str">
        <f>IF(J40=0,"",J40)</f>
        <v>Общепроизводственные расходы, в том числе:</v>
      </c>
      <c r="N40" s="1185" t="str">
        <f>IF(K40=0,"",K40)</f>
        <v>Указывается общая сумма общепроизводственных расходов.</v>
      </c>
      <c r="O40" s="1298" t="s">
        <v>2223</v>
      </c>
      <c r="P40" s="1298" t="s">
        <v>737</v>
      </c>
      <c r="Q40" s="1298" t="s">
        <v>2223</v>
      </c>
      <c r="R40" s="1298" t="s">
        <v>737</v>
      </c>
      <c r="S40" s="1298"/>
      <c r="T40" s="1184" t="s">
        <v>2224</v>
      </c>
      <c r="U40" s="1184" t="s">
        <v>2224</v>
      </c>
      <c r="V40" s="1184" t="s">
        <v>2224</v>
      </c>
      <c r="W40" s="1184" t="s">
        <v>2224</v>
      </c>
      <c r="X40" s="1184"/>
      <c r="Y40" s="1341"/>
      <c r="Z40" s="1187" t="s">
        <v>2225</v>
      </c>
      <c r="AA40" s="1190" t="s">
        <v>2225</v>
      </c>
      <c r="AB40" s="1190" t="s">
        <v>2225</v>
      </c>
      <c r="AC40" s="1190" t="s">
        <v>2225</v>
      </c>
      <c r="AD40" s="1187"/>
    </row>
    <row customHeight="1" ht="27">
      <c r="A41" s="1186"/>
      <c r="B41" s="1240">
        <v>24</v>
      </c>
      <c r="C41" s="1184" t="s">
        <v>2226</v>
      </c>
      <c r="D41" s="1308"/>
      <c r="E41" s="1184"/>
      <c r="F41" s="1184"/>
      <c r="G41" s="1184"/>
      <c r="H41" s="1232"/>
      <c r="I41" s="1346" t="str">
        <f>INDEX(TEMPLATE_NUMBER_POINT_FHD,B41,MATCH(TEMPLATE_SPHERE,TEMPLATE_SPHERE_LIST_FOR_NOTE,0))</f>
        <v>2.10.1</v>
      </c>
      <c r="J41" s="1346" t="str">
        <f>INDEX(TEMPLATE_DATA_POINT_FHD,B41,MATCH(TEMPLATE_SPHERE,TEMPLATE_SPHERE_LIST_FOR_NOTE,0))</f>
        <v>Расходы на текущий ремонт</v>
      </c>
      <c r="K41" s="1346" t="str">
        <f>INDEX(TEMPLATE_NOTE_POINT_FHD,B41,MATCH(TEMPLATE_SPHERE,TEMPLATE_SPHERE_LIST_FOR_NOTE,0))</f>
        <v>Указываются расходы на текущий ремонт, отнесенные к общепроизводственным расходам.</v>
      </c>
      <c r="L41" s="1185" t="str">
        <f>IF(I41=0,"",I41)</f>
        <v>2.10.1</v>
      </c>
      <c r="M41" s="1185" t="str">
        <f>IF(J41=0,"",J41)</f>
        <v>Расходы на текущий ремонт</v>
      </c>
      <c r="N41" s="1185" t="str">
        <f>IF(K41=0,"",K41)</f>
        <v>Указываются расходы на текущий ремонт, отнесенные к общепроизводственным расходам.</v>
      </c>
      <c r="O41" s="1298" t="s">
        <v>2227</v>
      </c>
      <c r="P41" s="1298" t="s">
        <v>2214</v>
      </c>
      <c r="Q41" s="1298" t="s">
        <v>2227</v>
      </c>
      <c r="R41" s="1298" t="s">
        <v>2214</v>
      </c>
      <c r="S41" s="1298"/>
      <c r="T41" s="1184" t="s">
        <v>2228</v>
      </c>
      <c r="U41" s="1184" t="s">
        <v>2228</v>
      </c>
      <c r="V41" s="1184" t="s">
        <v>2228</v>
      </c>
      <c r="W41" s="1184" t="s">
        <v>2228</v>
      </c>
      <c r="X41" s="1184"/>
      <c r="Y41" s="1341"/>
      <c r="Z41" s="1187" t="s">
        <v>2229</v>
      </c>
      <c r="AA41" s="1187" t="s">
        <v>2229</v>
      </c>
      <c r="AB41" s="1187" t="s">
        <v>2229</v>
      </c>
      <c r="AC41" s="1187" t="s">
        <v>2229</v>
      </c>
      <c r="AD41" s="1187"/>
    </row>
    <row customHeight="1" ht="27">
      <c r="A42" s="1186"/>
      <c r="B42" s="1240">
        <v>25</v>
      </c>
      <c r="C42" s="1184" t="s">
        <v>2230</v>
      </c>
      <c r="D42" s="1308"/>
      <c r="E42" s="1184"/>
      <c r="F42" s="1184"/>
      <c r="G42" s="1184"/>
      <c r="H42" s="1232"/>
      <c r="I42" s="1346" t="str">
        <f>INDEX(TEMPLATE_NUMBER_POINT_FHD,B42,MATCH(TEMPLATE_SPHERE,TEMPLATE_SPHERE_LIST_FOR_NOTE,0))</f>
        <v>2.10.2</v>
      </c>
      <c r="J42" s="1346" t="str">
        <f>INDEX(TEMPLATE_DATA_POINT_FHD,B42,MATCH(TEMPLATE_SPHERE,TEMPLATE_SPHERE_LIST_FOR_NOTE,0))</f>
        <v>Расходы на капитальный ремонт</v>
      </c>
      <c r="K42" s="1346" t="str">
        <f>INDEX(TEMPLATE_NOTE_POINT_FHD,B42,MATCH(TEMPLATE_SPHERE,TEMPLATE_SPHERE_LIST_FOR_NOTE,0))</f>
        <v>Указываются расходы на капитальный ремонт, отнесенные к общепроизводственным расходам.</v>
      </c>
      <c r="L42" s="1185" t="str">
        <f>IF(I42=0,"",I42)</f>
        <v>2.10.2</v>
      </c>
      <c r="M42" s="1185" t="str">
        <f>IF(J42=0,"",J42)</f>
        <v>Расходы на капитальный ремонт</v>
      </c>
      <c r="N42" s="1185" t="str">
        <f>IF(K42=0,"",K42)</f>
        <v>Указываются расходы на капитальный ремонт, отнесенные к общепроизводственным расходам.</v>
      </c>
      <c r="O42" s="1298" t="s">
        <v>2231</v>
      </c>
      <c r="P42" s="1298" t="s">
        <v>2217</v>
      </c>
      <c r="Q42" s="1298" t="s">
        <v>2231</v>
      </c>
      <c r="R42" s="1298" t="s">
        <v>2217</v>
      </c>
      <c r="S42" s="1298"/>
      <c r="T42" s="1184" t="s">
        <v>2232</v>
      </c>
      <c r="U42" s="1184" t="s">
        <v>2232</v>
      </c>
      <c r="V42" s="1184" t="s">
        <v>2232</v>
      </c>
      <c r="W42" s="1184" t="s">
        <v>2232</v>
      </c>
      <c r="X42" s="1184"/>
      <c r="Y42" s="1341"/>
      <c r="Z42" s="1187" t="s">
        <v>2233</v>
      </c>
      <c r="AA42" s="1187" t="s">
        <v>2233</v>
      </c>
      <c r="AB42" s="1187" t="s">
        <v>2233</v>
      </c>
      <c r="AC42" s="1187" t="s">
        <v>2233</v>
      </c>
      <c r="AD42" s="1187"/>
    </row>
    <row customHeight="1" ht="18">
      <c r="A43" s="1186"/>
      <c r="B43" s="1240">
        <v>26</v>
      </c>
      <c r="C43" s="1184">
        <v>14</v>
      </c>
      <c r="D43" s="1308"/>
      <c r="E43" s="1184"/>
      <c r="F43" s="1184"/>
      <c r="G43" s="1184"/>
      <c r="H43" s="1232"/>
      <c r="I43" s="1346" t="str">
        <f>INDEX(TEMPLATE_NUMBER_POINT_FHD,B43,MATCH(TEMPLATE_SPHERE,TEMPLATE_SPHERE_LIST_FOR_NOTE,0))</f>
        <v>2.11</v>
      </c>
      <c r="J43" s="1346" t="str">
        <f>INDEX(TEMPLATE_DATA_POINT_FHD,B43,MATCH(TEMPLATE_SPHERE,TEMPLATE_SPHERE_LIST_FOR_NOTE,0))</f>
        <v>Общехозяйственные расходы, в том числе:</v>
      </c>
      <c r="K43" s="1346" t="str">
        <f>INDEX(TEMPLATE_NOTE_POINT_FHD,B43,MATCH(TEMPLATE_SPHERE,TEMPLATE_SPHERE_LIST_FOR_NOTE,0))</f>
        <v>Указывается общая сумма общехозяйственных расходов.</v>
      </c>
      <c r="L43" s="1185" t="str">
        <f>IF(I43=0,"",I43)</f>
        <v>2.11</v>
      </c>
      <c r="M43" s="1185" t="str">
        <f>IF(J43=0,"",J43)</f>
        <v>Общехозяйственные расходы, в том числе:</v>
      </c>
      <c r="N43" s="1185" t="str">
        <f>IF(K43=0,"",K43)</f>
        <v>Указывается общая сумма общехозяйственных расходов.</v>
      </c>
      <c r="O43" s="1298" t="s">
        <v>2234</v>
      </c>
      <c r="P43" s="1298" t="s">
        <v>741</v>
      </c>
      <c r="Q43" s="1298" t="s">
        <v>2234</v>
      </c>
      <c r="R43" s="1298" t="s">
        <v>741</v>
      </c>
      <c r="S43" s="1298"/>
      <c r="T43" s="1184" t="s">
        <v>2235</v>
      </c>
      <c r="U43" s="1184" t="s">
        <v>2235</v>
      </c>
      <c r="V43" s="1184" t="s">
        <v>2235</v>
      </c>
      <c r="W43" s="1184" t="s">
        <v>2235</v>
      </c>
      <c r="X43" s="1184"/>
      <c r="Y43" s="1341"/>
      <c r="Z43" s="1187" t="s">
        <v>2236</v>
      </c>
      <c r="AA43" s="1187" t="s">
        <v>2236</v>
      </c>
      <c r="AB43" s="1187" t="s">
        <v>2236</v>
      </c>
      <c r="AC43" s="1187" t="s">
        <v>2236</v>
      </c>
      <c r="AD43" s="1187"/>
    </row>
    <row customHeight="1" ht="27">
      <c r="A44" s="1186"/>
      <c r="B44" s="1240">
        <v>27</v>
      </c>
      <c r="C44" s="1184" t="s">
        <v>2237</v>
      </c>
      <c r="D44" s="1308"/>
      <c r="E44" s="1184"/>
      <c r="F44" s="1184"/>
      <c r="G44" s="1184"/>
      <c r="H44" s="1232"/>
      <c r="I44" s="1346" t="str">
        <f>INDEX(TEMPLATE_NUMBER_POINT_FHD,B44,MATCH(TEMPLATE_SPHERE,TEMPLATE_SPHERE_LIST_FOR_NOTE,0))</f>
        <v>2.11.1</v>
      </c>
      <c r="J44" s="1346" t="str">
        <f>INDEX(TEMPLATE_DATA_POINT_FHD,B44,MATCH(TEMPLATE_SPHERE,TEMPLATE_SPHERE_LIST_FOR_NOTE,0))</f>
        <v>Расходы на текущий ремонт</v>
      </c>
      <c r="K44" s="1346" t="str">
        <f>INDEX(TEMPLATE_NOTE_POINT_FHD,B44,MATCH(TEMPLATE_SPHERE,TEMPLATE_SPHERE_LIST_FOR_NOTE,0))</f>
        <v>Указываются расходы на текущий ремонт, отнесенные к общехозяйственным расходам.</v>
      </c>
      <c r="L44" s="1185" t="str">
        <f>IF(I44=0,"",I44)</f>
        <v>2.11.1</v>
      </c>
      <c r="M44" s="1185" t="str">
        <f>IF(J44=0,"",J44)</f>
        <v>Расходы на текущий ремонт</v>
      </c>
      <c r="N44" s="1185" t="str">
        <f>IF(K44=0,"",K44)</f>
        <v>Указываются расходы на текущий ремонт, отнесенные к общехозяйственным расходам.</v>
      </c>
      <c r="O44" s="1298" t="s">
        <v>2238</v>
      </c>
      <c r="P44" s="1298" t="s">
        <v>2239</v>
      </c>
      <c r="Q44" s="1298" t="s">
        <v>2238</v>
      </c>
      <c r="R44" s="1298" t="s">
        <v>2239</v>
      </c>
      <c r="S44" s="1298"/>
      <c r="T44" s="1184" t="s">
        <v>2228</v>
      </c>
      <c r="U44" s="1184" t="s">
        <v>2228</v>
      </c>
      <c r="V44" s="1184" t="s">
        <v>2228</v>
      </c>
      <c r="W44" s="1184" t="s">
        <v>2228</v>
      </c>
      <c r="X44" s="1184"/>
      <c r="Y44" s="1341"/>
      <c r="Z44" s="1187" t="s">
        <v>2240</v>
      </c>
      <c r="AA44" s="1187" t="s">
        <v>2240</v>
      </c>
      <c r="AB44" s="1187" t="s">
        <v>2240</v>
      </c>
      <c r="AC44" s="1187" t="s">
        <v>2240</v>
      </c>
      <c r="AD44" s="1187"/>
    </row>
    <row customHeight="1" ht="27">
      <c r="A45" s="1186"/>
      <c r="B45" s="1240">
        <v>28</v>
      </c>
      <c r="C45" s="1184" t="s">
        <v>2241</v>
      </c>
      <c r="D45" s="1308"/>
      <c r="E45" s="1184"/>
      <c r="F45" s="1184"/>
      <c r="G45" s="1184"/>
      <c r="H45" s="1232"/>
      <c r="I45" s="1346" t="str">
        <f>INDEX(TEMPLATE_NUMBER_POINT_FHD,B45,MATCH(TEMPLATE_SPHERE,TEMPLATE_SPHERE_LIST_FOR_NOTE,0))</f>
        <v>2.11.2</v>
      </c>
      <c r="J45" s="1346" t="str">
        <f>INDEX(TEMPLATE_DATA_POINT_FHD,B45,MATCH(TEMPLATE_SPHERE,TEMPLATE_SPHERE_LIST_FOR_NOTE,0))</f>
        <v>Расходы на капитальный ремонт</v>
      </c>
      <c r="K45" s="1346" t="str">
        <f>INDEX(TEMPLATE_NOTE_POINT_FHD,B45,MATCH(TEMPLATE_SPHERE,TEMPLATE_SPHERE_LIST_FOR_NOTE,0))</f>
        <v>Указываются расходы на капитальный ремонт, отнесенные к общехозяйственным расходам.</v>
      </c>
      <c r="L45" s="1185" t="str">
        <f>IF(I45=0,"",I45)</f>
        <v>2.11.2</v>
      </c>
      <c r="M45" s="1185" t="str">
        <f>IF(J45=0,"",J45)</f>
        <v>Расходы на капитальный ремонт</v>
      </c>
      <c r="N45" s="1185" t="str">
        <f>IF(K45=0,"",K45)</f>
        <v>Указываются расходы на капитальный ремонт, отнесенные к общехозяйственным расходам.</v>
      </c>
      <c r="O45" s="1298" t="s">
        <v>2242</v>
      </c>
      <c r="P45" s="1298" t="s">
        <v>2243</v>
      </c>
      <c r="Q45" s="1298" t="s">
        <v>2242</v>
      </c>
      <c r="R45" s="1298" t="s">
        <v>2243</v>
      </c>
      <c r="S45" s="1298"/>
      <c r="T45" s="1184" t="s">
        <v>2232</v>
      </c>
      <c r="U45" s="1184" t="s">
        <v>2232</v>
      </c>
      <c r="V45" s="1184" t="s">
        <v>2232</v>
      </c>
      <c r="W45" s="1184" t="s">
        <v>2232</v>
      </c>
      <c r="X45" s="1184"/>
      <c r="Y45" s="1341"/>
      <c r="Z45" s="1187" t="s">
        <v>2244</v>
      </c>
      <c r="AA45" s="1187" t="s">
        <v>2244</v>
      </c>
      <c r="AB45" s="1187" t="s">
        <v>2244</v>
      </c>
      <c r="AC45" s="1187" t="s">
        <v>2244</v>
      </c>
      <c r="AD45" s="1187"/>
    </row>
    <row customHeight="1" ht="54">
      <c r="A46" s="1186"/>
      <c r="B46" s="1240">
        <v>29</v>
      </c>
      <c r="C46" s="1184">
        <v>15</v>
      </c>
      <c r="D46" s="1308"/>
      <c r="E46" s="1184"/>
      <c r="F46" s="1184"/>
      <c r="G46" s="1184"/>
      <c r="H46" s="1232"/>
      <c r="I46" s="1346" t="str">
        <f>INDEX(TEMPLATE_NUMBER_POINT_FHD,B46,MATCH(TEMPLATE_SPHERE,TEMPLATE_SPHERE_LIST_FOR_NOTE,0))</f>
        <v>2.12</v>
      </c>
      <c r="J46" s="1346" t="str">
        <f>INDEX(TEMPLATE_DATA_POINT_FHD,B46,MATCH(TEMPLATE_SPHERE,TEMPLATE_SPHERE_LIST_FOR_NOTE,0))</f>
        <v>Расходы на капитальный и текущий ремонт основных средств</v>
      </c>
      <c r="K46" s="1346"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185" t="str">
        <f>IF(I46=0,"",I46)</f>
        <v>2.12</v>
      </c>
      <c r="M46" s="1185" t="str">
        <f>IF(J46=0,"",J46)</f>
        <v>Расходы на капитальный и текущий ремонт основных средств</v>
      </c>
      <c r="N46" s="1185"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298" t="s">
        <v>2245</v>
      </c>
      <c r="P46" s="1298" t="s">
        <v>2223</v>
      </c>
      <c r="Q46" s="1298" t="s">
        <v>2245</v>
      </c>
      <c r="R46" s="1298" t="s">
        <v>2223</v>
      </c>
      <c r="S46" s="1298"/>
      <c r="T46" s="118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184" t="s">
        <v>2246</v>
      </c>
      <c r="V46" s="1184" t="s">
        <v>2246</v>
      </c>
      <c r="W46" s="1184" t="s">
        <v>2246</v>
      </c>
      <c r="X46" s="1184"/>
      <c r="Y46" s="1341"/>
      <c r="Z46" s="1187" t="s">
        <v>2247</v>
      </c>
      <c r="AA46" s="1187" t="s">
        <v>2248</v>
      </c>
      <c r="AB46" s="1187" t="s">
        <v>2248</v>
      </c>
      <c r="AC46" s="1187" t="s">
        <v>2248</v>
      </c>
      <c r="AD46" s="1187"/>
    </row>
    <row customHeight="1" ht="54">
      <c r="A47" s="1186"/>
      <c r="B47" s="1240">
        <v>30</v>
      </c>
      <c r="C47" s="1184" t="s">
        <v>2249</v>
      </c>
      <c r="D47" s="1308"/>
      <c r="E47" s="1184"/>
      <c r="F47" s="1184"/>
      <c r="G47" s="1184"/>
      <c r="H47" s="1232"/>
      <c r="I47" s="1346" t="str">
        <f>INDEX(TEMPLATE_NUMBER_POINT_FHD,B47,MATCH(TEMPLATE_SPHERE,TEMPLATE_SPHERE_LIST_FOR_NOTE,0))</f>
        <v>2.12.1</v>
      </c>
      <c r="J47" s="1346"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346">
        <f>INDEX(TEMPLATE_NOTE_POINT_FHD,B47,MATCH(TEMPLATE_SPHERE,TEMPLATE_SPHERE_LIST_FOR_NOTE,0))</f>
        <v>0</v>
      </c>
      <c r="L47" s="1185" t="str">
        <f>IF(I47=0,"",I47)</f>
        <v>2.12.1</v>
      </c>
      <c r="M47" s="1185"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185" t="str">
        <f>IF(K47=0,"",K47)</f>
        <v/>
      </c>
      <c r="O47" s="1298" t="s">
        <v>2250</v>
      </c>
      <c r="P47" s="1298" t="s">
        <v>2227</v>
      </c>
      <c r="Q47" s="1298" t="s">
        <v>2250</v>
      </c>
      <c r="R47" s="1298" t="s">
        <v>2227</v>
      </c>
      <c r="S47" s="1298"/>
      <c r="T47" s="1184" t="s">
        <v>2251</v>
      </c>
      <c r="U47" s="1184" t="s">
        <v>2251</v>
      </c>
      <c r="V47" s="1184" t="s">
        <v>2251</v>
      </c>
      <c r="W47" s="1184" t="s">
        <v>2251</v>
      </c>
      <c r="X47" s="1184"/>
      <c r="Y47" s="1341"/>
      <c r="Z47" s="1187"/>
      <c r="AA47" s="1190"/>
      <c r="AB47" s="1190"/>
      <c r="AC47" s="1190"/>
      <c r="AD47" s="1187"/>
    </row>
    <row customHeight="1" ht="54">
      <c r="A48" s="1186"/>
      <c r="B48" s="1240">
        <v>31</v>
      </c>
      <c r="C48" s="1184">
        <v>16</v>
      </c>
      <c r="D48" s="1308"/>
      <c r="E48" s="1184"/>
      <c r="F48" s="1184"/>
      <c r="G48" s="1184"/>
      <c r="H48" s="1232"/>
      <c r="I48" s="1346">
        <f>INDEX(TEMPLATE_NUMBER_POINT_FHD,B48,MATCH(TEMPLATE_SPHERE,TEMPLATE_SPHERE_LIST_FOR_NOTE,0))</f>
        <v>0</v>
      </c>
      <c r="J48" s="1346">
        <f>INDEX(TEMPLATE_DATA_POINT_FHD,B48,MATCH(TEMPLATE_SPHERE,TEMPLATE_SPHERE_LIST_FOR_NOTE,0))</f>
        <v>0</v>
      </c>
      <c r="K48" s="1346">
        <f>INDEX(TEMPLATE_NOTE_POINT_FHD,B48,MATCH(TEMPLATE_SPHERE,TEMPLATE_SPHERE_LIST_FOR_NOTE,0))</f>
        <v>0</v>
      </c>
      <c r="L48" s="1185" t="str">
        <f>IF(I48=0,"",I48)</f>
        <v/>
      </c>
      <c r="M48" s="1185" t="str">
        <f>IF(J48=0,"",J48)</f>
        <v/>
      </c>
      <c r="N48" s="1185" t="str">
        <f>IF(K48=0,"",K48)</f>
        <v/>
      </c>
      <c r="O48" s="1298"/>
      <c r="P48" s="1298" t="s">
        <v>2234</v>
      </c>
      <c r="Q48" s="1298" t="s">
        <v>2252</v>
      </c>
      <c r="R48" s="1298" t="s">
        <v>2234</v>
      </c>
      <c r="S48" s="1298"/>
      <c r="T48" s="1184"/>
      <c r="U48" s="1184" t="s">
        <v>2253</v>
      </c>
      <c r="V48" s="1184" t="s">
        <v>2254</v>
      </c>
      <c r="W48" s="1184" t="s">
        <v>2254</v>
      </c>
      <c r="X48" s="1184"/>
      <c r="Y48" s="1341"/>
      <c r="Z48" s="1187"/>
      <c r="AA48" s="1190" t="s">
        <v>2248</v>
      </c>
      <c r="AB48" s="1190" t="s">
        <v>2248</v>
      </c>
      <c r="AC48" s="1190" t="s">
        <v>2248</v>
      </c>
      <c r="AD48" s="1187"/>
    </row>
    <row customHeight="1" ht="54">
      <c r="A49" s="1186"/>
      <c r="B49" s="1240">
        <v>32</v>
      </c>
      <c r="C49" s="1184" t="s">
        <v>2255</v>
      </c>
      <c r="D49" s="1308"/>
      <c r="E49" s="1184"/>
      <c r="F49" s="1184"/>
      <c r="G49" s="1184"/>
      <c r="H49" s="1232"/>
      <c r="I49" s="1346">
        <f>INDEX(TEMPLATE_NUMBER_POINT_FHD,B49,MATCH(TEMPLATE_SPHERE,TEMPLATE_SPHERE_LIST_FOR_NOTE,0))</f>
        <v>0</v>
      </c>
      <c r="J49" s="1346">
        <f>INDEX(TEMPLATE_DATA_POINT_FHD,B49,MATCH(TEMPLATE_SPHERE,TEMPLATE_SPHERE_LIST_FOR_NOTE,0))</f>
        <v>0</v>
      </c>
      <c r="K49" s="1346">
        <f>INDEX(TEMPLATE_NOTE_POINT_FHD,B49,MATCH(TEMPLATE_SPHERE,TEMPLATE_SPHERE_LIST_FOR_NOTE,0))</f>
        <v>0</v>
      </c>
      <c r="L49" s="1185" t="str">
        <f>IF(I49=0,"",I49)</f>
        <v/>
      </c>
      <c r="M49" s="1185" t="str">
        <f>IF(J49=0,"",J49)</f>
        <v/>
      </c>
      <c r="N49" s="1185" t="str">
        <f>IF(K49=0,"",K49)</f>
        <v/>
      </c>
      <c r="O49" s="1298"/>
      <c r="P49" s="1298" t="s">
        <v>2238</v>
      </c>
      <c r="Q49" s="1298" t="s">
        <v>2256</v>
      </c>
      <c r="R49" s="1298" t="s">
        <v>2238</v>
      </c>
      <c r="S49" s="1298"/>
      <c r="T49" s="1184"/>
      <c r="U49" s="1184" t="s">
        <v>2251</v>
      </c>
      <c r="V49" s="1184" t="s">
        <v>2251</v>
      </c>
      <c r="W49" s="1184" t="s">
        <v>2251</v>
      </c>
      <c r="X49" s="1184"/>
      <c r="Y49" s="1341"/>
      <c r="Z49" s="1187"/>
      <c r="AA49" s="1190"/>
      <c r="AB49" s="1190"/>
      <c r="AC49" s="1190"/>
      <c r="AD49" s="1187"/>
    </row>
    <row customHeight="1" ht="126">
      <c r="A50" s="1186"/>
      <c r="B50" s="1240">
        <v>33</v>
      </c>
      <c r="C50" s="1184">
        <v>17</v>
      </c>
      <c r="D50" s="1308"/>
      <c r="E50" s="1184"/>
      <c r="F50" s="1184"/>
      <c r="G50" s="1184"/>
      <c r="H50" s="1232"/>
      <c r="I50" s="1346" t="str">
        <f>INDEX(TEMPLATE_NUMBER_POINT_FHD,B50,MATCH(TEMPLATE_SPHERE,TEMPLATE_SPHERE_LIST_FOR_NOTE,0))</f>
        <v>2.13</v>
      </c>
      <c r="J50" s="1346"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346"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185" t="str">
        <f>IF(I50=0,"",I50)</f>
        <v>2.13</v>
      </c>
      <c r="M50" s="1185"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185"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298" t="s">
        <v>2252</v>
      </c>
      <c r="P50" s="1298" t="s">
        <v>2245</v>
      </c>
      <c r="Q50" s="1298" t="s">
        <v>2257</v>
      </c>
      <c r="R50" s="1298" t="s">
        <v>2245</v>
      </c>
      <c r="S50" s="1298"/>
      <c r="T50" s="1184" t="s">
        <v>2258</v>
      </c>
      <c r="U50" s="1184" t="s">
        <v>2259</v>
      </c>
      <c r="V50" s="1184" t="s">
        <v>2260</v>
      </c>
      <c r="W50" s="1184" t="s">
        <v>2261</v>
      </c>
      <c r="X50" s="1184"/>
      <c r="Y50" s="1341"/>
      <c r="Z50" s="1187" t="s">
        <v>2262</v>
      </c>
      <c r="AA50" s="1190" t="s">
        <v>2263</v>
      </c>
      <c r="AB50" s="1190" t="s">
        <v>2263</v>
      </c>
      <c r="AC50" s="1190" t="s">
        <v>2263</v>
      </c>
      <c r="AD50" s="1187"/>
    </row>
    <row customHeight="1" ht="27">
      <c r="A51" s="1186"/>
      <c r="B51" s="1240">
        <v>34</v>
      </c>
      <c r="C51" s="1184" t="s">
        <v>2264</v>
      </c>
      <c r="D51" s="1308"/>
      <c r="E51" s="1184"/>
      <c r="F51" s="1184"/>
      <c r="G51" s="1184"/>
      <c r="H51" s="1232"/>
      <c r="I51" s="1346" t="str">
        <f>INDEX(TEMPLATE_NUMBER_POINT_FHD,B51,MATCH(TEMPLATE_SPHERE,TEMPLATE_SPHERE_LIST_FOR_NOTE,0))</f>
        <v>3</v>
      </c>
      <c r="J51" s="1346"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346">
        <f>INDEX(TEMPLATE_NOTE_POINT_FHD,B51,MATCH(TEMPLATE_SPHERE,TEMPLATE_SPHERE_LIST_FOR_NOTE,0))</f>
        <v>0</v>
      </c>
      <c r="L51" s="1185" t="str">
        <f>IF(I51=0,"",I51)</f>
        <v>3</v>
      </c>
      <c r="M51" s="1185" t="str">
        <f>IF(J51=0,"",J51)</f>
        <v>Валовая прибыль (убытки) от реализации товаров и оказания услуг по регулируемому виду деятельности</v>
      </c>
      <c r="N51" s="1185" t="str">
        <f>IF(K51=0,"",K51)</f>
        <v/>
      </c>
      <c r="O51" s="1298" t="s">
        <v>90</v>
      </c>
      <c r="P51" s="1298"/>
      <c r="Q51" s="1298"/>
      <c r="R51" s="1298"/>
      <c r="S51" s="1298"/>
      <c r="T51" s="1184" t="s">
        <v>2265</v>
      </c>
      <c r="U51" s="1184"/>
      <c r="V51" s="1184"/>
      <c r="W51" s="1184"/>
      <c r="X51" s="1184"/>
      <c r="Y51" s="1341"/>
      <c r="Z51" s="1187"/>
      <c r="AA51" s="1190"/>
      <c r="AB51" s="1190"/>
      <c r="AC51" s="1190"/>
      <c r="AD51" s="1187"/>
    </row>
    <row customHeight="1" ht="36">
      <c r="A52" s="1186"/>
      <c r="B52" s="1240">
        <v>35</v>
      </c>
      <c r="C52" s="1184" t="s">
        <v>2158</v>
      </c>
      <c r="D52" s="1308" t="s">
        <v>2158</v>
      </c>
      <c r="E52" s="1184" t="s">
        <v>2158</v>
      </c>
      <c r="F52" s="1184" t="s">
        <v>2158</v>
      </c>
      <c r="G52" s="1184"/>
      <c r="H52" s="1232"/>
      <c r="I52" s="1346" t="str">
        <f>INDEX(TEMPLATE_NUMBER_POINT_FHD,B52,MATCH(TEMPLATE_SPHERE,TEMPLATE_SPHERE_LIST_FOR_NOTE,0))</f>
        <v>4</v>
      </c>
      <c r="J52" s="1346" t="str">
        <f>INDEX(TEMPLATE_DATA_POINT_FHD,B52,MATCH(TEMPLATE_SPHERE,TEMPLATE_SPHERE_LIST_FOR_NOTE,0))</f>
        <v>Чистая прибыль, полученная от регулируемого вида деятельности, в том числе:</v>
      </c>
      <c r="K52" s="1346" t="str">
        <f>INDEX(TEMPLATE_NOTE_POINT_FHD,B52,MATCH(TEMPLATE_SPHERE,TEMPLATE_SPHERE_LIST_FOR_NOTE,0))</f>
        <v>Указывается общая сумма чистой прибыли, полученной от регулируемого вида деятельности.</v>
      </c>
      <c r="L52" s="1185" t="str">
        <f>IF(I52=0,"",I52)</f>
        <v>4</v>
      </c>
      <c r="M52" s="1185" t="str">
        <f>IF(J52=0,"",J52)</f>
        <v>Чистая прибыль, полученная от регулируемого вида деятельности, в том числе:</v>
      </c>
      <c r="N52" s="1185" t="str">
        <f>IF(K52=0,"",K52)</f>
        <v>Указывается общая сумма чистой прибыли, полученной от регулируемого вида деятельности.</v>
      </c>
      <c r="O52" s="1298" t="s">
        <v>91</v>
      </c>
      <c r="P52" s="1298" t="s">
        <v>90</v>
      </c>
      <c r="Q52" s="1298" t="s">
        <v>90</v>
      </c>
      <c r="R52" s="1298" t="s">
        <v>90</v>
      </c>
      <c r="S52" s="1298"/>
      <c r="T52" s="1184" t="s">
        <v>2266</v>
      </c>
      <c r="U52" s="1184" t="s">
        <v>2267</v>
      </c>
      <c r="V52" s="1184" t="s">
        <v>2268</v>
      </c>
      <c r="W52" s="1184" t="s">
        <v>2269</v>
      </c>
      <c r="X52" s="1184"/>
      <c r="Y52" s="1341"/>
      <c r="Z52" s="1187" t="s">
        <v>745</v>
      </c>
      <c r="AA52" s="1190" t="s">
        <v>745</v>
      </c>
      <c r="AB52" s="1190" t="s">
        <v>745</v>
      </c>
      <c r="AC52" s="1190" t="s">
        <v>745</v>
      </c>
      <c r="AD52" s="1187"/>
    </row>
    <row customHeight="1" ht="36">
      <c r="A53" s="1186"/>
      <c r="B53" s="1240">
        <v>36</v>
      </c>
      <c r="C53" s="1184">
        <v>1</v>
      </c>
      <c r="D53" s="1308"/>
      <c r="E53" s="1184"/>
      <c r="F53" s="1184"/>
      <c r="G53" s="1184"/>
      <c r="H53" s="1232"/>
      <c r="I53" s="1346" t="str">
        <f>INDEX(TEMPLATE_NUMBER_POINT_FHD,B53,MATCH(TEMPLATE_SPHERE,TEMPLATE_SPHERE_LIST_FOR_NOTE,0))</f>
        <v>4.1</v>
      </c>
      <c r="J53" s="1346"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346">
        <f>INDEX(TEMPLATE_NOTE_POINT_FHD,B53,MATCH(TEMPLATE_SPHERE,TEMPLATE_SPHERE_LIST_FOR_NOTE,0))</f>
        <v>0</v>
      </c>
      <c r="L53" s="1185" t="str">
        <f>IF(I53=0,"",I53)</f>
        <v>4.1</v>
      </c>
      <c r="M53" s="1185"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185" t="str">
        <f>IF(K53=0,"",K53)</f>
        <v/>
      </c>
      <c r="O53" s="1298" t="s">
        <v>749</v>
      </c>
      <c r="P53" s="1298" t="s">
        <v>319</v>
      </c>
      <c r="Q53" s="1298" t="s">
        <v>319</v>
      </c>
      <c r="R53" s="1298" t="s">
        <v>319</v>
      </c>
      <c r="S53" s="1298"/>
      <c r="T53" s="1184" t="s">
        <v>2270</v>
      </c>
      <c r="U53" s="1184" t="s">
        <v>2270</v>
      </c>
      <c r="V53" s="1184" t="s">
        <v>2270</v>
      </c>
      <c r="W53" s="1184" t="s">
        <v>2270</v>
      </c>
      <c r="X53" s="1184"/>
      <c r="Y53" s="1341"/>
      <c r="Z53" s="1187"/>
      <c r="AA53" s="1190"/>
      <c r="AB53" s="1187"/>
      <c r="AC53" s="1187"/>
      <c r="AD53" s="1187"/>
    </row>
    <row customHeight="1" ht="18">
      <c r="A54" s="1186"/>
      <c r="B54" s="1240">
        <v>37</v>
      </c>
      <c r="C54" s="1184" t="s">
        <v>2164</v>
      </c>
      <c r="D54" s="1308" t="s">
        <v>2164</v>
      </c>
      <c r="E54" s="1184" t="s">
        <v>2164</v>
      </c>
      <c r="F54" s="1184" t="s">
        <v>2164</v>
      </c>
      <c r="G54" s="1184"/>
      <c r="H54" s="1232"/>
      <c r="I54" s="1346" t="str">
        <f>INDEX(TEMPLATE_NUMBER_POINT_FHD,B54,MATCH(TEMPLATE_SPHERE,TEMPLATE_SPHERE_LIST_FOR_NOTE,0))</f>
        <v>5</v>
      </c>
      <c r="J54" s="1346" t="str">
        <f>INDEX(TEMPLATE_DATA_POINT_FHD,B54,MATCH(TEMPLATE_SPHERE,TEMPLATE_SPHERE_LIST_FOR_NOTE,0))</f>
        <v>Изменение стоимости основных фондов, в том числе:</v>
      </c>
      <c r="K54" s="1346" t="str">
        <f>INDEX(TEMPLATE_NOTE_POINT_FHD,B54,MATCH(TEMPLATE_SPHERE,TEMPLATE_SPHERE_LIST_FOR_NOTE,0))</f>
        <v>Указывается общее изменение стоимости основных фондов.</v>
      </c>
      <c r="L54" s="1185" t="str">
        <f>IF(I54=0,"",I54)</f>
        <v>5</v>
      </c>
      <c r="M54" s="1185" t="str">
        <f>IF(J54=0,"",J54)</f>
        <v>Изменение стоимости основных фондов, в том числе:</v>
      </c>
      <c r="N54" s="1185" t="str">
        <f>IF(K54=0,"",K54)</f>
        <v>Указывается общее изменение стоимости основных фондов.</v>
      </c>
      <c r="O54" s="1298" t="s">
        <v>108</v>
      </c>
      <c r="P54" s="1298" t="s">
        <v>91</v>
      </c>
      <c r="Q54" s="1298" t="s">
        <v>91</v>
      </c>
      <c r="R54" s="1298" t="s">
        <v>91</v>
      </c>
      <c r="S54" s="1298"/>
      <c r="T54" s="1184" t="s">
        <v>747</v>
      </c>
      <c r="U54" s="1184" t="s">
        <v>747</v>
      </c>
      <c r="V54" s="1184" t="s">
        <v>747</v>
      </c>
      <c r="W54" s="1184" t="s">
        <v>747</v>
      </c>
      <c r="X54" s="1184"/>
      <c r="Y54" s="1341"/>
      <c r="Z54" s="1187" t="s">
        <v>748</v>
      </c>
      <c r="AA54" s="1187" t="s">
        <v>748</v>
      </c>
      <c r="AB54" s="1187" t="s">
        <v>748</v>
      </c>
      <c r="AC54" s="1187" t="s">
        <v>748</v>
      </c>
      <c r="AD54" s="1187"/>
    </row>
    <row customHeight="1" ht="36">
      <c r="A55" s="1186"/>
      <c r="B55" s="1240">
        <v>38</v>
      </c>
      <c r="C55" s="1184">
        <v>1</v>
      </c>
      <c r="D55" s="1308"/>
      <c r="E55" s="1184"/>
      <c r="F55" s="1184"/>
      <c r="G55" s="1184"/>
      <c r="H55" s="1232"/>
      <c r="I55" s="1346" t="str">
        <f>INDEX(TEMPLATE_NUMBER_POINT_FHD,B55,MATCH(TEMPLATE_SPHERE,TEMPLATE_SPHERE_LIST_FOR_NOTE,0))</f>
        <v>5.1</v>
      </c>
      <c r="J55" s="1346" t="str">
        <f>INDEX(TEMPLATE_DATA_POINT_FHD,B55,MATCH(TEMPLATE_SPHERE,TEMPLATE_SPHERE_LIST_FOR_NOTE,0))</f>
        <v>Изменение стоимости основных фондов за счет:</v>
      </c>
      <c r="K55" s="1346"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185" t="str">
        <f>IF(I55=0,"",I55)</f>
        <v>5.1</v>
      </c>
      <c r="M55" s="1185" t="str">
        <f>IF(J55=0,"",J55)</f>
        <v>Изменение стоимости основных фондов за счет:</v>
      </c>
      <c r="N55" s="1185" t="str">
        <f>IF(K55=0,"",K55)</f>
        <v>Указываются общее изменение стоимости основных фондов за счет их ввода в эксплуатацию и вывода из эксплуатации.</v>
      </c>
      <c r="O55" s="1298" t="s">
        <v>308</v>
      </c>
      <c r="P55" s="1298" t="s">
        <v>749</v>
      </c>
      <c r="Q55" s="1298" t="s">
        <v>749</v>
      </c>
      <c r="R55" s="1298" t="s">
        <v>749</v>
      </c>
      <c r="S55" s="1298"/>
      <c r="T55" s="118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184" t="s">
        <v>2271</v>
      </c>
      <c r="V55" s="1184" t="s">
        <v>2271</v>
      </c>
      <c r="W55" s="1184" t="s">
        <v>2271</v>
      </c>
      <c r="X55" s="1184"/>
      <c r="Y55" s="1341"/>
      <c r="Z55" s="1187" t="s">
        <v>2272</v>
      </c>
      <c r="AA55" s="1187" t="s">
        <v>2272</v>
      </c>
      <c r="AB55" s="1187" t="s">
        <v>2272</v>
      </c>
      <c r="AC55" s="1187" t="s">
        <v>2272</v>
      </c>
      <c r="AD55" s="1187"/>
    </row>
    <row customHeight="1" ht="27">
      <c r="A56" s="1186"/>
      <c r="B56" s="1240">
        <v>39</v>
      </c>
      <c r="C56" s="1184" t="s">
        <v>1199</v>
      </c>
      <c r="D56" s="1308"/>
      <c r="E56" s="1184"/>
      <c r="F56" s="1184"/>
      <c r="G56" s="1184"/>
      <c r="H56" s="1232"/>
      <c r="I56" s="1346" t="str">
        <f>INDEX(TEMPLATE_NUMBER_POINT_FHD,B56,MATCH(TEMPLATE_SPHERE,TEMPLATE_SPHERE_LIST_FOR_NOTE,0))</f>
        <v>5.1.1</v>
      </c>
      <c r="J56" s="1346" t="str">
        <f>INDEX(TEMPLATE_DATA_POINT_FHD,B56,MATCH(TEMPLATE_SPHERE,TEMPLATE_SPHERE_LIST_FOR_NOTE,0))</f>
        <v>Изменения стоимости основных фондов за счет их ввода в эксплуатацию</v>
      </c>
      <c r="K56" s="1346" t="str">
        <f>INDEX(TEMPLATE_NOTE_POINT_FHD,B56,MATCH(TEMPLATE_SPHERE,TEMPLATE_SPHERE_LIST_FOR_NOTE,0))</f>
        <v>Указываются изменение стоимости основных фондов за счет их ввода в эксплуатацию.</v>
      </c>
      <c r="L56" s="1185" t="str">
        <f>IF(I56=0,"",I56)</f>
        <v>5.1.1</v>
      </c>
      <c r="M56" s="1185" t="str">
        <f>IF(J56=0,"",J56)</f>
        <v>Изменения стоимости основных фондов за счет их ввода в эксплуатацию</v>
      </c>
      <c r="N56" s="1185" t="str">
        <f>IF(K56=0,"",K56)</f>
        <v>Указываются изменение стоимости основных фондов за счет их ввода в эксплуатацию.</v>
      </c>
      <c r="O56" s="1298" t="s">
        <v>1319</v>
      </c>
      <c r="P56" s="1298" t="s">
        <v>752</v>
      </c>
      <c r="Q56" s="1298" t="s">
        <v>752</v>
      </c>
      <c r="R56" s="1298" t="s">
        <v>752</v>
      </c>
      <c r="S56" s="1298"/>
      <c r="T56" s="118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184" t="s">
        <v>2273</v>
      </c>
      <c r="V56" s="1184" t="s">
        <v>2273</v>
      </c>
      <c r="W56" s="1184" t="s">
        <v>2273</v>
      </c>
      <c r="X56" s="1184"/>
      <c r="Y56" s="1341"/>
      <c r="Z56" s="1187" t="s">
        <v>754</v>
      </c>
      <c r="AA56" s="1187" t="s">
        <v>754</v>
      </c>
      <c r="AB56" s="1187" t="s">
        <v>754</v>
      </c>
      <c r="AC56" s="1187" t="s">
        <v>754</v>
      </c>
      <c r="AD56" s="1187"/>
    </row>
    <row customHeight="1" ht="27">
      <c r="A57" s="1186"/>
      <c r="B57" s="1240">
        <v>40</v>
      </c>
      <c r="C57" s="1184" t="s">
        <v>1201</v>
      </c>
      <c r="D57" s="1308"/>
      <c r="E57" s="1184"/>
      <c r="F57" s="1184"/>
      <c r="G57" s="1184"/>
      <c r="H57" s="1232"/>
      <c r="I57" s="1346" t="str">
        <f>INDEX(TEMPLATE_NUMBER_POINT_FHD,B57,MATCH(TEMPLATE_SPHERE,TEMPLATE_SPHERE_LIST_FOR_NOTE,0))</f>
        <v>5.1.2</v>
      </c>
      <c r="J57" s="1346" t="str">
        <f>INDEX(TEMPLATE_DATA_POINT_FHD,B57,MATCH(TEMPLATE_SPHERE,TEMPLATE_SPHERE_LIST_FOR_NOTE,0))</f>
        <v>Изменения стоимости основных фондов за счет их вывода в эксплуатацию</v>
      </c>
      <c r="K57" s="1346" t="str">
        <f>INDEX(TEMPLATE_NOTE_POINT_FHD,B57,MATCH(TEMPLATE_SPHERE,TEMPLATE_SPHERE_LIST_FOR_NOTE,0))</f>
        <v>Указываются изменение стоимости основных фондов за счет их вывода из эксплуатации.</v>
      </c>
      <c r="L57" s="1185" t="str">
        <f>IF(I57=0,"",I57)</f>
        <v>5.1.2</v>
      </c>
      <c r="M57" s="1185" t="str">
        <f>IF(J57=0,"",J57)</f>
        <v>Изменения стоимости основных фондов за счет их вывода в эксплуатацию</v>
      </c>
      <c r="N57" s="1185" t="str">
        <f>IF(K57=0,"",K57)</f>
        <v>Указываются изменение стоимости основных фондов за счет их вывода из эксплуатации.</v>
      </c>
      <c r="O57" s="1298" t="s">
        <v>2274</v>
      </c>
      <c r="P57" s="1298" t="s">
        <v>755</v>
      </c>
      <c r="Q57" s="1298" t="s">
        <v>755</v>
      </c>
      <c r="R57" s="1298" t="s">
        <v>755</v>
      </c>
      <c r="S57" s="1298"/>
      <c r="T57" s="118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184" t="s">
        <v>2275</v>
      </c>
      <c r="V57" s="1184" t="s">
        <v>2275</v>
      </c>
      <c r="W57" s="1184" t="s">
        <v>2275</v>
      </c>
      <c r="X57" s="1184"/>
      <c r="Y57" s="1341"/>
      <c r="Z57" s="1187" t="s">
        <v>757</v>
      </c>
      <c r="AA57" s="1187" t="s">
        <v>757</v>
      </c>
      <c r="AB57" s="1187" t="s">
        <v>757</v>
      </c>
      <c r="AC57" s="1187" t="s">
        <v>757</v>
      </c>
      <c r="AD57" s="1187"/>
    </row>
    <row customHeight="1" ht="18">
      <c r="A58" s="1186"/>
      <c r="B58" s="1240">
        <v>41</v>
      </c>
      <c r="C58" s="1184">
        <v>2</v>
      </c>
      <c r="D58" s="1308"/>
      <c r="E58" s="1184"/>
      <c r="F58" s="1184"/>
      <c r="G58" s="1184"/>
      <c r="H58" s="1232"/>
      <c r="I58" s="1346" t="str">
        <f>INDEX(TEMPLATE_NUMBER_POINT_FHD,B58,MATCH(TEMPLATE_SPHERE,TEMPLATE_SPHERE_LIST_FOR_NOTE,0))</f>
        <v>5.2</v>
      </c>
      <c r="J58" s="1346" t="str">
        <f>INDEX(TEMPLATE_DATA_POINT_FHD,B58,MATCH(TEMPLATE_SPHERE,TEMPLATE_SPHERE_LIST_FOR_NOTE,0))</f>
        <v>Изменение стоимости основных фондов за счет их переоценки</v>
      </c>
      <c r="K58" s="1346">
        <f>INDEX(TEMPLATE_NOTE_POINT_FHD,B58,MATCH(TEMPLATE_SPHERE,TEMPLATE_SPHERE_LIST_FOR_NOTE,0))</f>
        <v>0</v>
      </c>
      <c r="L58" s="1185" t="str">
        <f>IF(I58=0,"",I58)</f>
        <v>5.2</v>
      </c>
      <c r="M58" s="1185" t="str">
        <f>IF(J58=0,"",J58)</f>
        <v>Изменение стоимости основных фондов за счет их переоценки</v>
      </c>
      <c r="N58" s="1185" t="str">
        <f>IF(K58=0,"",K58)</f>
        <v/>
      </c>
      <c r="O58" s="1298" t="s">
        <v>877</v>
      </c>
      <c r="P58" s="1298" t="s">
        <v>791</v>
      </c>
      <c r="Q58" s="1298" t="s">
        <v>791</v>
      </c>
      <c r="R58" s="1298" t="s">
        <v>791</v>
      </c>
      <c r="S58" s="1298"/>
      <c r="T58" s="118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184" t="s">
        <v>2276</v>
      </c>
      <c r="V58" s="1184" t="s">
        <v>2276</v>
      </c>
      <c r="W58" s="1184" t="s">
        <v>2276</v>
      </c>
      <c r="X58" s="1184"/>
      <c r="Y58" s="1341"/>
      <c r="Z58" s="1187"/>
      <c r="AA58" s="1190"/>
      <c r="AB58" s="1187"/>
      <c r="AC58" s="1187"/>
      <c r="AD58" s="1187"/>
    </row>
    <row customHeight="1" ht="36">
      <c r="A59" s="1186"/>
      <c r="B59" s="1240">
        <v>42</v>
      </c>
      <c r="C59" s="1184">
        <v>3</v>
      </c>
      <c r="D59" s="1308" t="s">
        <v>2264</v>
      </c>
      <c r="E59" s="1184" t="s">
        <v>2264</v>
      </c>
      <c r="F59" s="1184" t="s">
        <v>2264</v>
      </c>
      <c r="G59" s="1184"/>
      <c r="H59" s="1232"/>
      <c r="I59" s="1346">
        <f>INDEX(TEMPLATE_NUMBER_POINT_FHD,B59,MATCH(TEMPLATE_SPHERE,TEMPLATE_SPHERE_LIST_FOR_NOTE,0))</f>
        <v>0</v>
      </c>
      <c r="J59" s="1346">
        <f>INDEX(TEMPLATE_DATA_POINT_FHD,B59,MATCH(TEMPLATE_SPHERE,TEMPLATE_SPHERE_LIST_FOR_NOTE,0))</f>
        <v>0</v>
      </c>
      <c r="K59" s="1346">
        <f>INDEX(TEMPLATE_NOTE_POINT_FHD,B59,MATCH(TEMPLATE_SPHERE,TEMPLATE_SPHERE_LIST_FOR_NOTE,0))</f>
        <v>0</v>
      </c>
      <c r="L59" s="1185" t="str">
        <f>IF(I59=0,"",I59)</f>
        <v/>
      </c>
      <c r="M59" s="1185" t="str">
        <f>IF(J59=0,"",J59)</f>
        <v/>
      </c>
      <c r="N59" s="1185" t="str">
        <f>IF(K59=0,"",K59)</f>
        <v/>
      </c>
      <c r="O59" s="1298"/>
      <c r="P59" s="1298" t="s">
        <v>108</v>
      </c>
      <c r="Q59" s="1298" t="s">
        <v>108</v>
      </c>
      <c r="R59" s="1298" t="s">
        <v>108</v>
      </c>
      <c r="S59" s="1298"/>
      <c r="T59" s="1184"/>
      <c r="U59" s="1184" t="s">
        <v>2277</v>
      </c>
      <c r="V59" s="1184" t="s">
        <v>2278</v>
      </c>
      <c r="W59" s="1184" t="s">
        <v>2279</v>
      </c>
      <c r="X59" s="1184"/>
      <c r="Y59" s="1341"/>
      <c r="Z59" s="1187"/>
      <c r="AA59" s="1190"/>
      <c r="AB59" s="1187"/>
      <c r="AC59" s="1187"/>
      <c r="AD59" s="1187"/>
    </row>
    <row customHeight="1" ht="81">
      <c r="A60" s="1186"/>
      <c r="B60" s="1240">
        <v>43</v>
      </c>
      <c r="C60" s="1184" t="s">
        <v>2280</v>
      </c>
      <c r="D60" s="1308" t="s">
        <v>2280</v>
      </c>
      <c r="E60" s="1184" t="s">
        <v>2280</v>
      </c>
      <c r="F60" s="1184" t="s">
        <v>2280</v>
      </c>
      <c r="G60" s="1184"/>
      <c r="H60" s="1232"/>
      <c r="I60" s="1346" t="str">
        <f>INDEX(TEMPLATE_NUMBER_POINT_FHD,B60,MATCH(TEMPLATE_SPHERE,TEMPLATE_SPHERE_LIST_FOR_NOTE,0))</f>
        <v>6</v>
      </c>
      <c r="J60" s="1346" t="str">
        <f>INDEX(TEMPLATE_DATA_POINT_FHD,B60,MATCH(TEMPLATE_SPHERE,TEMPLATE_SPHERE_LIST_FOR_NOTE,0))</f>
        <v>Годовая бухгалтерская (финансовая) отчетность, включая бухгалтерский баланс и приложения к нему</v>
      </c>
      <c r="K60" s="1346"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185" t="str">
        <f>IF(I60=0,"",I60)</f>
        <v>6</v>
      </c>
      <c r="M60" s="1185" t="str">
        <f>IF(J60=0,"",J60)</f>
        <v>Годовая бухгалтерская (финансовая) отчетность, включая бухгалтерский баланс и приложения к нему</v>
      </c>
      <c r="N60" s="1185"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298" t="s">
        <v>92</v>
      </c>
      <c r="P60" s="1298" t="s">
        <v>92</v>
      </c>
      <c r="Q60" s="1298" t="s">
        <v>92</v>
      </c>
      <c r="R60" s="1298" t="s">
        <v>92</v>
      </c>
      <c r="S60" s="1298"/>
      <c r="T60" s="1184" t="s">
        <v>624</v>
      </c>
      <c r="U60" s="1184" t="s">
        <v>624</v>
      </c>
      <c r="V60" s="1184" t="s">
        <v>624</v>
      </c>
      <c r="W60" s="1184" t="s">
        <v>624</v>
      </c>
      <c r="X60" s="1184"/>
      <c r="Y60" s="1341"/>
      <c r="Z60" s="1187" t="s">
        <v>2281</v>
      </c>
      <c r="AA60" s="1190" t="s">
        <v>2282</v>
      </c>
      <c r="AB60" s="1187" t="s">
        <v>2283</v>
      </c>
      <c r="AC60" s="1187" t="s">
        <v>2282</v>
      </c>
      <c r="AD60" s="1187"/>
    </row>
    <row customHeight="1" ht="9">
      <c r="A61" s="1186"/>
      <c r="B61" s="1240">
        <v>44</v>
      </c>
      <c r="C61" s="1184"/>
      <c r="D61" s="1308" t="s">
        <v>2284</v>
      </c>
      <c r="E61" s="1184"/>
      <c r="F61" s="1184"/>
      <c r="G61" s="1184"/>
      <c r="H61" s="1232"/>
      <c r="I61" s="1346">
        <f>INDEX(TEMPLATE_NUMBER_POINT_FHD,B61,MATCH(TEMPLATE_SPHERE,TEMPLATE_SPHERE_LIST_FOR_NOTE,0))</f>
        <v>0</v>
      </c>
      <c r="J61" s="1346">
        <f>INDEX(TEMPLATE_DATA_POINT_FHD,B61,MATCH(TEMPLATE_SPHERE,TEMPLATE_SPHERE_LIST_FOR_NOTE,0))</f>
        <v>0</v>
      </c>
      <c r="K61" s="1346">
        <f>INDEX(TEMPLATE_NOTE_POINT_FHD,B61,MATCH(TEMPLATE_SPHERE,TEMPLATE_SPHERE_LIST_FOR_NOTE,0))</f>
        <v>0</v>
      </c>
      <c r="L61" s="1185" t="str">
        <f>IF(I61=0,"",I61)</f>
        <v/>
      </c>
      <c r="M61" s="1185" t="str">
        <f>IF(J61=0,"",J61)</f>
        <v/>
      </c>
      <c r="N61" s="1185" t="str">
        <f>IF(K61=0,"",K61)</f>
        <v/>
      </c>
      <c r="O61" s="1298"/>
      <c r="P61" s="1298" t="s">
        <v>93</v>
      </c>
      <c r="Q61" s="1298"/>
      <c r="R61" s="1298"/>
      <c r="S61" s="1298"/>
      <c r="T61" s="1184"/>
      <c r="U61" s="1184" t="s">
        <v>2285</v>
      </c>
      <c r="V61" s="1184"/>
      <c r="W61" s="1184"/>
      <c r="X61" s="1184"/>
      <c r="Y61" s="1341"/>
      <c r="Z61" s="1187"/>
      <c r="AA61" s="1190"/>
      <c r="AB61" s="1187"/>
      <c r="AC61" s="1187"/>
      <c r="AD61" s="1187"/>
    </row>
    <row customHeight="1" ht="9">
      <c r="A62" s="1186"/>
      <c r="B62" s="1240">
        <v>45</v>
      </c>
      <c r="C62" s="1184"/>
      <c r="D62" s="1308" t="s">
        <v>2286</v>
      </c>
      <c r="E62" s="1184"/>
      <c r="F62" s="1184"/>
      <c r="G62" s="1184"/>
      <c r="H62" s="1232"/>
      <c r="I62" s="1346">
        <f>INDEX(TEMPLATE_NUMBER_POINT_FHD,B62,MATCH(TEMPLATE_SPHERE,TEMPLATE_SPHERE_LIST_FOR_NOTE,0))</f>
        <v>0</v>
      </c>
      <c r="J62" s="1346">
        <f>INDEX(TEMPLATE_DATA_POINT_FHD,B62,MATCH(TEMPLATE_SPHERE,TEMPLATE_SPHERE_LIST_FOR_NOTE,0))</f>
        <v>0</v>
      </c>
      <c r="K62" s="1346">
        <f>INDEX(TEMPLATE_NOTE_POINT_FHD,B62,MATCH(TEMPLATE_SPHERE,TEMPLATE_SPHERE_LIST_FOR_NOTE,0))</f>
        <v>0</v>
      </c>
      <c r="L62" s="1185" t="str">
        <f>IF(I62=0,"",I62)</f>
        <v/>
      </c>
      <c r="M62" s="1185" t="str">
        <f>IF(J62=0,"",J62)</f>
        <v/>
      </c>
      <c r="N62" s="1185" t="str">
        <f>IF(K62=0,"",K62)</f>
        <v/>
      </c>
      <c r="O62" s="1298"/>
      <c r="P62" s="1298" t="s">
        <v>109</v>
      </c>
      <c r="Q62" s="1298"/>
      <c r="R62" s="1298"/>
      <c r="S62" s="1298"/>
      <c r="T62" s="1184"/>
      <c r="U62" s="1184" t="s">
        <v>2287</v>
      </c>
      <c r="V62" s="1184"/>
      <c r="W62" s="1184"/>
      <c r="X62" s="1184"/>
      <c r="Y62" s="1341"/>
      <c r="Z62" s="1187"/>
      <c r="AA62" s="1190"/>
      <c r="AB62" s="1187"/>
      <c r="AC62" s="1187"/>
      <c r="AD62" s="1187"/>
    </row>
    <row customHeight="1" ht="18">
      <c r="A63" s="1186"/>
      <c r="B63" s="1240">
        <v>46</v>
      </c>
      <c r="C63" s="1184"/>
      <c r="D63" s="1308" t="s">
        <v>2288</v>
      </c>
      <c r="E63" s="1184"/>
      <c r="F63" s="1184"/>
      <c r="G63" s="1184"/>
      <c r="H63" s="1232"/>
      <c r="I63" s="1346">
        <f>INDEX(TEMPLATE_NUMBER_POINT_FHD,B63,MATCH(TEMPLATE_SPHERE,TEMPLATE_SPHERE_LIST_FOR_NOTE,0))</f>
        <v>0</v>
      </c>
      <c r="J63" s="1346">
        <f>INDEX(TEMPLATE_DATA_POINT_FHD,B63,MATCH(TEMPLATE_SPHERE,TEMPLATE_SPHERE_LIST_FOR_NOTE,0))</f>
        <v>0</v>
      </c>
      <c r="K63" s="1346">
        <f>INDEX(TEMPLATE_NOTE_POINT_FHD,B63,MATCH(TEMPLATE_SPHERE,TEMPLATE_SPHERE_LIST_FOR_NOTE,0))</f>
        <v>0</v>
      </c>
      <c r="L63" s="1185" t="str">
        <f>IF(I63=0,"",I63)</f>
        <v/>
      </c>
      <c r="M63" s="1185" t="str">
        <f>IF(J63=0,"",J63)</f>
        <v/>
      </c>
      <c r="N63" s="1185" t="str">
        <f>IF(K63=0,"",K63)</f>
        <v/>
      </c>
      <c r="O63" s="1298"/>
      <c r="P63" s="1298" t="s">
        <v>145</v>
      </c>
      <c r="Q63" s="1298"/>
      <c r="R63" s="1298"/>
      <c r="S63" s="1298"/>
      <c r="T63" s="1184"/>
      <c r="U63" s="1184" t="s">
        <v>2289</v>
      </c>
      <c r="V63" s="1184"/>
      <c r="W63" s="1184"/>
      <c r="X63" s="1184"/>
      <c r="Y63" s="1341"/>
      <c r="Z63" s="1187"/>
      <c r="AA63" s="1190"/>
      <c r="AB63" s="1187"/>
      <c r="AC63" s="1187"/>
      <c r="AD63" s="1187"/>
    </row>
    <row customHeight="1" ht="18">
      <c r="A64" s="1186"/>
      <c r="B64" s="1240">
        <v>47</v>
      </c>
      <c r="C64" s="1184"/>
      <c r="D64" s="1308" t="s">
        <v>2290</v>
      </c>
      <c r="E64" s="1184"/>
      <c r="F64" s="1184"/>
      <c r="G64" s="1184"/>
      <c r="H64" s="1232"/>
      <c r="I64" s="1346">
        <f>INDEX(TEMPLATE_NUMBER_POINT_FHD,B64,MATCH(TEMPLATE_SPHERE,TEMPLATE_SPHERE_LIST_FOR_NOTE,0))</f>
        <v>0</v>
      </c>
      <c r="J64" s="1346">
        <f>INDEX(TEMPLATE_DATA_POINT_FHD,B64,MATCH(TEMPLATE_SPHERE,TEMPLATE_SPHERE_LIST_FOR_NOTE,0))</f>
        <v>0</v>
      </c>
      <c r="K64" s="1346">
        <f>INDEX(TEMPLATE_NOTE_POINT_FHD,B64,MATCH(TEMPLATE_SPHERE,TEMPLATE_SPHERE_LIST_FOR_NOTE,0))</f>
        <v>0</v>
      </c>
      <c r="L64" s="1185" t="str">
        <f>IF(I64=0,"",I64)</f>
        <v/>
      </c>
      <c r="M64" s="1185" t="str">
        <f>IF(J64=0,"",J64)</f>
        <v/>
      </c>
      <c r="N64" s="1185" t="str">
        <f>IF(K64=0,"",K64)</f>
        <v/>
      </c>
      <c r="O64" s="1298"/>
      <c r="P64" s="1298" t="s">
        <v>146</v>
      </c>
      <c r="Q64" s="1298"/>
      <c r="R64" s="1298"/>
      <c r="S64" s="1298"/>
      <c r="T64" s="1184"/>
      <c r="U64" s="1184" t="s">
        <v>2291</v>
      </c>
      <c r="V64" s="1184"/>
      <c r="W64" s="1184"/>
      <c r="X64" s="1184"/>
      <c r="Y64" s="1341"/>
      <c r="Z64" s="1187"/>
      <c r="AA64" s="1190" t="s">
        <v>2292</v>
      </c>
      <c r="AB64" s="1187"/>
      <c r="AC64" s="1187"/>
      <c r="AD64" s="1187"/>
    </row>
    <row customHeight="1" ht="18">
      <c r="A65" s="1186"/>
      <c r="B65" s="1240">
        <v>48</v>
      </c>
      <c r="C65" s="1184"/>
      <c r="D65" s="1308"/>
      <c r="E65" s="1184"/>
      <c r="F65" s="1184"/>
      <c r="G65" s="1184"/>
      <c r="H65" s="1232"/>
      <c r="I65" s="1346">
        <f>INDEX(TEMPLATE_NUMBER_POINT_FHD,B65,MATCH(TEMPLATE_SPHERE,TEMPLATE_SPHERE_LIST_FOR_NOTE,0))</f>
        <v>0</v>
      </c>
      <c r="J65" s="1346">
        <f>INDEX(TEMPLATE_DATA_POINT_FHD,B65,MATCH(TEMPLATE_SPHERE,TEMPLATE_SPHERE_LIST_FOR_NOTE,0))</f>
        <v>0</v>
      </c>
      <c r="K65" s="1346">
        <f>INDEX(TEMPLATE_NOTE_POINT_FHD,B65,MATCH(TEMPLATE_SPHERE,TEMPLATE_SPHERE_LIST_FOR_NOTE,0))</f>
        <v>0</v>
      </c>
      <c r="L65" s="1185" t="str">
        <f>IF(I65=0,"",I65)</f>
        <v/>
      </c>
      <c r="M65" s="1185" t="str">
        <f>IF(J65=0,"",J65)</f>
        <v/>
      </c>
      <c r="N65" s="1185" t="str">
        <f>IF(K65=0,"",K65)</f>
        <v/>
      </c>
      <c r="O65" s="1298"/>
      <c r="P65" s="1298" t="s">
        <v>2205</v>
      </c>
      <c r="Q65" s="1298"/>
      <c r="R65" s="1298"/>
      <c r="S65" s="1298"/>
      <c r="T65" s="1184"/>
      <c r="U65" s="1184" t="s">
        <v>2293</v>
      </c>
      <c r="V65" s="1184"/>
      <c r="W65" s="1184"/>
      <c r="X65" s="1184"/>
      <c r="Y65" s="1341"/>
      <c r="Z65" s="1187"/>
      <c r="AA65" s="1190"/>
      <c r="AB65" s="1187"/>
      <c r="AC65" s="1187"/>
      <c r="AD65" s="1187"/>
    </row>
    <row customHeight="1" ht="18">
      <c r="A66" s="1186"/>
      <c r="B66" s="1240">
        <v>49</v>
      </c>
      <c r="C66" s="1184"/>
      <c r="D66" s="1308"/>
      <c r="E66" s="1184"/>
      <c r="F66" s="1184"/>
      <c r="G66" s="1184"/>
      <c r="H66" s="1232"/>
      <c r="I66" s="1346">
        <f>INDEX(TEMPLATE_NUMBER_POINT_FHD,B66,MATCH(TEMPLATE_SPHERE,TEMPLATE_SPHERE_LIST_FOR_NOTE,0))</f>
        <v>0</v>
      </c>
      <c r="J66" s="1346">
        <f>INDEX(TEMPLATE_DATA_POINT_FHD,B66,MATCH(TEMPLATE_SPHERE,TEMPLATE_SPHERE_LIST_FOR_NOTE,0))</f>
        <v>0</v>
      </c>
      <c r="K66" s="1346">
        <f>INDEX(TEMPLATE_NOTE_POINT_FHD,B66,MATCH(TEMPLATE_SPHERE,TEMPLATE_SPHERE_LIST_FOR_NOTE,0))</f>
        <v>0</v>
      </c>
      <c r="L66" s="1185" t="str">
        <f>IF(I66=0,"",I66)</f>
        <v/>
      </c>
      <c r="M66" s="1185" t="str">
        <f>IF(J66=0,"",J66)</f>
        <v/>
      </c>
      <c r="N66" s="1185" t="str">
        <f>IF(K66=0,"",K66)</f>
        <v/>
      </c>
      <c r="O66" s="1298"/>
      <c r="P66" s="1298" t="s">
        <v>2209</v>
      </c>
      <c r="Q66" s="1298"/>
      <c r="R66" s="1298"/>
      <c r="S66" s="1298"/>
      <c r="T66" s="1184"/>
      <c r="U66" s="1184" t="s">
        <v>2294</v>
      </c>
      <c r="V66" s="1184"/>
      <c r="W66" s="1184"/>
      <c r="X66" s="1184"/>
      <c r="Y66" s="1341"/>
      <c r="Z66" s="1187"/>
      <c r="AA66" s="1190"/>
      <c r="AB66" s="1187"/>
      <c r="AC66" s="1187"/>
      <c r="AD66" s="1187"/>
    </row>
    <row customHeight="1" ht="27">
      <c r="A67" s="1186"/>
      <c r="B67" s="1240">
        <v>50</v>
      </c>
      <c r="C67" s="1184"/>
      <c r="D67" s="1308"/>
      <c r="E67" s="1184"/>
      <c r="F67" s="1184"/>
      <c r="G67" s="1184"/>
      <c r="H67" s="1232"/>
      <c r="I67" s="1346">
        <f>INDEX(TEMPLATE_NUMBER_POINT_FHD,B67,MATCH(TEMPLATE_SPHERE,TEMPLATE_SPHERE_LIST_FOR_NOTE,0))</f>
        <v>0</v>
      </c>
      <c r="J67" s="1346">
        <f>INDEX(TEMPLATE_DATA_POINT_FHD,B67,MATCH(TEMPLATE_SPHERE,TEMPLATE_SPHERE_LIST_FOR_NOTE,0))</f>
        <v>0</v>
      </c>
      <c r="K67" s="1346">
        <f>INDEX(TEMPLATE_NOTE_POINT_FHD,B67,MATCH(TEMPLATE_SPHERE,TEMPLATE_SPHERE_LIST_FOR_NOTE,0))</f>
        <v>0</v>
      </c>
      <c r="L67" s="1185" t="str">
        <f>IF(I67=0,"",I67)</f>
        <v/>
      </c>
      <c r="M67" s="1185" t="str">
        <f>IF(J67=0,"",J67)</f>
        <v/>
      </c>
      <c r="N67" s="1185" t="str">
        <f>IF(K67=0,"",K67)</f>
        <v/>
      </c>
      <c r="O67" s="1298"/>
      <c r="P67" s="1298" t="s">
        <v>2295</v>
      </c>
      <c r="Q67" s="1298"/>
      <c r="R67" s="1298"/>
      <c r="S67" s="1298"/>
      <c r="T67" s="1184"/>
      <c r="U67" s="1184" t="s">
        <v>2296</v>
      </c>
      <c r="V67" s="1184"/>
      <c r="W67" s="1184"/>
      <c r="X67" s="1184"/>
      <c r="Y67" s="1341"/>
      <c r="Z67" s="1187"/>
      <c r="AA67" s="1190"/>
      <c r="AB67" s="1187"/>
      <c r="AC67" s="1187"/>
      <c r="AD67" s="1187"/>
    </row>
    <row customHeight="1" ht="27">
      <c r="A68" s="1186"/>
      <c r="B68" s="1240">
        <v>51</v>
      </c>
      <c r="C68" s="1184"/>
      <c r="D68" s="1308"/>
      <c r="E68" s="1184"/>
      <c r="F68" s="1184"/>
      <c r="G68" s="1184"/>
      <c r="H68" s="1232"/>
      <c r="I68" s="1346">
        <f>INDEX(TEMPLATE_NUMBER_POINT_FHD,B68,MATCH(TEMPLATE_SPHERE,TEMPLATE_SPHERE_LIST_FOR_NOTE,0))</f>
        <v>0</v>
      </c>
      <c r="J68" s="1346">
        <f>INDEX(TEMPLATE_DATA_POINT_FHD,B68,MATCH(TEMPLATE_SPHERE,TEMPLATE_SPHERE_LIST_FOR_NOTE,0))</f>
        <v>0</v>
      </c>
      <c r="K68" s="1346">
        <f>INDEX(TEMPLATE_NOTE_POINT_FHD,B68,MATCH(TEMPLATE_SPHERE,TEMPLATE_SPHERE_LIST_FOR_NOTE,0))</f>
        <v>0</v>
      </c>
      <c r="L68" s="1185" t="str">
        <f>IF(I68=0,"",I68)</f>
        <v/>
      </c>
      <c r="M68" s="1185" t="str">
        <f>IF(J68=0,"",J68)</f>
        <v/>
      </c>
      <c r="N68" s="1185" t="str">
        <f>IF(K68=0,"",K68)</f>
        <v/>
      </c>
      <c r="O68" s="1298"/>
      <c r="P68" s="1298" t="s">
        <v>2297</v>
      </c>
      <c r="Q68" s="1298"/>
      <c r="R68" s="1298"/>
      <c r="S68" s="1298"/>
      <c r="T68" s="1184"/>
      <c r="U68" s="1184" t="s">
        <v>2298</v>
      </c>
      <c r="V68" s="1184"/>
      <c r="W68" s="1184"/>
      <c r="X68" s="1184"/>
      <c r="Y68" s="1341"/>
      <c r="Z68" s="1187"/>
      <c r="AA68" s="1190"/>
      <c r="AB68" s="1187"/>
      <c r="AC68" s="1187"/>
      <c r="AD68" s="1187"/>
    </row>
    <row customHeight="1" ht="9">
      <c r="A69" s="1186"/>
      <c r="B69" s="1240">
        <v>52</v>
      </c>
      <c r="C69" s="1184"/>
      <c r="D69" s="1308" t="s">
        <v>2299</v>
      </c>
      <c r="E69" s="1184"/>
      <c r="F69" s="1184"/>
      <c r="G69" s="1184"/>
      <c r="H69" s="1232"/>
      <c r="I69" s="1346">
        <f>INDEX(TEMPLATE_NUMBER_POINT_FHD,B69,MATCH(TEMPLATE_SPHERE,TEMPLATE_SPHERE_LIST_FOR_NOTE,0))</f>
        <v>0</v>
      </c>
      <c r="J69" s="1346">
        <f>INDEX(TEMPLATE_DATA_POINT_FHD,B69,MATCH(TEMPLATE_SPHERE,TEMPLATE_SPHERE_LIST_FOR_NOTE,0))</f>
        <v>0</v>
      </c>
      <c r="K69" s="1346">
        <f>INDEX(TEMPLATE_NOTE_POINT_FHD,B69,MATCH(TEMPLATE_SPHERE,TEMPLATE_SPHERE_LIST_FOR_NOTE,0))</f>
        <v>0</v>
      </c>
      <c r="L69" s="1185" t="str">
        <f>IF(I69=0,"",I69)</f>
        <v/>
      </c>
      <c r="M69" s="1185" t="str">
        <f>IF(J69=0,"",J69)</f>
        <v/>
      </c>
      <c r="N69" s="1185" t="str">
        <f>IF(K69=0,"",K69)</f>
        <v/>
      </c>
      <c r="O69" s="1298"/>
      <c r="P69" s="1298" t="s">
        <v>147</v>
      </c>
      <c r="Q69" s="1298"/>
      <c r="R69" s="1298"/>
      <c r="S69" s="1298"/>
      <c r="T69" s="1184"/>
      <c r="U69" s="1184" t="s">
        <v>2300</v>
      </c>
      <c r="V69" s="1184"/>
      <c r="W69" s="1184"/>
      <c r="X69" s="1184"/>
      <c r="Y69" s="1341"/>
      <c r="Z69" s="1187"/>
      <c r="AA69" s="1190"/>
      <c r="AB69" s="1187"/>
      <c r="AC69" s="1187"/>
      <c r="AD69" s="1187"/>
    </row>
    <row customHeight="1" ht="27">
      <c r="A70" s="1186"/>
      <c r="B70" s="1240">
        <v>53</v>
      </c>
      <c r="C70" s="1184"/>
      <c r="D70" s="1308"/>
      <c r="E70" s="1184" t="s">
        <v>2284</v>
      </c>
      <c r="F70" s="1184"/>
      <c r="G70" s="1184"/>
      <c r="H70" s="1232"/>
      <c r="I70" s="1346">
        <f>INDEX(TEMPLATE_NUMBER_POINT_FHD,B70,MATCH(TEMPLATE_SPHERE,TEMPLATE_SPHERE_LIST_FOR_NOTE,0))</f>
        <v>0</v>
      </c>
      <c r="J70" s="1346">
        <f>INDEX(TEMPLATE_DATA_POINT_FHD,B70,MATCH(TEMPLATE_SPHERE,TEMPLATE_SPHERE_LIST_FOR_NOTE,0))</f>
        <v>0</v>
      </c>
      <c r="K70" s="1346">
        <f>INDEX(TEMPLATE_NOTE_POINT_FHD,B70,MATCH(TEMPLATE_SPHERE,TEMPLATE_SPHERE_LIST_FOR_NOTE,0))</f>
        <v>0</v>
      </c>
      <c r="L70" s="1185" t="str">
        <f>IF(I70=0,"",I70)</f>
        <v/>
      </c>
      <c r="M70" s="1185" t="str">
        <f>IF(J70=0,"",J70)</f>
        <v/>
      </c>
      <c r="N70" s="1185" t="str">
        <f>IF(K70=0,"",K70)</f>
        <v/>
      </c>
      <c r="O70" s="1298"/>
      <c r="P70" s="1298"/>
      <c r="Q70" s="1298" t="s">
        <v>93</v>
      </c>
      <c r="R70" s="1298"/>
      <c r="S70" s="1298"/>
      <c r="T70" s="1184"/>
      <c r="U70" s="1184"/>
      <c r="V70" s="1184" t="s">
        <v>2301</v>
      </c>
      <c r="W70" s="1184"/>
      <c r="X70" s="1184"/>
      <c r="Y70" s="1341"/>
      <c r="Z70" s="1187"/>
      <c r="AA70" s="1190"/>
      <c r="AB70" s="1187"/>
      <c r="AC70" s="1187"/>
      <c r="AD70" s="1187"/>
    </row>
    <row customHeight="1" ht="36">
      <c r="A71" s="1186"/>
      <c r="B71" s="1240">
        <v>54</v>
      </c>
      <c r="C71" s="1184"/>
      <c r="D71" s="1308"/>
      <c r="E71" s="1184" t="s">
        <v>2286</v>
      </c>
      <c r="F71" s="1184"/>
      <c r="G71" s="1184"/>
      <c r="H71" s="1232"/>
      <c r="I71" s="1346">
        <f>INDEX(TEMPLATE_NUMBER_POINT_FHD,B71,MATCH(TEMPLATE_SPHERE,TEMPLATE_SPHERE_LIST_FOR_NOTE,0))</f>
        <v>0</v>
      </c>
      <c r="J71" s="1346">
        <f>INDEX(TEMPLATE_DATA_POINT_FHD,B71,MATCH(TEMPLATE_SPHERE,TEMPLATE_SPHERE_LIST_FOR_NOTE,0))</f>
        <v>0</v>
      </c>
      <c r="K71" s="1346">
        <f>INDEX(TEMPLATE_NOTE_POINT_FHD,B71,MATCH(TEMPLATE_SPHERE,TEMPLATE_SPHERE_LIST_FOR_NOTE,0))</f>
        <v>0</v>
      </c>
      <c r="L71" s="1185" t="str">
        <f>IF(I71=0,"",I71)</f>
        <v/>
      </c>
      <c r="M71" s="1185" t="str">
        <f>IF(J71=0,"",J71)</f>
        <v/>
      </c>
      <c r="N71" s="1185" t="str">
        <f>IF(K71=0,"",K71)</f>
        <v/>
      </c>
      <c r="O71" s="1298"/>
      <c r="P71" s="1298"/>
      <c r="Q71" s="1298" t="s">
        <v>109</v>
      </c>
      <c r="R71" s="1298"/>
      <c r="S71" s="1298"/>
      <c r="T71" s="1184"/>
      <c r="U71" s="1184"/>
      <c r="V71" s="1184" t="s">
        <v>2302</v>
      </c>
      <c r="W71" s="1184"/>
      <c r="X71" s="1184"/>
      <c r="Y71" s="1341"/>
      <c r="Z71" s="1187"/>
      <c r="AA71" s="1190"/>
      <c r="AB71" s="1187"/>
      <c r="AC71" s="1187"/>
      <c r="AD71" s="1187"/>
    </row>
    <row customHeight="1" ht="27">
      <c r="A72" s="1186"/>
      <c r="B72" s="1240">
        <v>55</v>
      </c>
      <c r="C72" s="1184"/>
      <c r="D72" s="1308"/>
      <c r="E72" s="1184" t="s">
        <v>2288</v>
      </c>
      <c r="F72" s="1184"/>
      <c r="G72" s="1184"/>
      <c r="H72" s="1232"/>
      <c r="I72" s="1346">
        <f>INDEX(TEMPLATE_NUMBER_POINT_FHD,B72,MATCH(TEMPLATE_SPHERE,TEMPLATE_SPHERE_LIST_FOR_NOTE,0))</f>
        <v>0</v>
      </c>
      <c r="J72" s="1346">
        <f>INDEX(TEMPLATE_DATA_POINT_FHD,B72,MATCH(TEMPLATE_SPHERE,TEMPLATE_SPHERE_LIST_FOR_NOTE,0))</f>
        <v>0</v>
      </c>
      <c r="K72" s="1346">
        <f>INDEX(TEMPLATE_NOTE_POINT_FHD,B72,MATCH(TEMPLATE_SPHERE,TEMPLATE_SPHERE_LIST_FOR_NOTE,0))</f>
        <v>0</v>
      </c>
      <c r="L72" s="1185" t="str">
        <f>IF(I72=0,"",I72)</f>
        <v/>
      </c>
      <c r="M72" s="1185" t="str">
        <f>IF(J72=0,"",J72)</f>
        <v/>
      </c>
      <c r="N72" s="1185" t="str">
        <f>IF(K72=0,"",K72)</f>
        <v/>
      </c>
      <c r="O72" s="1298"/>
      <c r="P72" s="1298"/>
      <c r="Q72" s="1298" t="s">
        <v>145</v>
      </c>
      <c r="R72" s="1298"/>
      <c r="S72" s="1298"/>
      <c r="T72" s="1184"/>
      <c r="U72" s="1184"/>
      <c r="V72" s="1184" t="s">
        <v>2303</v>
      </c>
      <c r="W72" s="1184"/>
      <c r="X72" s="1184"/>
      <c r="Y72" s="1341"/>
      <c r="Z72" s="1187"/>
      <c r="AA72" s="1190"/>
      <c r="AB72" s="1187"/>
      <c r="AC72" s="1187"/>
      <c r="AD72" s="1187"/>
    </row>
    <row customHeight="1" ht="36">
      <c r="A73" s="1186"/>
      <c r="B73" s="1240">
        <v>56</v>
      </c>
      <c r="C73" s="1184"/>
      <c r="D73" s="1308"/>
      <c r="E73" s="1184" t="s">
        <v>2290</v>
      </c>
      <c r="F73" s="1184"/>
      <c r="G73" s="1184"/>
      <c r="H73" s="1232"/>
      <c r="I73" s="1346">
        <f>INDEX(TEMPLATE_NUMBER_POINT_FHD,B73,MATCH(TEMPLATE_SPHERE,TEMPLATE_SPHERE_LIST_FOR_NOTE,0))</f>
        <v>0</v>
      </c>
      <c r="J73" s="1346">
        <f>INDEX(TEMPLATE_DATA_POINT_FHD,B73,MATCH(TEMPLATE_SPHERE,TEMPLATE_SPHERE_LIST_FOR_NOTE,0))</f>
        <v>0</v>
      </c>
      <c r="K73" s="1346">
        <f>INDEX(TEMPLATE_NOTE_POINT_FHD,B73,MATCH(TEMPLATE_SPHERE,TEMPLATE_SPHERE_LIST_FOR_NOTE,0))</f>
        <v>0</v>
      </c>
      <c r="L73" s="1185" t="str">
        <f>IF(I73=0,"",I73)</f>
        <v/>
      </c>
      <c r="M73" s="1185" t="str">
        <f>IF(J73=0,"",J73)</f>
        <v/>
      </c>
      <c r="N73" s="1185" t="str">
        <f>IF(K73=0,"",K73)</f>
        <v/>
      </c>
      <c r="O73" s="1298"/>
      <c r="P73" s="1298"/>
      <c r="Q73" s="1298" t="s">
        <v>146</v>
      </c>
      <c r="R73" s="1298"/>
      <c r="S73" s="1298"/>
      <c r="T73" s="1184"/>
      <c r="U73" s="1184"/>
      <c r="V73" s="1184" t="s">
        <v>2304</v>
      </c>
      <c r="W73" s="1184"/>
      <c r="X73" s="1184"/>
      <c r="Y73" s="1341"/>
      <c r="Z73" s="1187"/>
      <c r="AA73" s="1190"/>
      <c r="AB73" s="1187"/>
      <c r="AC73" s="1187"/>
      <c r="AD73" s="1187"/>
    </row>
    <row customHeight="1" ht="18">
      <c r="A74" s="1186"/>
      <c r="B74" s="1240">
        <v>57</v>
      </c>
      <c r="C74" s="1184"/>
      <c r="D74" s="1308"/>
      <c r="E74" s="1184" t="s">
        <v>2299</v>
      </c>
      <c r="F74" s="1184"/>
      <c r="G74" s="1184"/>
      <c r="H74" s="1232"/>
      <c r="I74" s="1346">
        <f>INDEX(TEMPLATE_NUMBER_POINT_FHD,B74,MATCH(TEMPLATE_SPHERE,TEMPLATE_SPHERE_LIST_FOR_NOTE,0))</f>
        <v>0</v>
      </c>
      <c r="J74" s="1346">
        <f>INDEX(TEMPLATE_DATA_POINT_FHD,B74,MATCH(TEMPLATE_SPHERE,TEMPLATE_SPHERE_LIST_FOR_NOTE,0))</f>
        <v>0</v>
      </c>
      <c r="K74" s="1346">
        <f>INDEX(TEMPLATE_NOTE_POINT_FHD,B74,MATCH(TEMPLATE_SPHERE,TEMPLATE_SPHERE_LIST_FOR_NOTE,0))</f>
        <v>0</v>
      </c>
      <c r="L74" s="1185" t="str">
        <f>IF(I74=0,"",I74)</f>
        <v/>
      </c>
      <c r="M74" s="1185" t="str">
        <f>IF(J74=0,"",J74)</f>
        <v/>
      </c>
      <c r="N74" s="1185" t="str">
        <f>IF(K74=0,"",K74)</f>
        <v/>
      </c>
      <c r="O74" s="1298"/>
      <c r="P74" s="1298"/>
      <c r="Q74" s="1298" t="s">
        <v>147</v>
      </c>
      <c r="R74" s="1298"/>
      <c r="S74" s="1298"/>
      <c r="T74" s="1184"/>
      <c r="U74" s="1184"/>
      <c r="V74" s="1184" t="s">
        <v>2305</v>
      </c>
      <c r="W74" s="1184"/>
      <c r="X74" s="1184"/>
      <c r="Y74" s="1341"/>
      <c r="Z74" s="1187"/>
      <c r="AA74" s="1190"/>
      <c r="AB74" s="1187"/>
      <c r="AC74" s="1187"/>
      <c r="AD74" s="1187"/>
    </row>
    <row customHeight="1" ht="18">
      <c r="A75" s="1186"/>
      <c r="B75" s="1240">
        <v>58</v>
      </c>
      <c r="C75" s="1184"/>
      <c r="D75" s="1308"/>
      <c r="E75" s="1184"/>
      <c r="F75" s="1184" t="s">
        <v>2284</v>
      </c>
      <c r="G75" s="1184"/>
      <c r="H75" s="1232"/>
      <c r="I75" s="1346">
        <f>INDEX(TEMPLATE_NUMBER_POINT_FHD,B75,MATCH(TEMPLATE_SPHERE,TEMPLATE_SPHERE_LIST_FOR_NOTE,0))</f>
        <v>0</v>
      </c>
      <c r="J75" s="1346">
        <f>INDEX(TEMPLATE_DATA_POINT_FHD,B75,MATCH(TEMPLATE_SPHERE,TEMPLATE_SPHERE_LIST_FOR_NOTE,0))</f>
        <v>0</v>
      </c>
      <c r="K75" s="1346">
        <f>INDEX(TEMPLATE_NOTE_POINT_FHD,B75,MATCH(TEMPLATE_SPHERE,TEMPLATE_SPHERE_LIST_FOR_NOTE,0))</f>
        <v>0</v>
      </c>
      <c r="L75" s="1185" t="str">
        <f>IF(I75=0,"",I75)</f>
        <v/>
      </c>
      <c r="M75" s="1185" t="str">
        <f>IF(J75=0,"",J75)</f>
        <v/>
      </c>
      <c r="N75" s="1185" t="str">
        <f>IF(K75=0,"",K75)</f>
        <v/>
      </c>
      <c r="O75" s="1298"/>
      <c r="P75" s="1298"/>
      <c r="Q75" s="1298"/>
      <c r="R75" s="1298" t="s">
        <v>93</v>
      </c>
      <c r="S75" s="1298"/>
      <c r="T75" s="1184"/>
      <c r="U75" s="1184"/>
      <c r="V75" s="1184"/>
      <c r="W75" s="1184" t="s">
        <v>2306</v>
      </c>
      <c r="X75" s="1184"/>
      <c r="Y75" s="1341"/>
      <c r="Z75" s="1187"/>
      <c r="AA75" s="1190"/>
      <c r="AB75" s="1187"/>
      <c r="AC75" s="1187"/>
      <c r="AD75" s="1187"/>
    </row>
    <row customHeight="1" ht="36">
      <c r="A76" s="1186"/>
      <c r="B76" s="1240">
        <v>59</v>
      </c>
      <c r="C76" s="1184"/>
      <c r="D76" s="1308"/>
      <c r="E76" s="1184"/>
      <c r="F76" s="1184" t="s">
        <v>2286</v>
      </c>
      <c r="G76" s="1184"/>
      <c r="H76" s="1232"/>
      <c r="I76" s="1346">
        <f>INDEX(TEMPLATE_NUMBER_POINT_FHD,B76,MATCH(TEMPLATE_SPHERE,TEMPLATE_SPHERE_LIST_FOR_NOTE,0))</f>
        <v>0</v>
      </c>
      <c r="J76" s="1346">
        <f>INDEX(TEMPLATE_DATA_POINT_FHD,B76,MATCH(TEMPLATE_SPHERE,TEMPLATE_SPHERE_LIST_FOR_NOTE,0))</f>
        <v>0</v>
      </c>
      <c r="K76" s="1346">
        <f>INDEX(TEMPLATE_NOTE_POINT_FHD,B76,MATCH(TEMPLATE_SPHERE,TEMPLATE_SPHERE_LIST_FOR_NOTE,0))</f>
        <v>0</v>
      </c>
      <c r="L76" s="1185" t="str">
        <f>IF(I76=0,"",I76)</f>
        <v/>
      </c>
      <c r="M76" s="1185" t="str">
        <f>IF(J76=0,"",J76)</f>
        <v/>
      </c>
      <c r="N76" s="1185" t="str">
        <f>IF(K76=0,"",K76)</f>
        <v/>
      </c>
      <c r="O76" s="1298"/>
      <c r="P76" s="1298"/>
      <c r="Q76" s="1298"/>
      <c r="R76" s="1298" t="s">
        <v>109</v>
      </c>
      <c r="S76" s="1298"/>
      <c r="T76" s="1184"/>
      <c r="U76" s="1184"/>
      <c r="V76" s="1184"/>
      <c r="W76" s="1184" t="s">
        <v>2307</v>
      </c>
      <c r="X76" s="1184"/>
      <c r="Y76" s="1341"/>
      <c r="Z76" s="1187"/>
      <c r="AA76" s="1190"/>
      <c r="AB76" s="1187"/>
      <c r="AC76" s="1187"/>
      <c r="AD76" s="1187"/>
    </row>
    <row customHeight="1" ht="18">
      <c r="A77" s="1186"/>
      <c r="B77" s="1240">
        <v>60</v>
      </c>
      <c r="C77" s="1184"/>
      <c r="D77" s="1308"/>
      <c r="E77" s="1184"/>
      <c r="F77" s="1184" t="s">
        <v>2288</v>
      </c>
      <c r="G77" s="1184"/>
      <c r="H77" s="1232"/>
      <c r="I77" s="1346">
        <f>INDEX(TEMPLATE_NUMBER_POINT_FHD,B77,MATCH(TEMPLATE_SPHERE,TEMPLATE_SPHERE_LIST_FOR_NOTE,0))</f>
        <v>0</v>
      </c>
      <c r="J77" s="1346">
        <f>INDEX(TEMPLATE_DATA_POINT_FHD,B77,MATCH(TEMPLATE_SPHERE,TEMPLATE_SPHERE_LIST_FOR_NOTE,0))</f>
        <v>0</v>
      </c>
      <c r="K77" s="1346">
        <f>INDEX(TEMPLATE_NOTE_POINT_FHD,B77,MATCH(TEMPLATE_SPHERE,TEMPLATE_SPHERE_LIST_FOR_NOTE,0))</f>
        <v>0</v>
      </c>
      <c r="L77" s="1185" t="str">
        <f>IF(I77=0,"",I77)</f>
        <v/>
      </c>
      <c r="M77" s="1185" t="str">
        <f>IF(J77=0,"",J77)</f>
        <v/>
      </c>
      <c r="N77" s="1185" t="str">
        <f>IF(K77=0,"",K77)</f>
        <v/>
      </c>
      <c r="O77" s="1298"/>
      <c r="P77" s="1298"/>
      <c r="Q77" s="1298"/>
      <c r="R77" s="1298" t="s">
        <v>145</v>
      </c>
      <c r="S77" s="1298"/>
      <c r="T77" s="1184"/>
      <c r="U77" s="1184"/>
      <c r="V77" s="1184"/>
      <c r="W77" s="1184" t="s">
        <v>2308</v>
      </c>
      <c r="X77" s="1184"/>
      <c r="Y77" s="1341"/>
      <c r="Z77" s="1187"/>
      <c r="AA77" s="1190"/>
      <c r="AB77" s="1187"/>
      <c r="AC77" s="1187"/>
      <c r="AD77" s="1187"/>
    </row>
    <row customHeight="1" ht="72">
      <c r="A78" s="1186"/>
      <c r="B78" s="1240">
        <v>61</v>
      </c>
      <c r="C78" s="1184" t="s">
        <v>2284</v>
      </c>
      <c r="D78" s="1308"/>
      <c r="E78" s="1184"/>
      <c r="F78" s="1184"/>
      <c r="G78" s="1184"/>
      <c r="H78" s="1232"/>
      <c r="I78" s="1346" t="str">
        <f>INDEX(TEMPLATE_NUMBER_POINT_FHD,B78,MATCH(TEMPLATE_SPHERE,TEMPLATE_SPHERE_LIST_FOR_NOTE,0))</f>
        <v>7</v>
      </c>
      <c r="J78" s="1346"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346"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185" t="str">
        <f>IF(I78=0,"",I78)</f>
        <v>7</v>
      </c>
      <c r="M78" s="1185"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185"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298" t="s">
        <v>93</v>
      </c>
      <c r="P78" s="1298"/>
      <c r="Q78" s="1298"/>
      <c r="R78" s="1298"/>
      <c r="S78" s="1298"/>
      <c r="T78" s="1184" t="s">
        <v>629</v>
      </c>
      <c r="U78" s="1184"/>
      <c r="V78" s="1184"/>
      <c r="W78" s="1184"/>
      <c r="X78" s="1184"/>
      <c r="Y78" s="1341"/>
      <c r="Z78" s="1187" t="s">
        <v>2309</v>
      </c>
      <c r="AA78" s="1190"/>
      <c r="AB78" s="1187"/>
      <c r="AC78" s="1187"/>
      <c r="AD78" s="1187"/>
    </row>
    <row customHeight="1" ht="36">
      <c r="A79" s="1186"/>
      <c r="B79" s="1240">
        <v>62</v>
      </c>
      <c r="C79" s="1184" t="s">
        <v>2286</v>
      </c>
      <c r="D79" s="1308"/>
      <c r="E79" s="1184"/>
      <c r="F79" s="1184"/>
      <c r="G79" s="1184"/>
      <c r="H79" s="1232"/>
      <c r="I79" s="1346" t="str">
        <f>INDEX(TEMPLATE_NUMBER_POINT_FHD,B79,MATCH(TEMPLATE_SPHERE,TEMPLATE_SPHERE_LIST_FOR_NOTE,0))</f>
        <v>8</v>
      </c>
      <c r="J79" s="1346"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346"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185" t="str">
        <f>IF(I79=0,"",I79)</f>
        <v>8</v>
      </c>
      <c r="M79" s="1185" t="str">
        <f>IF(J79=0,"",J79)</f>
        <v>Тепловая нагрузка по договорам, заключенным в рамках осуществления регулируемых видов деятельности</v>
      </c>
      <c r="N79" s="1185"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298" t="s">
        <v>109</v>
      </c>
      <c r="P79" s="1298"/>
      <c r="Q79" s="1298"/>
      <c r="R79" s="1298"/>
      <c r="S79" s="1298"/>
      <c r="T79" s="1184" t="s">
        <v>2310</v>
      </c>
      <c r="U79" s="1184"/>
      <c r="V79" s="1184"/>
      <c r="W79" s="1184"/>
      <c r="X79" s="1184"/>
      <c r="Y79" s="1341"/>
      <c r="Z79" s="1187" t="s">
        <v>2311</v>
      </c>
      <c r="AA79" s="1190"/>
      <c r="AB79" s="1187"/>
      <c r="AC79" s="1187"/>
      <c r="AD79" s="1187"/>
    </row>
    <row customHeight="1" ht="45">
      <c r="A80" s="1186"/>
      <c r="B80" s="1240">
        <v>63</v>
      </c>
      <c r="C80" s="1184" t="s">
        <v>2288</v>
      </c>
      <c r="D80" s="1308"/>
      <c r="E80" s="1184"/>
      <c r="F80" s="1184"/>
      <c r="G80" s="1184"/>
      <c r="H80" s="1232"/>
      <c r="I80" s="1346" t="str">
        <f>INDEX(TEMPLATE_NUMBER_POINT_FHD,B80,MATCH(TEMPLATE_SPHERE,TEMPLATE_SPHERE_LIST_FOR_NOTE,0))</f>
        <v>9</v>
      </c>
      <c r="J80" s="1346"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346"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185" t="str">
        <f>IF(I80=0,"",I80)</f>
        <v>9</v>
      </c>
      <c r="M80" s="1185" t="str">
        <f>IF(J80=0,"",J80)</f>
        <v>Объем вырабатываемой регулируемой организацией тепловой энергии в рамках осуществления регулируемых видов деятельности</v>
      </c>
      <c r="N80" s="1185"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298" t="s">
        <v>145</v>
      </c>
      <c r="P80" s="1298"/>
      <c r="Q80" s="1298"/>
      <c r="R80" s="1298"/>
      <c r="S80" s="1298"/>
      <c r="T80" s="1184" t="s">
        <v>2312</v>
      </c>
      <c r="U80" s="1184"/>
      <c r="V80" s="1184"/>
      <c r="W80" s="1184"/>
      <c r="X80" s="1184"/>
      <c r="Y80" s="1341"/>
      <c r="Z80" s="1187" t="s">
        <v>2313</v>
      </c>
      <c r="AA80" s="1190"/>
      <c r="AB80" s="1187"/>
      <c r="AC80" s="1187"/>
      <c r="AD80" s="1187"/>
    </row>
    <row customHeight="1" ht="36">
      <c r="A81" s="1186"/>
      <c r="B81" s="1240">
        <v>64</v>
      </c>
      <c r="C81" s="1184" t="s">
        <v>2290</v>
      </c>
      <c r="D81" s="1308"/>
      <c r="E81" s="1184"/>
      <c r="F81" s="1184"/>
      <c r="G81" s="1184"/>
      <c r="H81" s="1232"/>
      <c r="I81" s="1346" t="str">
        <f>INDEX(TEMPLATE_NUMBER_POINT_FHD,B81,MATCH(TEMPLATE_SPHERE,TEMPLATE_SPHERE_LIST_FOR_NOTE,0))</f>
        <v>9.1</v>
      </c>
      <c r="J81" s="1346"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346" t="str">
        <f>INDEX(TEMPLATE_NOTE_POINT_FHD,B81,MATCH(TEMPLATE_SPHERE,TEMPLATE_SPHERE_LIST_FOR_NOTE,0))</f>
        <v>Информация указывается только едиными теплоснабжающими организациями.</v>
      </c>
      <c r="L81" s="1185" t="str">
        <f>IF(I81=0,"",I81)</f>
        <v>9.1</v>
      </c>
      <c r="M81" s="1185" t="str">
        <f>IF(J81=0,"",J81)</f>
        <v>Объем приобретаемой регулируемой организацией тепловой энергии в рамках осуществления регулируемых видов деятельности</v>
      </c>
      <c r="N81" s="1185" t="str">
        <f>IF(K81=0,"",K81)</f>
        <v>Информация указывается только едиными теплоснабжающими организациями.</v>
      </c>
      <c r="O81" s="1298" t="s">
        <v>2196</v>
      </c>
      <c r="P81" s="1298"/>
      <c r="Q81" s="1298"/>
      <c r="R81" s="1298"/>
      <c r="S81" s="1298"/>
      <c r="T81" s="1184" t="s">
        <v>2314</v>
      </c>
      <c r="U81" s="1184"/>
      <c r="V81" s="1184"/>
      <c r="W81" s="1184"/>
      <c r="X81" s="1184"/>
      <c r="Y81" s="1341"/>
      <c r="Z81" s="1187" t="s">
        <v>2315</v>
      </c>
      <c r="AA81" s="1190"/>
      <c r="AB81" s="1187"/>
      <c r="AC81" s="1187"/>
      <c r="AD81" s="1187"/>
    </row>
    <row customHeight="1" ht="90">
      <c r="A82" s="1186"/>
      <c r="B82" s="1240">
        <v>65</v>
      </c>
      <c r="C82" s="1184" t="s">
        <v>2299</v>
      </c>
      <c r="D82" s="1308"/>
      <c r="E82" s="1184"/>
      <c r="F82" s="1184"/>
      <c r="G82" s="1184"/>
      <c r="H82" s="1232"/>
      <c r="I82" s="1346" t="str">
        <f>INDEX(TEMPLATE_NUMBER_POINT_FHD,B82,MATCH(TEMPLATE_SPHERE,TEMPLATE_SPHERE_LIST_FOR_NOTE,0))</f>
        <v>10</v>
      </c>
      <c r="J82" s="1346"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346"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185" t="str">
        <f>IF(I82=0,"",I82)</f>
        <v>10</v>
      </c>
      <c r="M82" s="1185"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185"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298" t="s">
        <v>146</v>
      </c>
      <c r="P82" s="1298"/>
      <c r="Q82" s="1298"/>
      <c r="R82" s="1298"/>
      <c r="S82" s="1298"/>
      <c r="T82" s="1184" t="s">
        <v>2316</v>
      </c>
      <c r="U82" s="1184"/>
      <c r="V82" s="1184"/>
      <c r="W82" s="1184"/>
      <c r="X82" s="1184"/>
      <c r="Y82" s="1341"/>
      <c r="Z82" s="1187" t="s">
        <v>2317</v>
      </c>
      <c r="AA82" s="1190"/>
      <c r="AB82" s="1187"/>
      <c r="AC82" s="1187"/>
      <c r="AD82" s="1187"/>
    </row>
    <row customHeight="1" ht="9">
      <c r="A83" s="1186"/>
      <c r="B83" s="1240">
        <v>66</v>
      </c>
      <c r="C83" s="1184"/>
      <c r="D83" s="1308"/>
      <c r="E83" s="1184"/>
      <c r="F83" s="1184"/>
      <c r="G83" s="1184"/>
      <c r="H83" s="1232"/>
      <c r="I83" s="1346" t="str">
        <f>INDEX(TEMPLATE_NUMBER_POINT_FHD,B83,MATCH(TEMPLATE_SPHERE,TEMPLATE_SPHERE_LIST_FOR_NOTE,0))</f>
        <v>10.1</v>
      </c>
      <c r="J83" s="1346" t="str">
        <f>INDEX(TEMPLATE_DATA_POINT_FHD,B83,MATCH(TEMPLATE_SPHERE,TEMPLATE_SPHERE_LIST_FOR_NOTE,0))</f>
        <v>По приборам учёта </v>
      </c>
      <c r="K83" s="1346">
        <f>INDEX(TEMPLATE_NOTE_POINT_FHD,B83,MATCH(TEMPLATE_SPHERE,TEMPLATE_SPHERE_LIST_FOR_NOTE,0))</f>
        <v>0</v>
      </c>
      <c r="L83" s="1185" t="str">
        <f>IF(I83=0,"",I83)</f>
        <v>10.1</v>
      </c>
      <c r="M83" s="1185" t="str">
        <f>IF(J83=0,"",J83)</f>
        <v>По приборам учёта </v>
      </c>
      <c r="N83" s="1185" t="str">
        <f>IF(K83=0,"",K83)</f>
        <v/>
      </c>
      <c r="O83" s="1298" t="s">
        <v>2205</v>
      </c>
      <c r="P83" s="1298"/>
      <c r="Q83" s="1298"/>
      <c r="R83" s="1298"/>
      <c r="S83" s="1298"/>
      <c r="T83" s="1184" t="s">
        <v>2318</v>
      </c>
      <c r="U83" s="1184"/>
      <c r="V83" s="1184"/>
      <c r="W83" s="1184"/>
      <c r="X83" s="1184"/>
      <c r="Y83" s="1341"/>
      <c r="Z83" s="1187"/>
      <c r="AA83" s="1190"/>
      <c r="AB83" s="1187"/>
      <c r="AC83" s="1187"/>
      <c r="AD83" s="1187"/>
    </row>
    <row customHeight="1" ht="54">
      <c r="A84" s="1186"/>
      <c r="B84" s="1240">
        <v>67</v>
      </c>
      <c r="C84" s="1184"/>
      <c r="D84" s="1308"/>
      <c r="E84" s="1184"/>
      <c r="F84" s="1184"/>
      <c r="G84" s="1184"/>
      <c r="H84" s="1232"/>
      <c r="I84" s="1346" t="str">
        <f>INDEX(TEMPLATE_NUMBER_POINT_FHD,B84,MATCH(TEMPLATE_SPHERE,TEMPLATE_SPHERE_LIST_FOR_NOTE,0))</f>
        <v>10.1.1</v>
      </c>
      <c r="J84" s="1346"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346">
        <f>INDEX(TEMPLATE_NOTE_POINT_FHD,B84,MATCH(TEMPLATE_SPHERE,TEMPLATE_SPHERE_LIST_FOR_NOTE,0))</f>
        <v>0</v>
      </c>
      <c r="L84" s="1185" t="str">
        <f>IF(I84=0,"",I84)</f>
        <v>10.1.1</v>
      </c>
      <c r="M84" s="1185"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185" t="str">
        <f>IF(K84=0,"",K84)</f>
        <v/>
      </c>
      <c r="O84" s="1298" t="s">
        <v>2319</v>
      </c>
      <c r="P84" s="1298"/>
      <c r="Q84" s="1298"/>
      <c r="R84" s="1298"/>
      <c r="S84" s="1298"/>
      <c r="T84" s="1184" t="s">
        <v>2320</v>
      </c>
      <c r="U84" s="1184"/>
      <c r="V84" s="1184"/>
      <c r="W84" s="1184"/>
      <c r="X84" s="1184"/>
      <c r="Y84" s="1341"/>
      <c r="Z84" s="1187"/>
      <c r="AA84" s="1190"/>
      <c r="AB84" s="1187"/>
      <c r="AC84" s="1187"/>
      <c r="AD84" s="1187"/>
    </row>
    <row customHeight="1" ht="9">
      <c r="A85" s="1186"/>
      <c r="B85" s="1240">
        <v>68</v>
      </c>
      <c r="C85" s="1184"/>
      <c r="D85" s="1308"/>
      <c r="E85" s="1184"/>
      <c r="F85" s="1184"/>
      <c r="G85" s="1184"/>
      <c r="H85" s="1232"/>
      <c r="I85" s="1346" t="str">
        <f>INDEX(TEMPLATE_NUMBER_POINT_FHD,B85,MATCH(TEMPLATE_SPHERE,TEMPLATE_SPHERE_LIST_FOR_NOTE,0))</f>
        <v>10.2</v>
      </c>
      <c r="J85" s="1346" t="str">
        <f>INDEX(TEMPLATE_DATA_POINT_FHD,B85,MATCH(TEMPLATE_SPHERE,TEMPLATE_SPHERE_LIST_FOR_NOTE,0))</f>
        <v>Расчётным путём</v>
      </c>
      <c r="K85" s="1346">
        <f>INDEX(TEMPLATE_NOTE_POINT_FHD,B85,MATCH(TEMPLATE_SPHERE,TEMPLATE_SPHERE_LIST_FOR_NOTE,0))</f>
        <v>0</v>
      </c>
      <c r="L85" s="1185" t="str">
        <f>IF(I85=0,"",I85)</f>
        <v>10.2</v>
      </c>
      <c r="M85" s="1185" t="str">
        <f>IF(J85=0,"",J85)</f>
        <v>Расчётным путём</v>
      </c>
      <c r="N85" s="1185" t="str">
        <f>IF(K85=0,"",K85)</f>
        <v/>
      </c>
      <c r="O85" s="1298" t="s">
        <v>2209</v>
      </c>
      <c r="P85" s="1298"/>
      <c r="Q85" s="1298"/>
      <c r="R85" s="1298"/>
      <c r="S85" s="1298"/>
      <c r="T85" s="1184" t="s">
        <v>2321</v>
      </c>
      <c r="U85" s="1184"/>
      <c r="V85" s="1184"/>
      <c r="W85" s="1184"/>
      <c r="X85" s="1184"/>
      <c r="Y85" s="1341"/>
      <c r="Z85" s="1187"/>
      <c r="AA85" s="1190"/>
      <c r="AB85" s="1187"/>
      <c r="AC85" s="1187"/>
      <c r="AD85" s="1187"/>
    </row>
    <row customHeight="1" ht="27">
      <c r="A86" s="1186"/>
      <c r="B86" s="1240">
        <v>69</v>
      </c>
      <c r="C86" s="1184"/>
      <c r="D86" s="1308"/>
      <c r="E86" s="1184"/>
      <c r="F86" s="1184"/>
      <c r="G86" s="1184"/>
      <c r="H86" s="1232"/>
      <c r="I86" s="1346" t="str">
        <f>INDEX(TEMPLATE_NUMBER_POINT_FHD,B86,MATCH(TEMPLATE_SPHERE,TEMPLATE_SPHERE_LIST_FOR_NOTE,0))</f>
        <v>10.3</v>
      </c>
      <c r="J86" s="1346" t="str">
        <f>INDEX(TEMPLATE_DATA_POINT_FHD,B86,MATCH(TEMPLATE_SPHERE,TEMPLATE_SPHERE_LIST_FOR_NOTE,0))</f>
        <v>По нормативам потребления коммунальных услуг и нормативам потребления коммунальных ресурсов</v>
      </c>
      <c r="K86" s="1346">
        <f>INDEX(TEMPLATE_NOTE_POINT_FHD,B86,MATCH(TEMPLATE_SPHERE,TEMPLATE_SPHERE_LIST_FOR_NOTE,0))</f>
        <v>0</v>
      </c>
      <c r="L86" s="1185" t="str">
        <f>IF(I86=0,"",I86)</f>
        <v>10.3</v>
      </c>
      <c r="M86" s="1185" t="str">
        <f>IF(J86=0,"",J86)</f>
        <v>По нормативам потребления коммунальных услуг и нормативам потребления коммунальных ресурсов</v>
      </c>
      <c r="N86" s="1185" t="str">
        <f>IF(K86=0,"",K86)</f>
        <v/>
      </c>
      <c r="O86" s="1298" t="s">
        <v>2322</v>
      </c>
      <c r="P86" s="1298"/>
      <c r="Q86" s="1298"/>
      <c r="R86" s="1298"/>
      <c r="S86" s="1298"/>
      <c r="T86" s="1184" t="s">
        <v>2323</v>
      </c>
      <c r="U86" s="1184"/>
      <c r="V86" s="1184"/>
      <c r="W86" s="1184"/>
      <c r="X86" s="1184"/>
      <c r="Y86" s="1341"/>
      <c r="Z86" s="1187"/>
      <c r="AA86" s="1190"/>
      <c r="AB86" s="1187"/>
      <c r="AC86" s="1187"/>
      <c r="AD86" s="1187"/>
    </row>
    <row customHeight="1" ht="36">
      <c r="A87" s="1186"/>
      <c r="B87" s="1240">
        <v>70</v>
      </c>
      <c r="C87" s="1184" t="s">
        <v>2324</v>
      </c>
      <c r="D87" s="1308"/>
      <c r="E87" s="1184"/>
      <c r="F87" s="1184"/>
      <c r="G87" s="1184"/>
      <c r="H87" s="1232"/>
      <c r="I87" s="1346" t="str">
        <f>INDEX(TEMPLATE_NUMBER_POINT_FHD,B87,MATCH(TEMPLATE_SPHERE,TEMPLATE_SPHERE_LIST_FOR_NOTE,0))</f>
        <v>11</v>
      </c>
      <c r="J87" s="1346"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346">
        <f>INDEX(TEMPLATE_NOTE_POINT_FHD,B87,MATCH(TEMPLATE_SPHERE,TEMPLATE_SPHERE_LIST_FOR_NOTE,0))</f>
        <v>0</v>
      </c>
      <c r="L87" s="1185" t="str">
        <f>IF(I87=0,"",I87)</f>
        <v>11</v>
      </c>
      <c r="M87" s="1185" t="str">
        <f>IF(J87=0,"",J87)</f>
        <v>Нормативы технологических потерь при передаче тепловой энергии, теплоносителя по тепловым сетям, утвержденные уполномоченным органом</v>
      </c>
      <c r="N87" s="1185" t="str">
        <f>IF(K87=0,"",K87)</f>
        <v/>
      </c>
      <c r="O87" s="1298" t="s">
        <v>147</v>
      </c>
      <c r="P87" s="1298"/>
      <c r="Q87" s="1298"/>
      <c r="R87" s="1298"/>
      <c r="S87" s="1298"/>
      <c r="T87" s="1184" t="s">
        <v>2325</v>
      </c>
      <c r="U87" s="1184"/>
      <c r="V87" s="1184"/>
      <c r="W87" s="1184"/>
      <c r="X87" s="1184"/>
      <c r="Y87" s="1341"/>
      <c r="Z87" s="1187"/>
      <c r="AA87" s="1190"/>
      <c r="AB87" s="1187"/>
      <c r="AC87" s="1187"/>
      <c r="AD87" s="1187"/>
    </row>
    <row customHeight="1" ht="18">
      <c r="A88" s="1186"/>
      <c r="B88" s="1240">
        <v>71</v>
      </c>
      <c r="C88" s="1184" t="s">
        <v>2326</v>
      </c>
      <c r="D88" s="1308"/>
      <c r="E88" s="1184"/>
      <c r="F88" s="1184"/>
      <c r="G88" s="1184"/>
      <c r="H88" s="1232"/>
      <c r="I88" s="1346" t="str">
        <f>INDEX(TEMPLATE_NUMBER_POINT_FHD,B88,MATCH(TEMPLATE_SPHERE,TEMPLATE_SPHERE_LIST_FOR_NOTE,0))</f>
        <v>12</v>
      </c>
      <c r="J88" s="1346" t="str">
        <f>INDEX(TEMPLATE_DATA_POINT_FHD,B88,MATCH(TEMPLATE_SPHERE,TEMPLATE_SPHERE_LIST_FOR_NOTE,0))</f>
        <v>Фактический объем потерь при передаче тепловой энергии</v>
      </c>
      <c r="K88" s="1346">
        <f>INDEX(TEMPLATE_NOTE_POINT_FHD,B88,MATCH(TEMPLATE_SPHERE,TEMPLATE_SPHERE_LIST_FOR_NOTE,0))</f>
        <v>0</v>
      </c>
      <c r="L88" s="1185" t="str">
        <f>IF(I88=0,"",I88)</f>
        <v>12</v>
      </c>
      <c r="M88" s="1185" t="str">
        <f>IF(J88=0,"",J88)</f>
        <v>Фактический объем потерь при передаче тепловой энергии</v>
      </c>
      <c r="N88" s="1185" t="str">
        <f>IF(K88=0,"",K88)</f>
        <v/>
      </c>
      <c r="O88" s="1298" t="s">
        <v>148</v>
      </c>
      <c r="P88" s="1298"/>
      <c r="Q88" s="1298"/>
      <c r="R88" s="1298"/>
      <c r="S88" s="1298"/>
      <c r="T88" s="1184" t="s">
        <v>661</v>
      </c>
      <c r="U88" s="1184"/>
      <c r="V88" s="1184"/>
      <c r="W88" s="1184"/>
      <c r="X88" s="1184"/>
      <c r="Y88" s="1341"/>
      <c r="Z88" s="1187"/>
      <c r="AA88" s="1190"/>
      <c r="AB88" s="1187"/>
      <c r="AC88" s="1187"/>
      <c r="AD88" s="1187"/>
    </row>
    <row customHeight="1" ht="18">
      <c r="A89" s="1186"/>
      <c r="B89" s="1240">
        <v>72</v>
      </c>
      <c r="C89" s="1184" t="s">
        <v>2327</v>
      </c>
      <c r="D89" s="1308" t="s">
        <v>2324</v>
      </c>
      <c r="E89" s="1184" t="s">
        <v>2324</v>
      </c>
      <c r="F89" s="1184" t="s">
        <v>2290</v>
      </c>
      <c r="G89" s="1184"/>
      <c r="H89" s="1232"/>
      <c r="I89" s="1346" t="str">
        <f>INDEX(TEMPLATE_NUMBER_POINT_FHD,B89,MATCH(TEMPLATE_SPHERE,TEMPLATE_SPHERE_LIST_FOR_NOTE,0))</f>
        <v>13</v>
      </c>
      <c r="J89" s="1346" t="str">
        <f>INDEX(TEMPLATE_DATA_POINT_FHD,B89,MATCH(TEMPLATE_SPHERE,TEMPLATE_SPHERE_LIST_FOR_NOTE,0))</f>
        <v>Среднесписочная численность основного производственного персонала</v>
      </c>
      <c r="K89" s="1346">
        <f>INDEX(TEMPLATE_NOTE_POINT_FHD,B89,MATCH(TEMPLATE_SPHERE,TEMPLATE_SPHERE_LIST_FOR_NOTE,0))</f>
        <v>0</v>
      </c>
      <c r="L89" s="1185" t="str">
        <f>IF(I89=0,"",I89)</f>
        <v>13</v>
      </c>
      <c r="M89" s="1185" t="str">
        <f>IF(J89=0,"",J89)</f>
        <v>Среднесписочная численность основного производственного персонала</v>
      </c>
      <c r="N89" s="1185" t="str">
        <f>IF(K89=0,"",K89)</f>
        <v/>
      </c>
      <c r="O89" s="1298" t="s">
        <v>149</v>
      </c>
      <c r="P89" s="1298" t="s">
        <v>148</v>
      </c>
      <c r="Q89" s="1298" t="s">
        <v>148</v>
      </c>
      <c r="R89" s="1298" t="s">
        <v>146</v>
      </c>
      <c r="S89" s="1298"/>
      <c r="T89" s="1184" t="s">
        <v>669</v>
      </c>
      <c r="U89" s="1184" t="s">
        <v>669</v>
      </c>
      <c r="V89" s="1184" t="s">
        <v>669</v>
      </c>
      <c r="W89" s="1184" t="s">
        <v>669</v>
      </c>
      <c r="X89" s="1184"/>
      <c r="Y89" s="1341"/>
      <c r="Z89" s="1187"/>
      <c r="AA89" s="1190"/>
      <c r="AB89" s="1187"/>
      <c r="AC89" s="1187"/>
      <c r="AD89" s="1187"/>
    </row>
    <row customHeight="1" ht="27">
      <c r="A90" s="1186"/>
      <c r="B90" s="1240">
        <v>73</v>
      </c>
      <c r="C90" s="1184" t="s">
        <v>2328</v>
      </c>
      <c r="D90" s="1308"/>
      <c r="E90" s="1184"/>
      <c r="F90" s="1184"/>
      <c r="G90" s="1184"/>
      <c r="H90" s="1232"/>
      <c r="I90" s="1346" t="str">
        <f>INDEX(TEMPLATE_NUMBER_POINT_FHD,B90,MATCH(TEMPLATE_SPHERE,TEMPLATE_SPHERE_LIST_FOR_NOTE,0))</f>
        <v>14</v>
      </c>
      <c r="J90" s="1346" t="str">
        <f>INDEX(TEMPLATE_DATA_POINT_FHD,B90,MATCH(TEMPLATE_SPHERE,TEMPLATE_SPHERE_LIST_FOR_NOTE,0))</f>
        <v>Среднесписочная численность административно-управленческого персонала</v>
      </c>
      <c r="K90" s="1346">
        <f>INDEX(TEMPLATE_NOTE_POINT_FHD,B90,MATCH(TEMPLATE_SPHERE,TEMPLATE_SPHERE_LIST_FOR_NOTE,0))</f>
        <v>0</v>
      </c>
      <c r="L90" s="1185" t="str">
        <f>IF(I90=0,"",I90)</f>
        <v>14</v>
      </c>
      <c r="M90" s="1185" t="str">
        <f>IF(J90=0,"",J90)</f>
        <v>Среднесписочная численность административно-управленческого персонала</v>
      </c>
      <c r="N90" s="1185" t="str">
        <f>IF(K90=0,"",K90)</f>
        <v/>
      </c>
      <c r="O90" s="1298" t="s">
        <v>150</v>
      </c>
      <c r="P90" s="1298"/>
      <c r="Q90" s="1298"/>
      <c r="R90" s="1298"/>
      <c r="S90" s="1298"/>
      <c r="T90" s="1184" t="s">
        <v>671</v>
      </c>
      <c r="U90" s="1184"/>
      <c r="V90" s="1184"/>
      <c r="W90" s="1184"/>
      <c r="X90" s="1184"/>
      <c r="Y90" s="1341"/>
      <c r="Z90" s="1187"/>
      <c r="AA90" s="1190"/>
      <c r="AB90" s="1187"/>
      <c r="AC90" s="1187"/>
      <c r="AD90" s="1187"/>
    </row>
    <row customHeight="1" ht="18">
      <c r="A91" s="1186"/>
      <c r="B91" s="1240">
        <v>74</v>
      </c>
      <c r="C91" s="1184"/>
      <c r="D91" s="1308" t="s">
        <v>2326</v>
      </c>
      <c r="E91" s="1184" t="s">
        <v>2326</v>
      </c>
      <c r="F91" s="1184"/>
      <c r="G91" s="1184"/>
      <c r="H91" s="1232"/>
      <c r="I91" s="1346">
        <f>INDEX(TEMPLATE_NUMBER_POINT_FHD,B91,MATCH(TEMPLATE_SPHERE,TEMPLATE_SPHERE_LIST_FOR_NOTE,0))</f>
        <v>0</v>
      </c>
      <c r="J91" s="1346">
        <f>INDEX(TEMPLATE_DATA_POINT_FHD,B91,MATCH(TEMPLATE_SPHERE,TEMPLATE_SPHERE_LIST_FOR_NOTE,0))</f>
        <v>0</v>
      </c>
      <c r="K91" s="1346">
        <f>INDEX(TEMPLATE_NOTE_POINT_FHD,B91,MATCH(TEMPLATE_SPHERE,TEMPLATE_SPHERE_LIST_FOR_NOTE,0))</f>
        <v>0</v>
      </c>
      <c r="L91" s="1185" t="str">
        <f>IF(I91=0,"",I91)</f>
        <v/>
      </c>
      <c r="M91" s="1185" t="str">
        <f>IF(J91=0,"",J91)</f>
        <v/>
      </c>
      <c r="N91" s="1185" t="str">
        <f>IF(K91=0,"",K91)</f>
        <v/>
      </c>
      <c r="O91" s="1298"/>
      <c r="P91" s="1298" t="s">
        <v>149</v>
      </c>
      <c r="Q91" s="1298" t="s">
        <v>149</v>
      </c>
      <c r="R91" s="1298"/>
      <c r="S91" s="1298"/>
      <c r="T91" s="1184"/>
      <c r="U91" s="1184" t="s">
        <v>2329</v>
      </c>
      <c r="V91" s="1184" t="s">
        <v>2329</v>
      </c>
      <c r="W91" s="1184"/>
      <c r="X91" s="1184"/>
      <c r="Y91" s="1341"/>
      <c r="Z91" s="1187"/>
      <c r="AA91" s="1190"/>
      <c r="AB91" s="1187"/>
      <c r="AC91" s="1187"/>
      <c r="AD91" s="1187"/>
    </row>
    <row customHeight="1" ht="27">
      <c r="A92" s="1186"/>
      <c r="B92" s="1240">
        <v>75</v>
      </c>
      <c r="C92" s="1184"/>
      <c r="D92" s="1308" t="s">
        <v>2327</v>
      </c>
      <c r="E92" s="1184"/>
      <c r="F92" s="1184"/>
      <c r="G92" s="1184"/>
      <c r="H92" s="1232"/>
      <c r="I92" s="1346">
        <f>INDEX(TEMPLATE_NUMBER_POINT_FHD,B92,MATCH(TEMPLATE_SPHERE,TEMPLATE_SPHERE_LIST_FOR_NOTE,0))</f>
        <v>0</v>
      </c>
      <c r="J92" s="1346">
        <f>INDEX(TEMPLATE_DATA_POINT_FHD,B92,MATCH(TEMPLATE_SPHERE,TEMPLATE_SPHERE_LIST_FOR_NOTE,0))</f>
        <v>0</v>
      </c>
      <c r="K92" s="1346">
        <f>INDEX(TEMPLATE_NOTE_POINT_FHD,B92,MATCH(TEMPLATE_SPHERE,TEMPLATE_SPHERE_LIST_FOR_NOTE,0))</f>
        <v>0</v>
      </c>
      <c r="L92" s="1185" t="str">
        <f>IF(I92=0,"",I92)</f>
        <v/>
      </c>
      <c r="M92" s="1185" t="str">
        <f>IF(J92=0,"",J92)</f>
        <v/>
      </c>
      <c r="N92" s="1185" t="str">
        <f>IF(K92=0,"",K92)</f>
        <v/>
      </c>
      <c r="O92" s="1298"/>
      <c r="P92" s="1298" t="s">
        <v>150</v>
      </c>
      <c r="Q92" s="1298"/>
      <c r="R92" s="1298"/>
      <c r="S92" s="1298"/>
      <c r="T92" s="1184"/>
      <c r="U92" s="1184" t="s">
        <v>2330</v>
      </c>
      <c r="V92" s="1184"/>
      <c r="W92" s="1184"/>
      <c r="X92" s="1184"/>
      <c r="Y92" s="1341"/>
      <c r="Z92" s="1187"/>
      <c r="AA92" s="1190" t="s">
        <v>2331</v>
      </c>
      <c r="AB92" s="1187"/>
      <c r="AC92" s="1187"/>
      <c r="AD92" s="1187"/>
    </row>
    <row customHeight="1" ht="27">
      <c r="A93" s="1186"/>
      <c r="B93" s="1240">
        <v>76</v>
      </c>
      <c r="C93" s="1184"/>
      <c r="D93" s="1308"/>
      <c r="E93" s="1184"/>
      <c r="F93" s="1184"/>
      <c r="G93" s="1184"/>
      <c r="H93" s="1232"/>
      <c r="I93" s="1346">
        <f>INDEX(TEMPLATE_NUMBER_POINT_FHD,B93,MATCH(TEMPLATE_SPHERE,TEMPLATE_SPHERE_LIST_FOR_NOTE,0))</f>
        <v>0</v>
      </c>
      <c r="J93" s="1346">
        <f>INDEX(TEMPLATE_DATA_POINT_FHD,B93,MATCH(TEMPLATE_SPHERE,TEMPLATE_SPHERE_LIST_FOR_NOTE,0))</f>
        <v>0</v>
      </c>
      <c r="K93" s="1346">
        <f>INDEX(TEMPLATE_NOTE_POINT_FHD,B93,MATCH(TEMPLATE_SPHERE,TEMPLATE_SPHERE_LIST_FOR_NOTE,0))</f>
        <v>0</v>
      </c>
      <c r="L93" s="1185" t="str">
        <f>IF(I93=0,"",I93)</f>
        <v/>
      </c>
      <c r="M93" s="1185" t="str">
        <f>IF(J93=0,"",J93)</f>
        <v/>
      </c>
      <c r="N93" s="1185" t="str">
        <f>IF(K93=0,"",K93)</f>
        <v/>
      </c>
      <c r="O93" s="1298"/>
      <c r="P93" s="1298" t="s">
        <v>2237</v>
      </c>
      <c r="Q93" s="1298"/>
      <c r="R93" s="1298"/>
      <c r="S93" s="1298"/>
      <c r="T93" s="1184"/>
      <c r="U93" s="1184" t="s">
        <v>2332</v>
      </c>
      <c r="V93" s="1184"/>
      <c r="W93" s="1184"/>
      <c r="X93" s="1184"/>
      <c r="Y93" s="1341"/>
      <c r="Z93" s="1187"/>
      <c r="AA93" s="1190" t="s">
        <v>2333</v>
      </c>
      <c r="AB93" s="1187"/>
      <c r="AC93" s="1187"/>
      <c r="AD93" s="1187"/>
    </row>
    <row customHeight="1" ht="45">
      <c r="A94" s="1186"/>
      <c r="B94" s="1240">
        <v>77</v>
      </c>
      <c r="C94" s="1184"/>
      <c r="D94" s="1308" t="s">
        <v>2328</v>
      </c>
      <c r="E94" s="1184"/>
      <c r="F94" s="1184"/>
      <c r="G94" s="1184"/>
      <c r="H94" s="1232"/>
      <c r="I94" s="1346">
        <f>INDEX(TEMPLATE_NUMBER_POINT_FHD,B94,MATCH(TEMPLATE_SPHERE,TEMPLATE_SPHERE_LIST_FOR_NOTE,0))</f>
        <v>0</v>
      </c>
      <c r="J94" s="1346">
        <f>INDEX(TEMPLATE_DATA_POINT_FHD,B94,MATCH(TEMPLATE_SPHERE,TEMPLATE_SPHERE_LIST_FOR_NOTE,0))</f>
        <v>0</v>
      </c>
      <c r="K94" s="1346">
        <f>INDEX(TEMPLATE_NOTE_POINT_FHD,B94,MATCH(TEMPLATE_SPHERE,TEMPLATE_SPHERE_LIST_FOR_NOTE,0))</f>
        <v>0</v>
      </c>
      <c r="L94" s="1185" t="str">
        <f>IF(I94=0,"",I94)</f>
        <v/>
      </c>
      <c r="M94" s="1185" t="str">
        <f>IF(J94=0,"",J94)</f>
        <v/>
      </c>
      <c r="N94" s="1185" t="str">
        <f>IF(K94=0,"",K94)</f>
        <v/>
      </c>
      <c r="O94" s="1298"/>
      <c r="P94" s="1298" t="s">
        <v>1049</v>
      </c>
      <c r="Q94" s="1298"/>
      <c r="R94" s="1298"/>
      <c r="S94" s="1298"/>
      <c r="T94" s="1184"/>
      <c r="U94" s="1184" t="s">
        <v>2334</v>
      </c>
      <c r="V94" s="1184"/>
      <c r="W94" s="1184"/>
      <c r="X94" s="1184"/>
      <c r="Y94" s="1341"/>
      <c r="Z94" s="1187"/>
      <c r="AA94" s="1190" t="s">
        <v>2335</v>
      </c>
      <c r="AB94" s="1187"/>
      <c r="AC94" s="1187"/>
      <c r="AD94" s="1187"/>
    </row>
    <row customHeight="1" ht="99">
      <c r="A95" s="1186"/>
      <c r="B95" s="1240">
        <v>78</v>
      </c>
      <c r="C95" s="1184" t="s">
        <v>2336</v>
      </c>
      <c r="D95" s="1308"/>
      <c r="E95" s="1184"/>
      <c r="F95" s="1184"/>
      <c r="G95" s="1184"/>
      <c r="H95" s="1232"/>
      <c r="I95" s="1346" t="str">
        <f>INDEX(TEMPLATE_NUMBER_POINT_FHD,B95,MATCH(TEMPLATE_SPHERE,TEMPLATE_SPHERE_LIST_FOR_NOTE,0))</f>
        <v>15</v>
      </c>
      <c r="J95" s="1346"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346">
        <f>INDEX(TEMPLATE_NOTE_POINT_FHD,B95,MATCH(TEMPLATE_SPHERE,TEMPLATE_SPHERE_LIST_FOR_NOTE,0))</f>
        <v>0</v>
      </c>
      <c r="L95" s="1185" t="str">
        <f>IF(I95=0,"",I95)</f>
        <v>15</v>
      </c>
      <c r="M95" s="1185"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185" t="str">
        <f>IF(K95=0,"",K95)</f>
        <v/>
      </c>
      <c r="O95" s="1298" t="s">
        <v>1049</v>
      </c>
      <c r="P95" s="1298"/>
      <c r="Q95" s="1298"/>
      <c r="R95" s="1298"/>
      <c r="S95" s="1298"/>
      <c r="T95" s="1184" t="s">
        <v>2337</v>
      </c>
      <c r="U95" s="1184"/>
      <c r="V95" s="1184"/>
      <c r="W95" s="1184"/>
      <c r="X95" s="1184"/>
      <c r="Y95" s="1341"/>
      <c r="Z95" s="1187"/>
      <c r="AA95" s="1190"/>
      <c r="AB95" s="1187"/>
      <c r="AC95" s="1187"/>
      <c r="AD95" s="1187"/>
    </row>
    <row customHeight="1" ht="99">
      <c r="A96" s="1186"/>
      <c r="B96" s="1240">
        <v>79</v>
      </c>
      <c r="C96" s="1184" t="s">
        <v>1328</v>
      </c>
      <c r="D96" s="1308"/>
      <c r="E96" s="1184"/>
      <c r="F96" s="1184"/>
      <c r="G96" s="1184"/>
      <c r="H96" s="1232"/>
      <c r="I96" s="1346" t="str">
        <f>INDEX(TEMPLATE_NUMBER_POINT_FHD,B96,MATCH(TEMPLATE_SPHERE,TEMPLATE_SPHERE_LIST_FOR_NOTE,0))</f>
        <v>16</v>
      </c>
      <c r="J96" s="1346"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346"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185" t="str">
        <f>IF(I96=0,"",I96)</f>
        <v>16</v>
      </c>
      <c r="M96" s="1185"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185"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298" t="s">
        <v>1098</v>
      </c>
      <c r="P96" s="1298"/>
      <c r="Q96" s="1298"/>
      <c r="R96" s="1298"/>
      <c r="S96" s="1298"/>
      <c r="T96" s="1184" t="s">
        <v>2338</v>
      </c>
      <c r="U96" s="1184"/>
      <c r="V96" s="1184"/>
      <c r="W96" s="1184"/>
      <c r="X96" s="1184"/>
      <c r="Y96" s="1341"/>
      <c r="Z96" s="1187" t="s">
        <v>2339</v>
      </c>
      <c r="AA96" s="1190"/>
      <c r="AB96" s="1187"/>
      <c r="AC96" s="1187"/>
      <c r="AD96" s="1187"/>
    </row>
    <row customHeight="1" ht="63">
      <c r="A97" s="1186"/>
      <c r="B97" s="1240">
        <v>80</v>
      </c>
      <c r="C97" s="1184" t="s">
        <v>2340</v>
      </c>
      <c r="D97" s="1308"/>
      <c r="E97" s="1184"/>
      <c r="F97" s="1184"/>
      <c r="G97" s="1184"/>
      <c r="H97" s="1232"/>
      <c r="I97" s="1346" t="str">
        <f>INDEX(TEMPLATE_NUMBER_POINT_FHD,B97,MATCH(TEMPLATE_SPHERE,TEMPLATE_SPHERE_LIST_FOR_NOTE,0))</f>
        <v>17</v>
      </c>
      <c r="J97" s="1346"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346"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185" t="str">
        <f>IF(I97=0,"",I97)</f>
        <v>17</v>
      </c>
      <c r="M97" s="1185"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185" t="str">
        <f>IF(K97=0,"",K97)</f>
        <v>Регулируемыми организациями указывается информация с по договорам, заключенным в рамках осуществления регулируемой деятельности.</v>
      </c>
      <c r="O97" s="1298" t="s">
        <v>1100</v>
      </c>
      <c r="P97" s="1298"/>
      <c r="Q97" s="1298"/>
      <c r="R97" s="1298"/>
      <c r="S97" s="1298"/>
      <c r="T97" s="1184" t="s">
        <v>2341</v>
      </c>
      <c r="U97" s="1184"/>
      <c r="V97" s="1184"/>
      <c r="W97" s="1184"/>
      <c r="X97" s="1184"/>
      <c r="Y97" s="1341"/>
      <c r="Z97" s="1187" t="s">
        <v>2342</v>
      </c>
      <c r="AA97" s="1190"/>
      <c r="AB97" s="1187"/>
      <c r="AC97" s="1187"/>
      <c r="AD97" s="1187"/>
    </row>
    <row customHeight="1" ht="63">
      <c r="A98" s="1186"/>
      <c r="B98" s="1240">
        <v>81</v>
      </c>
      <c r="C98" s="1184" t="s">
        <v>2343</v>
      </c>
      <c r="D98" s="1308"/>
      <c r="E98" s="1184"/>
      <c r="F98" s="1184"/>
      <c r="G98" s="1184"/>
      <c r="H98" s="1232"/>
      <c r="I98" s="1346" t="str">
        <f>INDEX(TEMPLATE_NUMBER_POINT_FHD,B98,MATCH(TEMPLATE_SPHERE,TEMPLATE_SPHERE_LIST_FOR_NOTE,0))</f>
        <v>18</v>
      </c>
      <c r="J98" s="1346"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346"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185" t="str">
        <f>IF(I98=0,"",I98)</f>
        <v>18</v>
      </c>
      <c r="M98" s="1185"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185" t="str">
        <f>IF(K98=0,"",K98)</f>
        <v>Регулируемыми организациями указывается информация с по договорам, заключенным в рамках осуществления регулируемой деятельности.</v>
      </c>
      <c r="O98" s="1298" t="s">
        <v>1102</v>
      </c>
      <c r="P98" s="1298"/>
      <c r="Q98" s="1298"/>
      <c r="R98" s="1298"/>
      <c r="S98" s="1298"/>
      <c r="T98" s="1184" t="s">
        <v>2344</v>
      </c>
      <c r="U98" s="1184"/>
      <c r="V98" s="1184"/>
      <c r="W98" s="1184"/>
      <c r="X98" s="1184"/>
      <c r="Y98" s="1341"/>
      <c r="Z98" s="1187" t="s">
        <v>2342</v>
      </c>
      <c r="AA98" s="1190"/>
      <c r="AB98" s="1187"/>
      <c r="AC98" s="1187"/>
      <c r="AD98" s="1187"/>
    </row>
    <row customHeight="1" ht="90">
      <c r="A99" s="1186"/>
      <c r="B99" s="1240">
        <v>82</v>
      </c>
      <c r="C99" s="1184" t="s">
        <v>2345</v>
      </c>
      <c r="D99" s="1308"/>
      <c r="E99" s="1184"/>
      <c r="F99" s="1184"/>
      <c r="G99" s="1184"/>
      <c r="H99" s="1232"/>
      <c r="I99" s="1346" t="str">
        <f>INDEX(TEMPLATE_NUMBER_POINT_FHD,B99,MATCH(TEMPLATE_SPHERE,TEMPLATE_SPHERE_LIST_FOR_NOTE,0))</f>
        <v>19</v>
      </c>
      <c r="J99" s="1346"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346" t="str">
        <f>INDEX(TEMPLATE_NOTE_POINT_FHD,B99,MATCH(TEMPLATE_SPHERE,TEMPLATE_SPHERE_LIST_FOR_NOTE,0))</f>
        <v>Указывается ссылка на документ, предварительно загруженный в хранилище файлов ФГИС ЕИАС.</v>
      </c>
      <c r="L99" s="1185" t="str">
        <f>IF(I99=0,"",I99)</f>
        <v>19</v>
      </c>
      <c r="M99" s="1185"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185" t="str">
        <f>IF(K99=0,"",K99)</f>
        <v>Указывается ссылка на документ, предварительно загруженный в хранилище файлов ФГИС ЕИАС.</v>
      </c>
      <c r="O99" s="1298" t="s">
        <v>1108</v>
      </c>
      <c r="P99" s="1298"/>
      <c r="Q99" s="1298"/>
      <c r="R99" s="1298"/>
      <c r="S99" s="1298"/>
      <c r="T99" s="1184" t="s">
        <v>2346</v>
      </c>
      <c r="U99" s="1184"/>
      <c r="V99" s="1184"/>
      <c r="W99" s="1184"/>
      <c r="X99" s="1184"/>
      <c r="Y99" s="1341"/>
      <c r="Z99" s="1187" t="s">
        <v>626</v>
      </c>
      <c r="AA99" s="1190"/>
      <c r="AB99" s="1187"/>
      <c r="AC99" s="1187"/>
      <c r="AD99" s="1187"/>
    </row>
    <row customHeight="1" ht="27">
      <c r="A100" s="1186"/>
      <c r="B100" s="1240">
        <v>83</v>
      </c>
      <c r="C100" s="1184"/>
      <c r="D100" s="1308"/>
      <c r="E100" s="1184"/>
      <c r="F100" s="1184"/>
      <c r="G100" s="1184"/>
      <c r="H100" s="1232"/>
      <c r="I100" s="1346" t="str">
        <f>INDEX(TEMPLATE_NUMBER_POINT_FHD,B100,MATCH(TEMPLATE_SPHERE,TEMPLATE_SPHERE_LIST_FOR_NOTE,0))</f>
        <v>19.1</v>
      </c>
      <c r="J100" s="1346" t="str">
        <f>INDEX(TEMPLATE_DATA_POINT_FHD,B100,MATCH(TEMPLATE_SPHERE,TEMPLATE_SPHERE_LIST_FOR_NOTE,0))</f>
        <v>Информация о показателях физического износа объектов теплоснабжения</v>
      </c>
      <c r="K100" s="1346" t="str">
        <f>INDEX(TEMPLATE_NOTE_POINT_FHD,B100,MATCH(TEMPLATE_SPHERE,TEMPLATE_SPHERE_LIST_FOR_NOTE,0))</f>
        <v>Указывается ссылка на документ, предварительно загруженный в хранилище файлов ФГИС ЕИАС.</v>
      </c>
      <c r="L100" s="1185" t="str">
        <f>IF(I100=0,"",I100)</f>
        <v>19.1</v>
      </c>
      <c r="M100" s="1185" t="str">
        <f>IF(J100=0,"",J100)</f>
        <v>Информация о показателях физического износа объектов теплоснабжения</v>
      </c>
      <c r="N100" s="1185" t="str">
        <f>IF(K100=0,"",K100)</f>
        <v>Указывается ссылка на документ, предварительно загруженный в хранилище файлов ФГИС ЕИАС.</v>
      </c>
      <c r="O100" s="1298" t="s">
        <v>2347</v>
      </c>
      <c r="P100" s="1298"/>
      <c r="Q100" s="1298"/>
      <c r="R100" s="1298"/>
      <c r="S100" s="1298"/>
      <c r="T100" s="1184" t="s">
        <v>2348</v>
      </c>
      <c r="U100" s="1184"/>
      <c r="V100" s="1184"/>
      <c r="W100" s="1184"/>
      <c r="X100" s="1184"/>
      <c r="Y100" s="1341"/>
      <c r="Z100" s="1187" t="s">
        <v>626</v>
      </c>
      <c r="AA100" s="1190"/>
      <c r="AB100" s="1187"/>
      <c r="AC100" s="1187"/>
      <c r="AD100" s="1187"/>
    </row>
    <row customHeight="1" ht="27">
      <c r="A101" s="1186"/>
      <c r="B101" s="1240">
        <v>84</v>
      </c>
      <c r="C101" s="1184"/>
      <c r="D101" s="1308"/>
      <c r="E101" s="1184"/>
      <c r="F101" s="1184"/>
      <c r="G101" s="1184"/>
      <c r="H101" s="1232"/>
      <c r="I101" s="1346" t="str">
        <f>INDEX(TEMPLATE_NUMBER_POINT_FHD,B101,MATCH(TEMPLATE_SPHERE,TEMPLATE_SPHERE_LIST_FOR_NOTE,0))</f>
        <v>19.2</v>
      </c>
      <c r="J101" s="1346" t="str">
        <f>INDEX(TEMPLATE_DATA_POINT_FHD,B101,MATCH(TEMPLATE_SPHERE,TEMPLATE_SPHERE_LIST_FOR_NOTE,0))</f>
        <v>Информация о показателях энергетической эффективности объектов теплоснабжения</v>
      </c>
      <c r="K101" s="1346" t="str">
        <f>INDEX(TEMPLATE_NOTE_POINT_FHD,B101,MATCH(TEMPLATE_SPHERE,TEMPLATE_SPHERE_LIST_FOR_NOTE,0))</f>
        <v>Указывается ссылка на документ, предварительно загруженный в хранилище файлов ФГИС ЕИАС.</v>
      </c>
      <c r="L101" s="1185" t="str">
        <f>IF(I101=0,"",I101)</f>
        <v>19.2</v>
      </c>
      <c r="M101" s="1185" t="str">
        <f>IF(J101=0,"",J101)</f>
        <v>Информация о показателях энергетической эффективности объектов теплоснабжения</v>
      </c>
      <c r="N101" s="1185" t="str">
        <f>IF(K101=0,"",K101)</f>
        <v>Указывается ссылка на документ, предварительно загруженный в хранилище файлов ФГИС ЕИАС.</v>
      </c>
      <c r="O101" s="1298" t="s">
        <v>2349</v>
      </c>
      <c r="P101" s="1298"/>
      <c r="Q101" s="1298"/>
      <c r="R101" s="1298"/>
      <c r="S101" s="1298"/>
      <c r="T101" s="1184" t="s">
        <v>2350</v>
      </c>
      <c r="U101" s="1184"/>
      <c r="V101" s="1184"/>
      <c r="W101" s="1184"/>
      <c r="X101" s="1184"/>
      <c r="Y101" s="1341"/>
      <c r="Z101" s="1187" t="s">
        <v>626</v>
      </c>
      <c r="AA101" s="1190"/>
      <c r="AB101" s="1187"/>
      <c r="AC101" s="1187"/>
      <c r="AD101" s="1187"/>
    </row>
    <row customHeight="1" ht="9">
      <c r="A102" s="1186"/>
      <c r="B102" s="1186"/>
      <c r="C102" s="1184"/>
      <c r="D102" s="1184"/>
      <c r="E102" s="1184"/>
      <c r="F102" s="1184"/>
      <c r="G102" s="1184"/>
      <c r="H102" s="1232"/>
      <c r="I102" s="1232"/>
      <c r="J102" s="1232"/>
      <c r="K102" s="1232"/>
      <c r="L102" s="1232"/>
      <c r="M102" s="1184"/>
      <c r="N102" s="1231"/>
      <c r="O102" s="1298"/>
      <c r="P102" s="1298"/>
      <c r="Q102" s="1298"/>
      <c r="R102" s="1298"/>
      <c r="S102" s="1184"/>
      <c r="T102" s="1184"/>
      <c r="U102" s="1184"/>
      <c r="V102" s="1184"/>
      <c r="W102" s="1184"/>
      <c r="X102" s="1184"/>
      <c r="Y102" s="1341"/>
      <c r="Z102" s="1187"/>
      <c r="AA102" s="1190"/>
      <c r="AB102" s="1187"/>
      <c r="AC102" s="1187"/>
      <c r="AD102" s="1187"/>
    </row>
    <row customHeight="1" ht="9">
      <c r="A103" s="1186"/>
      <c r="B103" s="1186"/>
      <c r="C103" s="1184"/>
      <c r="D103" s="1184"/>
      <c r="E103" s="1184"/>
      <c r="F103" s="1184"/>
      <c r="G103" s="1184"/>
      <c r="H103" s="1232"/>
      <c r="I103" s="1232"/>
      <c r="J103" s="1232"/>
      <c r="K103" s="1232"/>
      <c r="L103" s="1232"/>
      <c r="M103" s="1184"/>
      <c r="N103" s="1231"/>
      <c r="O103" s="1298"/>
      <c r="P103" s="1298"/>
      <c r="Q103" s="1298"/>
      <c r="R103" s="1298"/>
      <c r="S103" s="1184"/>
      <c r="T103" s="1184"/>
      <c r="U103" s="1184"/>
      <c r="V103" s="1184"/>
      <c r="W103" s="1184"/>
      <c r="X103" s="1184"/>
      <c r="Y103" s="1341"/>
      <c r="Z103" s="1187"/>
      <c r="AA103" s="1190"/>
      <c r="AB103" s="1187"/>
      <c r="AC103" s="1187"/>
      <c r="AD103" s="1187"/>
    </row>
    <row customHeight="1" ht="9">
      <c r="A104" s="1186"/>
      <c r="B104" s="1186"/>
      <c r="C104" s="1184"/>
      <c r="D104" s="1184"/>
      <c r="E104" s="1184"/>
      <c r="F104" s="1184"/>
      <c r="G104" s="1184"/>
      <c r="H104" s="1232"/>
      <c r="I104" s="1232"/>
      <c r="J104" s="1232"/>
      <c r="K104" s="1232"/>
      <c r="L104" s="1232"/>
      <c r="M104" s="1184"/>
      <c r="N104" s="1231"/>
      <c r="O104" s="1298"/>
      <c r="P104" s="1298"/>
      <c r="Q104" s="1298"/>
      <c r="R104" s="1298"/>
      <c r="S104" s="1184"/>
      <c r="T104" s="1184"/>
      <c r="U104" s="1184"/>
      <c r="V104" s="1184"/>
      <c r="W104" s="1184"/>
      <c r="X104" s="1184"/>
      <c r="Y104" s="1341"/>
      <c r="Z104" s="1187"/>
      <c r="AA104" s="1190"/>
      <c r="AB104" s="1187"/>
      <c r="AC104" s="1187"/>
      <c r="AD104" s="1187"/>
    </row>
    <row customHeight="1" ht="9">
      <c r="A105" s="1186"/>
      <c r="B105" s="1186"/>
      <c r="C105" s="1184"/>
      <c r="D105" s="1184"/>
      <c r="E105" s="1184"/>
      <c r="F105" s="1184"/>
      <c r="G105" s="1184"/>
      <c r="H105" s="1232"/>
      <c r="I105" s="1232"/>
      <c r="J105" s="1232"/>
      <c r="K105" s="1232"/>
      <c r="L105" s="1232"/>
      <c r="M105" s="1184"/>
      <c r="N105" s="1231"/>
      <c r="O105" s="1298"/>
      <c r="P105" s="1298"/>
      <c r="Q105" s="1298"/>
      <c r="R105" s="1298"/>
      <c r="S105" s="1184"/>
      <c r="T105" s="1184"/>
      <c r="U105" s="1184"/>
      <c r="V105" s="1184"/>
      <c r="W105" s="1184"/>
      <c r="X105" s="1184"/>
      <c r="Y105" s="1341"/>
      <c r="Z105" s="1187"/>
      <c r="AA105" s="1190"/>
      <c r="AB105" s="1187"/>
      <c r="AC105" s="1187"/>
      <c r="AD105" s="1187"/>
    </row>
    <row customHeight="1" ht="9">
      <c r="A106" s="1186"/>
      <c r="B106" s="1186"/>
      <c r="C106" s="1184"/>
      <c r="D106" s="1184"/>
      <c r="E106" s="1184"/>
      <c r="F106" s="1184"/>
      <c r="G106" s="1184"/>
      <c r="H106" s="1232"/>
      <c r="I106" s="1232"/>
      <c r="J106" s="1232"/>
      <c r="K106" s="1232"/>
      <c r="L106" s="1232"/>
      <c r="M106" s="1184"/>
      <c r="N106" s="1231"/>
      <c r="O106" s="1298"/>
      <c r="P106" s="1298"/>
      <c r="Q106" s="1298"/>
      <c r="R106" s="1298"/>
      <c r="S106" s="1184"/>
      <c r="T106" s="1184"/>
      <c r="U106" s="1184"/>
      <c r="V106" s="1184"/>
      <c r="W106" s="1184"/>
      <c r="X106" s="1184"/>
      <c r="Y106" s="1341"/>
      <c r="Z106" s="1187"/>
      <c r="AA106" s="1190"/>
      <c r="AB106" s="1187"/>
      <c r="AC106" s="1187"/>
      <c r="AD106" s="1187"/>
    </row>
    <row customHeight="1" ht="9">
      <c r="A107" s="1186"/>
      <c r="B107" s="1186"/>
      <c r="C107" s="1184"/>
      <c r="D107" s="1184"/>
      <c r="E107" s="1184"/>
      <c r="F107" s="1184"/>
      <c r="G107" s="1184"/>
      <c r="H107" s="1232"/>
      <c r="I107" s="1232"/>
      <c r="J107" s="1232"/>
      <c r="K107" s="1232"/>
      <c r="L107" s="1232"/>
      <c r="M107" s="1184"/>
      <c r="N107" s="1231"/>
      <c r="O107" s="1298"/>
      <c r="P107" s="1298"/>
      <c r="Q107" s="1298"/>
      <c r="R107" s="1298"/>
      <c r="S107" s="1184"/>
      <c r="T107" s="1184"/>
      <c r="U107" s="1184"/>
      <c r="V107" s="1184"/>
      <c r="W107" s="1184"/>
      <c r="X107" s="1184"/>
      <c r="Y107" s="1341"/>
      <c r="Z107" s="1187"/>
      <c r="AA107" s="1190"/>
      <c r="AB107" s="1187"/>
      <c r="AC107" s="1187"/>
      <c r="AD107" s="1187"/>
    </row>
    <row customHeight="1" ht="9">
      <c r="A108" s="1186"/>
      <c r="B108" s="1186"/>
      <c r="C108" s="1184"/>
      <c r="D108" s="1184"/>
      <c r="E108" s="1184"/>
      <c r="F108" s="1184"/>
      <c r="G108" s="1184"/>
      <c r="H108" s="1232"/>
      <c r="I108" s="1232"/>
      <c r="J108" s="1232"/>
      <c r="K108" s="1232"/>
      <c r="L108" s="1232"/>
      <c r="M108" s="1184"/>
      <c r="N108" s="1231"/>
      <c r="O108" s="1298"/>
      <c r="P108" s="1298"/>
      <c r="Q108" s="1298"/>
      <c r="R108" s="1298"/>
      <c r="S108" s="1184"/>
      <c r="T108" s="1184"/>
      <c r="U108" s="1184"/>
      <c r="V108" s="1184"/>
      <c r="W108" s="1184"/>
      <c r="X108" s="1184"/>
      <c r="Y108" s="1341"/>
      <c r="Z108" s="1187"/>
      <c r="AA108" s="1190"/>
      <c r="AB108" s="1187"/>
      <c r="AC108" s="1187"/>
      <c r="AD108" s="1187"/>
    </row>
    <row customHeight="1" ht="9">
      <c r="A109" s="1186"/>
      <c r="B109" s="1186"/>
      <c r="C109" s="1184"/>
      <c r="D109" s="1184"/>
      <c r="E109" s="1184"/>
      <c r="F109" s="1184"/>
      <c r="G109" s="1184"/>
      <c r="H109" s="1232"/>
      <c r="I109" s="1232"/>
      <c r="J109" s="1232"/>
      <c r="K109" s="1232"/>
      <c r="L109" s="1232"/>
      <c r="M109" s="1184"/>
      <c r="N109" s="1231"/>
      <c r="O109" s="1298"/>
      <c r="P109" s="1298"/>
      <c r="Q109" s="1298"/>
      <c r="R109" s="1298"/>
      <c r="S109" s="1184"/>
      <c r="T109" s="1184"/>
      <c r="U109" s="1184"/>
      <c r="V109" s="1184"/>
      <c r="W109" s="1184"/>
      <c r="X109" s="1184"/>
      <c r="Y109" s="1341"/>
      <c r="Z109" s="1187"/>
      <c r="AA109" s="1190"/>
      <c r="AB109" s="1187"/>
      <c r="AC109" s="1187"/>
      <c r="AD109" s="1187"/>
    </row>
    <row customHeight="1" ht="9">
      <c r="A110" s="1186"/>
      <c r="B110" s="1186"/>
      <c r="C110" s="1184"/>
      <c r="D110" s="1184"/>
      <c r="E110" s="1184"/>
      <c r="F110" s="1184"/>
      <c r="G110" s="1184"/>
      <c r="H110" s="1232"/>
      <c r="I110" s="1232"/>
      <c r="J110" s="1232"/>
      <c r="K110" s="1232"/>
      <c r="L110" s="1232"/>
      <c r="M110" s="1184"/>
      <c r="N110" s="1231"/>
      <c r="O110" s="1298"/>
      <c r="P110" s="1298"/>
      <c r="Q110" s="1298"/>
      <c r="R110" s="1298"/>
      <c r="S110" s="1184"/>
      <c r="T110" s="1184"/>
      <c r="U110" s="1184"/>
      <c r="V110" s="1184"/>
      <c r="W110" s="1184"/>
      <c r="X110" s="1184"/>
      <c r="Y110" s="1341"/>
      <c r="Z110" s="1187"/>
      <c r="AA110" s="1190"/>
      <c r="AB110" s="1187"/>
      <c r="AC110" s="1187"/>
      <c r="AD110" s="1187"/>
    </row>
    <row customHeight="1" ht="9">
      <c r="A111" s="1186"/>
      <c r="B111" s="1186"/>
      <c r="C111" s="1184"/>
      <c r="D111" s="1184"/>
      <c r="E111" s="1184"/>
      <c r="F111" s="1184"/>
      <c r="G111" s="1184"/>
      <c r="H111" s="1232"/>
      <c r="I111" s="1232"/>
      <c r="J111" s="1232"/>
      <c r="K111" s="1232"/>
      <c r="L111" s="1232"/>
      <c r="M111" s="1184"/>
      <c r="N111" s="1231"/>
      <c r="O111" s="1298"/>
      <c r="P111" s="1298"/>
      <c r="Q111" s="1298"/>
      <c r="R111" s="1298"/>
      <c r="S111" s="1184"/>
      <c r="T111" s="1184"/>
      <c r="U111" s="1184"/>
      <c r="V111" s="1184"/>
      <c r="W111" s="1184"/>
      <c r="X111" s="1184"/>
      <c r="Y111" s="1341"/>
      <c r="Z111" s="1187"/>
      <c r="AA111" s="1190"/>
      <c r="AB111" s="1187"/>
      <c r="AC111" s="1187"/>
      <c r="AD111" s="1187"/>
    </row>
    <row customHeight="1" ht="9">
      <c r="A112" s="1186"/>
      <c r="B112" s="1186"/>
      <c r="C112" s="1184"/>
      <c r="D112" s="1184"/>
      <c r="E112" s="1184"/>
      <c r="F112" s="1184"/>
      <c r="G112" s="1184"/>
      <c r="H112" s="1232"/>
      <c r="I112" s="1232"/>
      <c r="J112" s="1232"/>
      <c r="K112" s="1232"/>
      <c r="L112" s="1232"/>
      <c r="M112" s="1184"/>
      <c r="N112" s="1231"/>
      <c r="O112" s="1298"/>
      <c r="P112" s="1298"/>
      <c r="Q112" s="1298"/>
      <c r="R112" s="1298"/>
      <c r="S112" s="1184"/>
      <c r="T112" s="1184"/>
      <c r="U112" s="1184"/>
      <c r="V112" s="1184"/>
      <c r="W112" s="1184"/>
      <c r="X112" s="1184"/>
      <c r="Y112" s="1341"/>
      <c r="Z112" s="1187"/>
      <c r="AA112" s="1190"/>
      <c r="AB112" s="1187"/>
      <c r="AC112" s="1187"/>
      <c r="AD112" s="1187"/>
    </row>
    <row customHeight="1" ht="9">
      <c r="A113" s="1186"/>
      <c r="B113" s="1186"/>
      <c r="C113" s="1184"/>
      <c r="D113" s="1184"/>
      <c r="E113" s="1184"/>
      <c r="F113" s="1184"/>
      <c r="G113" s="1184"/>
      <c r="H113" s="1232"/>
      <c r="I113" s="1232"/>
      <c r="J113" s="1232"/>
      <c r="K113" s="1232"/>
      <c r="L113" s="1232"/>
      <c r="M113" s="1184"/>
      <c r="N113" s="1231"/>
      <c r="O113" s="1298"/>
      <c r="P113" s="1298"/>
      <c r="Q113" s="1298"/>
      <c r="R113" s="1298"/>
      <c r="S113" s="1184"/>
      <c r="T113" s="1184"/>
      <c r="U113" s="1184"/>
      <c r="V113" s="1184"/>
      <c r="W113" s="1184"/>
      <c r="X113" s="1184"/>
      <c r="Y113" s="1341"/>
      <c r="Z113" s="1187"/>
      <c r="AA113" s="1190"/>
      <c r="AB113" s="1187"/>
      <c r="AC113" s="1187"/>
      <c r="AD113" s="1187"/>
    </row>
    <row customHeight="1" ht="9">
      <c r="A114" s="1186"/>
      <c r="B114" s="1186"/>
      <c r="C114" s="1184"/>
      <c r="D114" s="1184"/>
      <c r="E114" s="1184"/>
      <c r="F114" s="1184"/>
      <c r="G114" s="1184"/>
      <c r="H114" s="1232"/>
      <c r="I114" s="1232"/>
      <c r="J114" s="1232"/>
      <c r="K114" s="1232"/>
      <c r="L114" s="1232"/>
      <c r="M114" s="1184"/>
      <c r="N114" s="1231"/>
      <c r="O114" s="1298"/>
      <c r="P114" s="1298"/>
      <c r="Q114" s="1298"/>
      <c r="R114" s="1298"/>
      <c r="S114" s="1184"/>
      <c r="T114" s="1184"/>
      <c r="U114" s="1184"/>
      <c r="V114" s="1184"/>
      <c r="W114" s="1184"/>
      <c r="X114" s="1184"/>
      <c r="Y114" s="1341"/>
      <c r="Z114" s="1187"/>
      <c r="AA114" s="1190"/>
      <c r="AB114" s="1187"/>
      <c r="AC114" s="1187"/>
      <c r="AD114" s="1187"/>
    </row>
    <row customHeight="1" ht="9">
      <c r="A115" s="1186"/>
      <c r="B115" s="1186"/>
      <c r="C115" s="1184"/>
      <c r="D115" s="1184"/>
      <c r="E115" s="1184"/>
      <c r="F115" s="1184"/>
      <c r="G115" s="1184"/>
      <c r="H115" s="1232"/>
      <c r="I115" s="1232"/>
      <c r="J115" s="1232"/>
      <c r="K115" s="1232"/>
      <c r="L115" s="1232"/>
      <c r="M115" s="1184"/>
      <c r="N115" s="1231"/>
      <c r="O115" s="1298"/>
      <c r="P115" s="1298"/>
      <c r="Q115" s="1298"/>
      <c r="R115" s="1298"/>
      <c r="S115" s="1184"/>
      <c r="T115" s="1184"/>
      <c r="U115" s="1184"/>
      <c r="V115" s="1184"/>
      <c r="W115" s="1184"/>
      <c r="X115" s="1184"/>
      <c r="Y115" s="1341"/>
      <c r="Z115" s="1187"/>
      <c r="AA115" s="1190"/>
      <c r="AB115" s="1187"/>
      <c r="AC115" s="1187"/>
      <c r="AD115" s="1187"/>
    </row>
    <row customHeight="1" ht="9">
      <c r="A116" s="1186"/>
      <c r="B116" s="1186"/>
      <c r="C116" s="1184"/>
      <c r="D116" s="1184"/>
      <c r="E116" s="1184"/>
      <c r="F116" s="1184"/>
      <c r="G116" s="1184"/>
      <c r="H116" s="1232"/>
      <c r="I116" s="1232"/>
      <c r="J116" s="1232"/>
      <c r="K116" s="1232"/>
      <c r="L116" s="1232"/>
      <c r="M116" s="1184"/>
      <c r="N116" s="1231"/>
      <c r="O116" s="1298"/>
      <c r="P116" s="1298"/>
      <c r="Q116" s="1298"/>
      <c r="R116" s="1298"/>
      <c r="S116" s="1184"/>
      <c r="T116" s="1184"/>
      <c r="U116" s="1184"/>
      <c r="V116" s="1184"/>
      <c r="W116" s="1184"/>
      <c r="X116" s="1184"/>
      <c r="Y116" s="1341"/>
      <c r="Z116" s="1187"/>
      <c r="AA116" s="1190"/>
      <c r="AB116" s="1187"/>
      <c r="AC116" s="1187"/>
      <c r="AD116" s="1187"/>
    </row>
    <row customHeight="1" ht="9">
      <c r="A117" s="1186"/>
      <c r="B117" s="1186"/>
      <c r="C117" s="1184"/>
      <c r="D117" s="1184"/>
      <c r="E117" s="1184"/>
      <c r="F117" s="1184"/>
      <c r="G117" s="1184"/>
      <c r="H117" s="1232"/>
      <c r="I117" s="1232"/>
      <c r="J117" s="1232"/>
      <c r="K117" s="1232"/>
      <c r="L117" s="1232"/>
      <c r="M117" s="1184"/>
      <c r="N117" s="1231"/>
      <c r="O117" s="1298"/>
      <c r="P117" s="1298"/>
      <c r="Q117" s="1298"/>
      <c r="R117" s="1298"/>
      <c r="S117" s="1184"/>
      <c r="T117" s="1184"/>
      <c r="U117" s="1184"/>
      <c r="V117" s="1184"/>
      <c r="W117" s="1184"/>
      <c r="X117" s="1184"/>
      <c r="Y117" s="1341"/>
      <c r="Z117" s="1187"/>
      <c r="AA117" s="1190"/>
      <c r="AB117" s="1187"/>
      <c r="AC117" s="1187"/>
      <c r="AD117" s="1187"/>
    </row>
    <row customHeight="1" ht="9">
      <c r="A118" s="1186"/>
      <c r="B118" s="1186"/>
      <c r="C118" s="1184"/>
      <c r="D118" s="1184"/>
      <c r="E118" s="1184"/>
      <c r="F118" s="1184"/>
      <c r="G118" s="1184"/>
      <c r="H118" s="1232"/>
      <c r="I118" s="1232"/>
      <c r="J118" s="1232"/>
      <c r="K118" s="1232"/>
      <c r="L118" s="1232"/>
      <c r="M118" s="1184"/>
      <c r="N118" s="1231"/>
      <c r="O118" s="1298"/>
      <c r="P118" s="1298"/>
      <c r="Q118" s="1298"/>
      <c r="R118" s="1298"/>
      <c r="S118" s="1184"/>
      <c r="T118" s="1184"/>
      <c r="U118" s="1184"/>
      <c r="V118" s="1184"/>
      <c r="W118" s="1184"/>
      <c r="X118" s="1184"/>
      <c r="Y118" s="1341"/>
      <c r="Z118" s="1187"/>
      <c r="AA118" s="1190"/>
      <c r="AB118" s="1187"/>
      <c r="AC118" s="1187"/>
      <c r="AD118" s="1187"/>
    </row>
    <row customHeight="1" ht="9">
      <c r="A119" s="1186"/>
      <c r="B119" s="1186"/>
      <c r="C119" s="1184"/>
      <c r="D119" s="1184"/>
      <c r="E119" s="1184"/>
      <c r="F119" s="1184"/>
      <c r="G119" s="1184"/>
      <c r="H119" s="1232"/>
      <c r="I119" s="1232"/>
      <c r="J119" s="1232"/>
      <c r="K119" s="1232"/>
      <c r="L119" s="1232"/>
      <c r="M119" s="1184"/>
      <c r="N119" s="1231"/>
      <c r="O119" s="1298"/>
      <c r="P119" s="1298"/>
      <c r="Q119" s="1298"/>
      <c r="R119" s="1298"/>
      <c r="S119" s="1184"/>
      <c r="T119" s="1184"/>
      <c r="U119" s="1184"/>
      <c r="V119" s="1184"/>
      <c r="W119" s="1184"/>
      <c r="X119" s="1184"/>
      <c r="Y119" s="1341"/>
      <c r="Z119" s="1187"/>
      <c r="AA119" s="1190"/>
      <c r="AB119" s="1187"/>
      <c r="AC119" s="1187"/>
      <c r="AD119" s="1187"/>
    </row>
    <row customHeight="1" ht="9">
      <c r="A120" s="1186"/>
      <c r="B120" s="1186"/>
      <c r="C120" s="1184"/>
      <c r="D120" s="1184"/>
      <c r="E120" s="1184"/>
      <c r="F120" s="1184"/>
      <c r="G120" s="1184"/>
      <c r="H120" s="1232"/>
      <c r="I120" s="1232"/>
      <c r="J120" s="1232"/>
      <c r="K120" s="1232"/>
      <c r="L120" s="1232"/>
      <c r="M120" s="1184"/>
      <c r="N120" s="1231"/>
      <c r="O120" s="1298"/>
      <c r="P120" s="1298"/>
      <c r="Q120" s="1298"/>
      <c r="R120" s="1298"/>
      <c r="S120" s="1184"/>
      <c r="T120" s="1184"/>
      <c r="U120" s="1184"/>
      <c r="V120" s="1184"/>
      <c r="W120" s="1184"/>
      <c r="X120" s="1184"/>
      <c r="Y120" s="1341"/>
      <c r="Z120" s="1187"/>
      <c r="AA120" s="1190"/>
      <c r="AB120" s="1187"/>
      <c r="AC120" s="1187"/>
      <c r="AD120" s="1187"/>
    </row>
    <row customHeight="1" ht="9">
      <c r="A121" s="1186"/>
      <c r="B121" s="1186"/>
      <c r="C121" s="1184"/>
      <c r="D121" s="1184"/>
      <c r="E121" s="1184"/>
      <c r="F121" s="1184"/>
      <c r="G121" s="1184"/>
      <c r="H121" s="1232"/>
      <c r="I121" s="1232"/>
      <c r="J121" s="1232"/>
      <c r="K121" s="1232"/>
      <c r="L121" s="1232"/>
      <c r="M121" s="1184"/>
      <c r="N121" s="1231"/>
      <c r="O121" s="1298"/>
      <c r="P121" s="1298"/>
      <c r="Q121" s="1298"/>
      <c r="R121" s="1298"/>
      <c r="S121" s="1184"/>
      <c r="T121" s="1184"/>
      <c r="U121" s="1184"/>
      <c r="V121" s="1184"/>
      <c r="W121" s="1184"/>
      <c r="X121" s="1184"/>
      <c r="Y121" s="1341"/>
      <c r="Z121" s="1187"/>
      <c r="AA121" s="1190"/>
      <c r="AB121" s="1187"/>
      <c r="AC121" s="1187"/>
      <c r="AD121" s="1187"/>
    </row>
    <row customHeight="1" ht="9">
      <c r="A122" s="1186"/>
      <c r="B122" s="1186"/>
      <c r="C122" s="1184"/>
      <c r="D122" s="1184"/>
      <c r="E122" s="1184"/>
      <c r="F122" s="1184"/>
      <c r="G122" s="1184"/>
      <c r="H122" s="1232"/>
      <c r="I122" s="1232"/>
      <c r="J122" s="1232"/>
      <c r="K122" s="1232"/>
      <c r="L122" s="1232"/>
      <c r="M122" s="1184"/>
      <c r="N122" s="1231"/>
      <c r="O122" s="1298"/>
      <c r="P122" s="1298"/>
      <c r="Q122" s="1298"/>
      <c r="R122" s="1298"/>
      <c r="S122" s="1184"/>
      <c r="T122" s="1184"/>
      <c r="U122" s="1184"/>
      <c r="V122" s="1184"/>
      <c r="W122" s="1184"/>
      <c r="X122" s="1184"/>
      <c r="Y122" s="1341"/>
      <c r="Z122" s="1187"/>
      <c r="AA122" s="1190"/>
      <c r="AB122" s="1187"/>
      <c r="AC122" s="1187"/>
      <c r="AD122" s="1187"/>
    </row>
    <row customHeight="1" ht="9">
      <c r="A123" s="1186"/>
      <c r="B123" s="1186"/>
      <c r="C123" s="1184"/>
      <c r="D123" s="1184"/>
      <c r="E123" s="1184"/>
      <c r="F123" s="1184"/>
      <c r="G123" s="1184"/>
      <c r="H123" s="1232"/>
      <c r="I123" s="1232"/>
      <c r="J123" s="1232"/>
      <c r="K123" s="1232"/>
      <c r="L123" s="1232"/>
      <c r="M123" s="1184"/>
      <c r="N123" s="1231"/>
      <c r="O123" s="1298"/>
      <c r="P123" s="1298"/>
      <c r="Q123" s="1298"/>
      <c r="R123" s="1298"/>
      <c r="S123" s="1184"/>
      <c r="T123" s="1184"/>
      <c r="U123" s="1184"/>
      <c r="V123" s="1184"/>
      <c r="W123" s="1184"/>
      <c r="X123" s="1184"/>
      <c r="Y123" s="1341"/>
      <c r="Z123" s="1187"/>
      <c r="AA123" s="1190"/>
      <c r="AB123" s="1187"/>
      <c r="AC123" s="1187"/>
      <c r="AD123" s="1187"/>
    </row>
    <row customHeight="1" ht="9">
      <c r="A124" s="1186"/>
      <c r="B124" s="1186"/>
      <c r="C124" s="1184"/>
      <c r="D124" s="1184"/>
      <c r="E124" s="1184"/>
      <c r="F124" s="1184"/>
      <c r="G124" s="1184"/>
      <c r="H124" s="1232"/>
      <c r="I124" s="1232"/>
      <c r="J124" s="1232"/>
      <c r="K124" s="1232"/>
      <c r="L124" s="1232"/>
      <c r="M124" s="1184"/>
      <c r="N124" s="1231"/>
      <c r="O124" s="1298"/>
      <c r="P124" s="1298"/>
      <c r="Q124" s="1298"/>
      <c r="R124" s="1298"/>
      <c r="S124" s="1184"/>
      <c r="T124" s="1184"/>
      <c r="U124" s="1184"/>
      <c r="V124" s="1184"/>
      <c r="W124" s="1184"/>
      <c r="X124" s="1184"/>
      <c r="Y124" s="1341"/>
      <c r="Z124" s="1187"/>
      <c r="AA124" s="1190"/>
      <c r="AB124" s="1187"/>
      <c r="AC124" s="1187"/>
      <c r="AD124" s="1187"/>
    </row>
    <row customHeight="1" ht="9">
      <c r="A125" s="1186"/>
      <c r="B125" s="1186"/>
      <c r="C125" s="1184"/>
      <c r="D125" s="1184"/>
      <c r="E125" s="1184"/>
      <c r="F125" s="1184"/>
      <c r="G125" s="1184"/>
      <c r="H125" s="1232"/>
      <c r="I125" s="1232"/>
      <c r="J125" s="1232"/>
      <c r="K125" s="1232"/>
      <c r="L125" s="1232"/>
      <c r="M125" s="1184"/>
      <c r="N125" s="1231"/>
      <c r="O125" s="1298"/>
      <c r="P125" s="1298"/>
      <c r="Q125" s="1298"/>
      <c r="R125" s="1298"/>
      <c r="S125" s="1184"/>
      <c r="T125" s="1184"/>
      <c r="U125" s="1184"/>
      <c r="V125" s="1184"/>
      <c r="W125" s="1184"/>
      <c r="X125" s="1184"/>
      <c r="Y125" s="1341"/>
      <c r="Z125" s="1187"/>
      <c r="AA125" s="1190"/>
      <c r="AB125" s="1187"/>
      <c r="AC125" s="1187"/>
      <c r="AD125" s="1187"/>
    </row>
    <row customHeight="1" ht="9">
      <c r="A126" s="1186"/>
      <c r="B126" s="1186"/>
      <c r="C126" s="1184"/>
      <c r="D126" s="1184"/>
      <c r="E126" s="1184"/>
      <c r="F126" s="1184"/>
      <c r="G126" s="1184"/>
      <c r="H126" s="1232"/>
      <c r="I126" s="1232"/>
      <c r="J126" s="1232"/>
      <c r="K126" s="1232"/>
      <c r="L126" s="1232"/>
      <c r="M126" s="1184"/>
      <c r="N126" s="1231"/>
      <c r="O126" s="1298"/>
      <c r="P126" s="1298"/>
      <c r="Q126" s="1298"/>
      <c r="R126" s="1298"/>
      <c r="S126" s="1184"/>
      <c r="T126" s="1184"/>
      <c r="U126" s="1184"/>
      <c r="V126" s="1184"/>
      <c r="W126" s="1184"/>
      <c r="X126" s="1184"/>
      <c r="Y126" s="1341"/>
      <c r="Z126" s="1187"/>
      <c r="AA126" s="1190"/>
      <c r="AB126" s="1187"/>
      <c r="AC126" s="1187"/>
      <c r="AD126" s="1187"/>
    </row>
    <row customHeight="1" ht="9">
      <c r="A127" s="1186"/>
      <c r="B127" s="1186"/>
      <c r="C127" s="1184"/>
      <c r="D127" s="1184"/>
      <c r="E127" s="1184"/>
      <c r="F127" s="1184"/>
      <c r="G127" s="1184"/>
      <c r="H127" s="1232"/>
      <c r="I127" s="1232"/>
      <c r="J127" s="1232"/>
      <c r="K127" s="1232"/>
      <c r="L127" s="1232"/>
      <c r="M127" s="1184"/>
      <c r="N127" s="1231"/>
      <c r="O127" s="1298"/>
      <c r="P127" s="1298"/>
      <c r="Q127" s="1298"/>
      <c r="R127" s="1298"/>
      <c r="S127" s="1184"/>
      <c r="T127" s="1184"/>
      <c r="U127" s="1184"/>
      <c r="V127" s="1184"/>
      <c r="W127" s="1184"/>
      <c r="X127" s="1184"/>
      <c r="Y127" s="1341"/>
      <c r="Z127" s="1187"/>
      <c r="AA127" s="1190"/>
      <c r="AB127" s="1187"/>
      <c r="AC127" s="1187"/>
      <c r="AD127" s="1187"/>
    </row>
    <row customHeight="1" ht="9">
      <c r="A128" s="1186"/>
      <c r="B128" s="1186"/>
      <c r="C128" s="1184"/>
      <c r="D128" s="1184"/>
      <c r="E128" s="1184"/>
      <c r="F128" s="1184"/>
      <c r="G128" s="1184"/>
      <c r="H128" s="1232"/>
      <c r="I128" s="1232"/>
      <c r="J128" s="1232"/>
      <c r="K128" s="1232"/>
      <c r="L128" s="1232"/>
      <c r="M128" s="1184"/>
      <c r="N128" s="1231"/>
      <c r="O128" s="1298"/>
      <c r="P128" s="1298"/>
      <c r="Q128" s="1298"/>
      <c r="R128" s="1298"/>
      <c r="S128" s="1184"/>
      <c r="T128" s="1184"/>
      <c r="U128" s="1184"/>
      <c r="V128" s="1184"/>
      <c r="W128" s="1184"/>
      <c r="X128" s="1184"/>
      <c r="Y128" s="1341"/>
      <c r="Z128" s="1187"/>
      <c r="AA128" s="1190"/>
      <c r="AB128" s="1187"/>
      <c r="AC128" s="1187"/>
      <c r="AD128" s="1187"/>
    </row>
    <row customHeight="1" ht="9">
      <c r="A129" s="1186"/>
      <c r="B129" s="1186"/>
      <c r="C129" s="1184"/>
      <c r="D129" s="1184"/>
      <c r="E129" s="1184"/>
      <c r="F129" s="1184"/>
      <c r="G129" s="1184"/>
      <c r="H129" s="1232"/>
      <c r="I129" s="1232"/>
      <c r="J129" s="1232"/>
      <c r="K129" s="1232"/>
      <c r="L129" s="1232"/>
      <c r="M129" s="1184"/>
      <c r="N129" s="1231"/>
      <c r="O129" s="1298"/>
      <c r="P129" s="1298"/>
      <c r="Q129" s="1298"/>
      <c r="R129" s="1298"/>
      <c r="S129" s="1184"/>
      <c r="T129" s="1184"/>
      <c r="U129" s="1184"/>
      <c r="V129" s="1184"/>
      <c r="W129" s="1184"/>
      <c r="X129" s="1184"/>
      <c r="Y129" s="1341"/>
      <c r="Z129" s="1187"/>
      <c r="AA129" s="1190"/>
      <c r="AB129" s="1187"/>
      <c r="AC129" s="1187"/>
      <c r="AD129" s="1187"/>
    </row>
    <row customHeight="1" ht="9">
      <c r="A130" s="1186"/>
      <c r="B130" s="1186"/>
      <c r="C130" s="1184"/>
      <c r="D130" s="1184"/>
      <c r="E130" s="1184"/>
      <c r="F130" s="1184"/>
      <c r="G130" s="1184"/>
      <c r="H130" s="1232"/>
      <c r="I130" s="1232"/>
      <c r="J130" s="1232"/>
      <c r="K130" s="1232"/>
      <c r="L130" s="1232"/>
      <c r="M130" s="1184"/>
      <c r="N130" s="1231"/>
      <c r="O130" s="1300"/>
      <c r="P130" s="1300"/>
      <c r="Q130" s="1300"/>
      <c r="R130" s="1300"/>
      <c r="S130" s="1184"/>
      <c r="T130" s="1184"/>
      <c r="U130" s="1184"/>
      <c r="V130" s="1184"/>
      <c r="W130" s="1184"/>
      <c r="X130" s="1184"/>
      <c r="Y130" s="1341"/>
      <c r="Z130" s="1187"/>
      <c r="AA130" s="1190"/>
      <c r="AB130" s="1187"/>
      <c r="AC130" s="1187"/>
      <c r="AD130" s="1187"/>
    </row>
    <row customHeight="1" ht="9">
      <c r="A131" s="1186"/>
      <c r="B131" s="1186"/>
      <c r="C131" s="1184"/>
      <c r="D131" s="1184"/>
      <c r="E131" s="1184"/>
      <c r="F131" s="1184"/>
      <c r="G131" s="1184"/>
      <c r="H131" s="1232"/>
      <c r="I131" s="1232"/>
      <c r="J131" s="1232"/>
      <c r="K131" s="1232"/>
      <c r="L131" s="1232"/>
      <c r="M131" s="1184"/>
      <c r="N131" s="1231"/>
      <c r="O131" s="1301"/>
      <c r="P131" s="1301"/>
      <c r="Q131" s="1301"/>
      <c r="R131" s="1301"/>
      <c r="S131" s="1184"/>
      <c r="T131" s="1184"/>
      <c r="U131" s="1184"/>
      <c r="V131" s="1184"/>
      <c r="W131" s="1184"/>
      <c r="X131" s="1184"/>
      <c r="Y131" s="1341"/>
      <c r="Z131" s="1187"/>
      <c r="AA131" s="1190"/>
      <c r="AB131" s="1187"/>
      <c r="AC131" s="1187"/>
      <c r="AD131" s="1187"/>
    </row>
    <row customHeight="1" ht="9">
      <c r="A132" s="1186"/>
      <c r="B132" s="1186"/>
      <c r="C132" s="1184"/>
      <c r="D132" s="1184"/>
      <c r="E132" s="1184"/>
      <c r="F132" s="1184"/>
      <c r="G132" s="1184"/>
      <c r="H132" s="1232"/>
      <c r="I132" s="1232"/>
      <c r="J132" s="1232"/>
      <c r="K132" s="1232"/>
      <c r="L132" s="1232"/>
      <c r="M132" s="1184"/>
      <c r="N132" s="1231"/>
      <c r="O132" s="1300"/>
      <c r="P132" s="1300"/>
      <c r="Q132" s="1300"/>
      <c r="R132" s="1300"/>
      <c r="S132" s="1184"/>
      <c r="T132" s="1184"/>
      <c r="U132" s="1184"/>
      <c r="V132" s="1184"/>
      <c r="W132" s="1184"/>
      <c r="X132" s="1184"/>
      <c r="Y132" s="1341"/>
      <c r="Z132" s="1187"/>
      <c r="AA132" s="1190"/>
      <c r="AB132" s="1187"/>
      <c r="AC132" s="1187"/>
      <c r="AD132" s="1187"/>
    </row>
    <row customHeight="1" ht="9">
      <c r="A133" s="1186"/>
      <c r="B133" s="1186"/>
      <c r="C133" s="1184"/>
      <c r="D133" s="1184"/>
      <c r="E133" s="1184"/>
      <c r="F133" s="1184"/>
      <c r="G133" s="1184"/>
      <c r="H133" s="1232"/>
      <c r="I133" s="1232"/>
      <c r="J133" s="1232"/>
      <c r="K133" s="1232"/>
      <c r="L133" s="1232"/>
      <c r="M133" s="1184"/>
      <c r="N133" s="1231"/>
      <c r="O133" s="1301"/>
      <c r="P133" s="1301"/>
      <c r="Q133" s="1301"/>
      <c r="R133" s="1301"/>
      <c r="S133" s="1184"/>
      <c r="T133" s="1184"/>
      <c r="U133" s="1184"/>
      <c r="V133" s="1184"/>
      <c r="W133" s="1184"/>
      <c r="X133" s="1184"/>
      <c r="Y133" s="1341"/>
      <c r="Z133" s="1187"/>
      <c r="AA133" s="1190"/>
      <c r="AB133" s="1187"/>
      <c r="AC133" s="1187"/>
      <c r="AD133" s="1187"/>
    </row>
    <row customHeight="1" ht="9">
      <c r="A134" s="1186"/>
      <c r="B134" s="1186"/>
      <c r="C134" s="1184"/>
      <c r="D134" s="1184"/>
      <c r="E134" s="1184"/>
      <c r="F134" s="1184"/>
      <c r="G134" s="1184"/>
      <c r="H134" s="1232"/>
      <c r="I134" s="1232"/>
      <c r="J134" s="1232"/>
      <c r="K134" s="1232"/>
      <c r="L134" s="1232"/>
      <c r="M134" s="1184"/>
      <c r="N134" s="1231"/>
      <c r="O134" s="1298"/>
      <c r="P134" s="1298"/>
      <c r="Q134" s="1298"/>
      <c r="R134" s="1298"/>
      <c r="S134" s="1184"/>
      <c r="T134" s="1184"/>
      <c r="U134" s="1184"/>
      <c r="V134" s="1184"/>
      <c r="W134" s="1184"/>
      <c r="X134" s="1184"/>
      <c r="Y134" s="1341"/>
      <c r="Z134" s="1187"/>
      <c r="AA134" s="1190"/>
      <c r="AB134" s="1187"/>
      <c r="AC134" s="1187"/>
      <c r="AD134" s="1187"/>
    </row>
    <row customHeight="1" ht="9">
      <c r="A135" s="1186"/>
      <c r="B135" s="1186"/>
      <c r="C135" s="1184"/>
      <c r="D135" s="1184"/>
      <c r="E135" s="1184"/>
      <c r="F135" s="1184"/>
      <c r="G135" s="1184"/>
      <c r="H135" s="1232"/>
      <c r="I135" s="1232"/>
      <c r="J135" s="1232"/>
      <c r="K135" s="1232"/>
      <c r="L135" s="1232"/>
      <c r="M135" s="1184"/>
      <c r="N135" s="1231"/>
      <c r="O135" s="1298"/>
      <c r="P135" s="1298"/>
      <c r="Q135" s="1298"/>
      <c r="R135" s="1298"/>
      <c r="S135" s="1184"/>
      <c r="T135" s="1184"/>
      <c r="U135" s="1184"/>
      <c r="V135" s="1184"/>
      <c r="W135" s="1184"/>
      <c r="X135" s="1184"/>
      <c r="Y135" s="1341"/>
      <c r="Z135" s="1187"/>
      <c r="AA135" s="1190"/>
      <c r="AB135" s="1187"/>
      <c r="AC135" s="1187"/>
      <c r="AD135" s="1187"/>
    </row>
    <row customHeight="1" ht="9">
      <c r="A136" s="1186"/>
      <c r="B136" s="1186"/>
      <c r="C136" s="1184"/>
      <c r="D136" s="1184"/>
      <c r="E136" s="1184"/>
      <c r="F136" s="1184"/>
      <c r="G136" s="1184"/>
      <c r="H136" s="1232"/>
      <c r="I136" s="1232"/>
      <c r="J136" s="1232"/>
      <c r="K136" s="1232"/>
      <c r="L136" s="1232"/>
      <c r="M136" s="1184"/>
      <c r="N136" s="1231"/>
      <c r="O136" s="1298"/>
      <c r="P136" s="1298"/>
      <c r="Q136" s="1298"/>
      <c r="R136" s="1298"/>
      <c r="S136" s="1184"/>
      <c r="T136" s="1184"/>
      <c r="U136" s="1184"/>
      <c r="V136" s="1184"/>
      <c r="W136" s="1184"/>
      <c r="X136" s="1184"/>
      <c r="Y136" s="1341"/>
      <c r="Z136" s="1187"/>
      <c r="AA136" s="1190"/>
      <c r="AB136" s="1187"/>
      <c r="AC136" s="1187"/>
      <c r="AD136" s="1187"/>
    </row>
    <row customHeight="1" ht="9">
      <c r="A137" s="1186"/>
      <c r="B137" s="1186"/>
      <c r="C137" s="1184"/>
      <c r="D137" s="1184"/>
      <c r="E137" s="1184"/>
      <c r="F137" s="1184"/>
      <c r="G137" s="1184"/>
      <c r="H137" s="1232"/>
      <c r="I137" s="1232"/>
      <c r="J137" s="1232"/>
      <c r="K137" s="1232"/>
      <c r="L137" s="1232"/>
      <c r="M137" s="1184"/>
      <c r="N137" s="1231"/>
      <c r="O137" s="1302"/>
      <c r="P137" s="1302"/>
      <c r="Q137" s="1302"/>
      <c r="R137" s="1302"/>
      <c r="S137" s="1184"/>
      <c r="T137" s="1184"/>
      <c r="U137" s="1184"/>
      <c r="V137" s="1184"/>
      <c r="W137" s="1184"/>
      <c r="X137" s="1184"/>
      <c r="Y137" s="1341"/>
      <c r="Z137" s="1187"/>
      <c r="AA137" s="1190"/>
      <c r="AB137" s="1187"/>
      <c r="AC137" s="1187"/>
      <c r="AD137" s="1187"/>
    </row>
    <row customHeight="1" ht="9">
      <c r="A138" s="1186"/>
      <c r="B138" s="1186"/>
      <c r="C138" s="1184"/>
      <c r="D138" s="1184"/>
      <c r="E138" s="1184"/>
      <c r="F138" s="1184"/>
      <c r="G138" s="1184"/>
      <c r="H138" s="1232"/>
      <c r="I138" s="1232"/>
      <c r="J138" s="1232"/>
      <c r="K138" s="1232"/>
      <c r="L138" s="1232"/>
      <c r="M138" s="1184"/>
      <c r="N138" s="1231"/>
      <c r="O138" s="1299"/>
      <c r="P138" s="1299"/>
      <c r="Q138" s="1299"/>
      <c r="R138" s="1299"/>
      <c r="S138" s="1184"/>
      <c r="T138" s="1184"/>
      <c r="U138" s="1184"/>
      <c r="V138" s="1184"/>
      <c r="W138" s="1184"/>
      <c r="X138" s="1184"/>
      <c r="Y138" s="1341"/>
      <c r="Z138" s="1187"/>
      <c r="AA138" s="1190"/>
      <c r="AB138" s="1187"/>
      <c r="AC138" s="1187"/>
      <c r="AD138" s="1187"/>
    </row>
    <row customHeight="1" ht="9">
      <c r="A139" s="1186"/>
      <c r="B139" s="1186"/>
      <c r="C139" s="1184"/>
      <c r="D139" s="1184"/>
      <c r="E139" s="1184"/>
      <c r="F139" s="1184"/>
      <c r="G139" s="1184"/>
      <c r="H139" s="1232"/>
      <c r="I139" s="1232"/>
      <c r="J139" s="1232"/>
      <c r="K139" s="1232"/>
      <c r="L139" s="1232"/>
      <c r="M139" s="1184"/>
      <c r="N139" s="1231"/>
      <c r="O139" s="1184"/>
      <c r="P139" s="1184"/>
      <c r="Q139" s="1184"/>
      <c r="R139" s="1184"/>
      <c r="S139" s="1184"/>
      <c r="T139" s="1184"/>
      <c r="U139" s="1184"/>
      <c r="V139" s="1184"/>
      <c r="W139" s="1184"/>
      <c r="X139" s="1184"/>
      <c r="Y139" s="1341"/>
      <c r="Z139" s="1187"/>
      <c r="AA139" s="1190"/>
      <c r="AB139" s="1187"/>
      <c r="AC139" s="1187"/>
      <c r="AD139" s="1187"/>
    </row>
    <row customHeight="1" ht="9">
      <c r="A140" s="1186"/>
      <c r="B140" s="1186"/>
      <c r="C140" s="1184"/>
      <c r="D140" s="1184"/>
      <c r="E140" s="1184"/>
      <c r="F140" s="1184"/>
      <c r="G140" s="1184"/>
      <c r="H140" s="1232"/>
      <c r="I140" s="1232"/>
      <c r="J140" s="1232"/>
      <c r="K140" s="1232"/>
      <c r="L140" s="1232"/>
      <c r="M140" s="1184"/>
      <c r="N140" s="1231"/>
      <c r="O140" s="1184"/>
      <c r="P140" s="1184"/>
      <c r="Q140" s="1184"/>
      <c r="R140" s="1184"/>
      <c r="S140" s="1184"/>
      <c r="T140" s="1184"/>
      <c r="U140" s="1184"/>
      <c r="V140" s="1184"/>
      <c r="W140" s="1184"/>
      <c r="X140" s="1184"/>
      <c r="Y140" s="1341"/>
      <c r="Z140" s="1187"/>
      <c r="AA140" s="1190"/>
      <c r="AB140" s="1187"/>
      <c r="AC140" s="1187"/>
      <c r="AD140" s="1187"/>
    </row>
    <row customHeight="1" ht="9">
      <c r="A141" s="1186"/>
      <c r="B141" s="1186"/>
      <c r="C141" s="1184"/>
      <c r="D141" s="1184"/>
      <c r="E141" s="1184"/>
      <c r="F141" s="1184"/>
      <c r="G141" s="1184"/>
      <c r="H141" s="1232"/>
      <c r="I141" s="1232"/>
      <c r="J141" s="1232"/>
      <c r="K141" s="1232"/>
      <c r="L141" s="1232"/>
      <c r="M141" s="1184"/>
      <c r="N141" s="1231"/>
      <c r="O141" s="1184"/>
      <c r="P141" s="1184"/>
      <c r="Q141" s="1184"/>
      <c r="R141" s="1184"/>
      <c r="S141" s="1184"/>
      <c r="T141" s="1184"/>
      <c r="U141" s="1184"/>
      <c r="V141" s="1184"/>
      <c r="W141" s="1184"/>
      <c r="X141" s="1184"/>
      <c r="Y141" s="1341"/>
      <c r="Z141" s="1187"/>
      <c r="AA141" s="1190"/>
      <c r="AB141" s="1187"/>
      <c r="AC141" s="1187"/>
      <c r="AD141" s="1187"/>
    </row>
    <row customHeight="1" ht="9">
      <c r="A142" s="1186"/>
      <c r="B142" s="1186"/>
      <c r="C142" s="1184"/>
      <c r="D142" s="1184"/>
      <c r="E142" s="1184"/>
      <c r="F142" s="1184"/>
      <c r="G142" s="1184"/>
      <c r="H142" s="1232"/>
      <c r="I142" s="1232"/>
      <c r="J142" s="1232"/>
      <c r="K142" s="1232"/>
      <c r="L142" s="1232"/>
      <c r="M142" s="1184"/>
      <c r="N142" s="1231"/>
      <c r="O142" s="1184"/>
      <c r="P142" s="1184"/>
      <c r="Q142" s="1184"/>
      <c r="R142" s="1184"/>
      <c r="S142" s="1184"/>
      <c r="T142" s="1184"/>
      <c r="U142" s="1184"/>
      <c r="V142" s="1184"/>
      <c r="W142" s="1184"/>
      <c r="X142" s="1184"/>
      <c r="Y142" s="1341"/>
      <c r="Z142" s="1187"/>
      <c r="AA142" s="1190"/>
      <c r="AB142" s="1187"/>
      <c r="AC142" s="1187"/>
      <c r="AD142" s="1187"/>
    </row>
    <row customHeight="1" ht="9">
      <c r="A143" s="1186"/>
      <c r="B143" s="1186"/>
      <c r="C143" s="1184"/>
      <c r="D143" s="1184"/>
      <c r="E143" s="1184"/>
      <c r="F143" s="1184"/>
      <c r="G143" s="1184"/>
      <c r="H143" s="1232"/>
      <c r="I143" s="1232"/>
      <c r="J143" s="1232"/>
      <c r="K143" s="1232"/>
      <c r="L143" s="1232"/>
      <c r="M143" s="1184"/>
      <c r="N143" s="1231"/>
      <c r="O143" s="1184"/>
      <c r="P143" s="1184"/>
      <c r="Q143" s="1184"/>
      <c r="R143" s="1184"/>
      <c r="S143" s="1184"/>
      <c r="T143" s="1184"/>
      <c r="U143" s="1184"/>
      <c r="V143" s="1184"/>
      <c r="W143" s="1184"/>
      <c r="X143" s="1184"/>
      <c r="Y143" s="1341"/>
      <c r="Z143" s="1187"/>
      <c r="AA143" s="1190"/>
      <c r="AB143" s="1187"/>
      <c r="AC143" s="1187"/>
      <c r="AD143" s="1187"/>
    </row>
    <row customHeight="1" ht="9">
      <c r="A144" s="1186"/>
      <c r="B144" s="1186"/>
      <c r="C144" s="1184"/>
      <c r="D144" s="1184"/>
      <c r="E144" s="1184"/>
      <c r="F144" s="1184"/>
      <c r="G144" s="1184"/>
      <c r="H144" s="1232"/>
      <c r="I144" s="1232"/>
      <c r="J144" s="1232"/>
      <c r="K144" s="1232"/>
      <c r="L144" s="1232"/>
      <c r="M144" s="1184"/>
      <c r="N144" s="1231"/>
      <c r="O144" s="1184"/>
      <c r="P144" s="1184"/>
      <c r="Q144" s="1184"/>
      <c r="R144" s="1184"/>
      <c r="S144" s="1184"/>
      <c r="T144" s="1184"/>
      <c r="U144" s="1184"/>
      <c r="V144" s="1184"/>
      <c r="W144" s="1184"/>
      <c r="X144" s="1184"/>
      <c r="Y144" s="1341"/>
      <c r="Z144" s="1187"/>
      <c r="AA144" s="1190"/>
      <c r="AB144" s="1187"/>
      <c r="AC144" s="1187"/>
      <c r="AD144" s="1187"/>
    </row>
    <row customHeight="1" ht="9">
      <c r="A145" s="1186"/>
      <c r="B145" s="1186"/>
      <c r="C145" s="1184"/>
      <c r="D145" s="1184"/>
      <c r="E145" s="1184"/>
      <c r="F145" s="1184"/>
      <c r="G145" s="1184"/>
      <c r="H145" s="1232"/>
      <c r="I145" s="1232"/>
      <c r="J145" s="1232"/>
      <c r="K145" s="1232"/>
      <c r="L145" s="1232"/>
      <c r="M145" s="1184"/>
      <c r="N145" s="1231"/>
      <c r="O145" s="1184"/>
      <c r="P145" s="1184"/>
      <c r="Q145" s="1184"/>
      <c r="R145" s="1184"/>
      <c r="S145" s="1184"/>
      <c r="T145" s="1184"/>
      <c r="U145" s="1184"/>
      <c r="V145" s="1184"/>
      <c r="W145" s="1184"/>
      <c r="X145" s="1184"/>
      <c r="Y145" s="1341"/>
      <c r="Z145" s="1187"/>
      <c r="AA145" s="1190"/>
      <c r="AB145" s="1187"/>
      <c r="AC145" s="1187"/>
      <c r="AD145" s="1187"/>
    </row>
    <row customHeight="1" ht="9">
      <c r="A146" s="1186"/>
      <c r="B146" s="1186"/>
      <c r="C146" s="1184"/>
      <c r="D146" s="1184"/>
      <c r="E146" s="1184"/>
      <c r="F146" s="1184"/>
      <c r="G146" s="1184"/>
      <c r="H146" s="1232"/>
      <c r="I146" s="1232"/>
      <c r="J146" s="1232"/>
      <c r="K146" s="1232"/>
      <c r="L146" s="1232"/>
      <c r="M146" s="1184"/>
      <c r="N146" s="1231"/>
      <c r="O146" s="1184"/>
      <c r="P146" s="1184"/>
      <c r="Q146" s="1184"/>
      <c r="R146" s="1184"/>
      <c r="S146" s="1184"/>
      <c r="T146" s="1184"/>
      <c r="U146" s="1184"/>
      <c r="V146" s="1184"/>
      <c r="W146" s="1184"/>
      <c r="X146" s="1184"/>
      <c r="Y146" s="1341"/>
      <c r="Z146" s="1187"/>
      <c r="AA146" s="1190"/>
      <c r="AB146" s="1187"/>
      <c r="AC146" s="1187"/>
      <c r="AD146" s="1187"/>
    </row>
    <row customHeight="1" ht="9">
      <c r="A147" s="1186"/>
      <c r="B147" s="1186"/>
      <c r="C147" s="1186"/>
      <c r="D147" s="1186"/>
      <c r="E147" s="1186"/>
      <c r="F147" s="1186"/>
      <c r="G147" s="1186"/>
      <c r="H147" s="1186"/>
      <c r="I147" s="1186"/>
      <c r="J147" s="1186"/>
      <c r="K147" s="1186"/>
      <c r="L147" s="1186"/>
      <c r="M147" s="1186"/>
      <c r="N147" s="1186"/>
      <c r="O147" s="1186"/>
      <c r="P147" s="1186"/>
      <c r="Q147" s="1186"/>
      <c r="R147" s="1186"/>
      <c r="S147" s="1186"/>
      <c r="T147" s="1186"/>
      <c r="U147" s="1186"/>
      <c r="V147" s="1186"/>
      <c r="W147" s="1186"/>
      <c r="X147" s="1186"/>
      <c r="Y147" s="1186"/>
      <c r="Z147" s="1186"/>
      <c r="AA147" s="1186"/>
      <c r="AB147" s="1186"/>
      <c r="AC147" s="1186"/>
      <c r="AD147" s="1186"/>
    </row>
    <row customHeight="1" ht="90">
      <c r="A148" s="1186" t="s">
        <v>1801</v>
      </c>
      <c r="B148" s="1186"/>
      <c r="C148" s="1184" t="s">
        <v>2351</v>
      </c>
      <c r="D148" s="1184" t="s">
        <v>1123</v>
      </c>
      <c r="E148" s="1184" t="s">
        <v>1803</v>
      </c>
      <c r="F148" s="1184" t="s">
        <v>2352</v>
      </c>
      <c r="G148" s="1184"/>
      <c r="H148" s="1184"/>
      <c r="I148" s="1304"/>
      <c r="J148" s="1304"/>
      <c r="K148" s="1304"/>
      <c r="L148" s="1304"/>
      <c r="M148" s="123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189"/>
      <c r="O148" s="1184"/>
      <c r="P148" s="1185"/>
      <c r="Q148" s="1185"/>
      <c r="R148" s="1185"/>
      <c r="S148" s="1184"/>
      <c r="T148" s="1184" t="s">
        <v>2353</v>
      </c>
      <c r="U148" s="118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185"/>
      <c r="W148" s="1185"/>
      <c r="X148" s="1184" t="s">
        <v>2354</v>
      </c>
      <c r="Y148" s="1341"/>
      <c r="Z148" s="1187"/>
      <c r="AA148" s="1190"/>
      <c r="AB148" s="1187"/>
      <c r="AC148" s="1187"/>
      <c r="AD148" s="1187"/>
    </row>
    <row customHeight="1" ht="9">
      <c r="A149" s="1186"/>
      <c r="B149" s="1186"/>
      <c r="C149" s="1186"/>
      <c r="D149" s="1186"/>
      <c r="E149" s="1186"/>
      <c r="F149" s="1186"/>
      <c r="G149" s="1186"/>
      <c r="H149" s="1186"/>
      <c r="I149" s="1186"/>
      <c r="J149" s="1186"/>
      <c r="K149" s="1186"/>
      <c r="L149" s="1186"/>
      <c r="M149" s="1186"/>
      <c r="N149" s="1186"/>
      <c r="O149" s="1186"/>
      <c r="P149" s="1186"/>
      <c r="Q149" s="1186"/>
      <c r="R149" s="1186"/>
      <c r="S149" s="1186"/>
      <c r="T149" s="1186"/>
      <c r="U149" s="1186"/>
      <c r="V149" s="1186"/>
      <c r="W149" s="1186"/>
      <c r="X149" s="1186"/>
      <c r="Y149" s="1186"/>
      <c r="Z149" s="1186"/>
      <c r="AA149" s="1186"/>
      <c r="AB149" s="1186"/>
      <c r="AC149" s="1186"/>
      <c r="AD149" s="1186"/>
    </row>
    <row customHeight="1" ht="9">
      <c r="A150" s="1186" t="s">
        <v>1805</v>
      </c>
      <c r="B150" s="1186"/>
      <c r="C150" s="1184"/>
      <c r="D150" s="1184"/>
      <c r="E150" s="1184"/>
      <c r="F150" s="1184"/>
      <c r="G150" s="1184"/>
      <c r="H150" s="1184"/>
      <c r="I150" s="1184"/>
      <c r="J150" s="1184"/>
      <c r="K150" s="1184"/>
      <c r="L150" s="1184"/>
      <c r="M150" s="1184"/>
      <c r="N150" s="1184"/>
      <c r="O150" s="1184"/>
      <c r="P150" s="1184"/>
      <c r="Q150" s="1184"/>
      <c r="R150" s="1184"/>
      <c r="S150" s="1184"/>
      <c r="T150" s="1184"/>
      <c r="U150" s="1184"/>
      <c r="V150" s="1184"/>
      <c r="W150" s="1184"/>
      <c r="X150" s="1184"/>
      <c r="Y150" s="1341"/>
      <c r="Z150" s="1187"/>
      <c r="AA150" s="1190"/>
      <c r="AB150" s="1187"/>
      <c r="AC150" s="1187"/>
      <c r="AD150" s="1187"/>
    </row>
    <row customHeight="1" ht="9">
      <c r="A151" s="1186"/>
      <c r="B151" s="1186"/>
      <c r="C151" s="1186"/>
      <c r="D151" s="1186"/>
      <c r="E151" s="1186"/>
      <c r="F151" s="1186"/>
      <c r="G151" s="1186"/>
      <c r="H151" s="1186"/>
      <c r="I151" s="1186"/>
      <c r="J151" s="1186"/>
      <c r="K151" s="1186"/>
      <c r="L151" s="1186"/>
      <c r="M151" s="1186"/>
      <c r="N151" s="1186"/>
      <c r="O151" s="1186"/>
      <c r="P151" s="1186"/>
      <c r="Q151" s="1186"/>
      <c r="R151" s="1186"/>
      <c r="S151" s="1186"/>
      <c r="T151" s="1186"/>
      <c r="U151" s="1186"/>
      <c r="V151" s="1186"/>
      <c r="W151" s="1186"/>
      <c r="X151" s="1186"/>
      <c r="Y151" s="1186"/>
      <c r="Z151" s="1186"/>
      <c r="AA151" s="1186"/>
      <c r="AB151" s="1186"/>
      <c r="AC151" s="1186"/>
      <c r="AD151" s="1186"/>
    </row>
    <row customHeight="1" ht="9">
      <c r="A152" s="1186" t="s">
        <v>1808</v>
      </c>
      <c r="B152" s="1186"/>
      <c r="C152" s="1184"/>
      <c r="D152" s="1184"/>
      <c r="E152" s="1184"/>
      <c r="F152" s="1184"/>
      <c r="G152" s="1184"/>
      <c r="H152" s="1184"/>
      <c r="I152" s="1184"/>
      <c r="J152" s="1184"/>
      <c r="K152" s="1184"/>
      <c r="L152" s="1184"/>
      <c r="M152" s="1184"/>
      <c r="N152" s="1184"/>
      <c r="O152" s="1184"/>
      <c r="P152" s="1184"/>
      <c r="Q152" s="1184"/>
      <c r="R152" s="1184"/>
      <c r="S152" s="1184"/>
      <c r="T152" s="1184"/>
      <c r="U152" s="1184"/>
      <c r="V152" s="1184"/>
      <c r="W152" s="1184"/>
      <c r="X152" s="1184"/>
      <c r="Y152" s="1341"/>
      <c r="Z152" s="1187"/>
      <c r="AA152" s="1190"/>
      <c r="AB152" s="1187"/>
      <c r="AC152" s="1187"/>
      <c r="AD152" s="1187"/>
    </row>
    <row customHeight="1" ht="9">
      <c r="A153" s="1186"/>
      <c r="B153" s="1186"/>
      <c r="C153" s="1186"/>
      <c r="D153" s="1186"/>
      <c r="E153" s="1186"/>
      <c r="F153" s="1186"/>
      <c r="G153" s="1186"/>
      <c r="H153" s="1186"/>
      <c r="I153" s="1186"/>
      <c r="J153" s="1186"/>
      <c r="K153" s="1186"/>
      <c r="L153" s="1186"/>
      <c r="M153" s="1186"/>
      <c r="N153" s="1186"/>
      <c r="O153" s="1186"/>
      <c r="P153" s="1186"/>
      <c r="Q153" s="1186"/>
      <c r="R153" s="1186"/>
      <c r="S153" s="1186"/>
      <c r="T153" s="1186"/>
      <c r="U153" s="1186"/>
      <c r="V153" s="1186"/>
      <c r="W153" s="1186"/>
      <c r="X153" s="1186"/>
      <c r="Y153" s="1186"/>
      <c r="Z153" s="1186"/>
      <c r="AA153" s="1186"/>
      <c r="AB153" s="1186"/>
      <c r="AC153" s="1186"/>
      <c r="AD153" s="1186"/>
    </row>
    <row customHeight="1" ht="9">
      <c r="A154" s="1186" t="s">
        <v>1813</v>
      </c>
      <c r="B154" s="1186"/>
      <c r="C154" s="1184"/>
      <c r="D154" s="1184"/>
      <c r="E154" s="1184"/>
      <c r="F154" s="1184"/>
      <c r="G154" s="1184"/>
      <c r="H154" s="1184"/>
      <c r="I154" s="1184"/>
      <c r="J154" s="1184"/>
      <c r="K154" s="1184"/>
      <c r="L154" s="1184"/>
      <c r="M154" s="1184"/>
      <c r="N154" s="1184"/>
      <c r="O154" s="1184"/>
      <c r="P154" s="1184"/>
      <c r="Q154" s="1184"/>
      <c r="R154" s="1184"/>
      <c r="S154" s="1184"/>
      <c r="T154" s="1184"/>
      <c r="U154" s="1184"/>
      <c r="V154" s="1184"/>
      <c r="W154" s="1184"/>
      <c r="X154" s="1184"/>
      <c r="Y154" s="1341"/>
      <c r="Z154" s="1187"/>
      <c r="AA154" s="1190"/>
      <c r="AB154" s="1187"/>
      <c r="AC154" s="1187"/>
      <c r="AD154" s="1187"/>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2BD404-D01E-4CA8-6891-0FCFC11D7B3D}"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7315" width="10.57421875" hidden="1"/>
    <col min="2" max="2" style="17315" width="11.00390625" hidden="1" customWidth="1"/>
    <col min="3" max="3" style="17315" width="10.57421875" hidden="1"/>
    <col min="4" max="4" style="17315" width="11.8515625" hidden="1" customWidth="1"/>
    <col min="5" max="5" style="17315" width="12.28125" hidden="1" customWidth="1"/>
    <col min="6" max="8" style="18077" width="12.28125" hidden="1" customWidth="1"/>
    <col min="9" max="9" style="18078" width="3.00390625" customWidth="1"/>
    <col min="10" max="11" style="18079" width="3.00390625" customWidth="1"/>
    <col min="12" max="12" style="18080" width="12.00390625" customWidth="1"/>
    <col min="13" max="13" style="17239" width="31.00390625" customWidth="1"/>
    <col min="14" max="14" style="17239" width="1.00390625" customWidth="1"/>
    <col min="15" max="18" style="17239" width="24.00390625" customWidth="1"/>
    <col min="19" max="19" style="17239" width="11.00390625" customWidth="1"/>
    <col min="20" max="20" style="17239" width="3.7109375" customWidth="1"/>
    <col min="21" max="21" style="17239" width="11.00390625" customWidth="1"/>
    <col min="22" max="22" style="17239" width="8.57421875" customWidth="1"/>
    <col min="23" max="23" style="17239" width="4.00390625" customWidth="1"/>
    <col min="24" max="24" style="17239" width="115.00390625" customWidth="1"/>
    <col min="25" max="29" style="17316" width="10.00390625" customWidth="1"/>
    <col min="30" max="30" style="17239" width="10.57421875" hidden="1"/>
  </cols>
  <sheetData>
    <row customHeight="1" ht="22.5" hidden="1">
      <c r="R1" s="668"/>
      <c r="S1" s="668"/>
      <c r="AD1" s="1496" t="s">
        <v>14</v>
      </c>
    </row>
    <row customHeight="1" ht="14.25" hidden="1">
      <c r="V2" s="668"/>
      <c r="AD2" s="1496">
        <v>0</v>
      </c>
    </row>
    <row customHeight="1" ht="14.25" hidden="1">
      <c r="AD3" s="1496">
        <v>0</v>
      </c>
    </row>
    <row customHeight="1" ht="14.699999999999998">
      <c r="J4" s="717"/>
      <c r="K4" s="717"/>
      <c r="L4" s="1616"/>
      <c r="M4" s="704"/>
      <c r="N4" s="704"/>
      <c r="O4" s="850"/>
      <c r="P4" s="850"/>
      <c r="Q4" s="850"/>
      <c r="R4" s="850"/>
      <c r="S4" s="850"/>
      <c r="T4" s="850"/>
      <c r="U4" s="850"/>
      <c r="V4" s="850"/>
      <c r="AD4" s="1496">
        <v>14</v>
      </c>
    </row>
    <row customHeight="1" ht="67.2">
      <c r="J5" s="717"/>
      <c r="K5" s="717"/>
      <c r="L5" s="2944" t="s">
        <v>2355</v>
      </c>
      <c r="M5" s="2944"/>
      <c r="N5" s="2944"/>
      <c r="O5" s="2944"/>
      <c r="P5" s="2944"/>
      <c r="Q5" s="2944"/>
      <c r="R5" s="2944"/>
      <c r="S5" s="2944"/>
      <c r="T5" s="2944"/>
      <c r="U5" s="2944"/>
      <c r="V5" s="1584"/>
      <c r="AD5" s="1496">
        <v>64</v>
      </c>
    </row>
    <row customHeight="1" ht="14.699999999999998">
      <c r="J6" s="717"/>
      <c r="K6" s="717"/>
      <c r="L6" s="2945" t="str">
        <f>IF(org=0,"Не определено",org)</f>
        <v>АО "ДГК"</v>
      </c>
      <c r="M6" s="2945"/>
      <c r="N6" s="2945"/>
      <c r="O6" s="2945"/>
      <c r="P6" s="2945"/>
      <c r="Q6" s="2945"/>
      <c r="R6" s="2945"/>
      <c r="S6" s="2945"/>
      <c r="T6" s="2945"/>
      <c r="U6" s="2945"/>
      <c r="V6" s="1584"/>
      <c r="AD6" s="1496">
        <v>14</v>
      </c>
    </row>
    <row customHeight="1" ht="14.699999999999998">
      <c r="J7" s="717"/>
      <c r="K7" s="717"/>
      <c r="L7" s="1616"/>
      <c r="M7" s="704"/>
      <c r="N7" s="704"/>
      <c r="O7" s="663"/>
      <c r="P7" s="663"/>
      <c r="Q7" s="663"/>
      <c r="R7" s="663"/>
      <c r="S7" s="663"/>
      <c r="T7" s="663"/>
      <c r="U7" s="663"/>
      <c r="V7" s="663"/>
      <c r="W7" s="850"/>
      <c r="AD7" s="1496">
        <v>14</v>
      </c>
    </row>
    <row s="17442" customFormat="1" customHeight="1" ht="48.29999999999999">
      <c r="A8" s="1709"/>
      <c r="B8" s="1709"/>
      <c r="C8" s="1709"/>
      <c r="D8" s="1709"/>
      <c r="E8" s="1709"/>
      <c r="F8" s="1709"/>
      <c r="G8" s="1709"/>
      <c r="H8" s="1709"/>
      <c r="L8" s="1617"/>
      <c r="M8" s="636" t="s">
        <v>41</v>
      </c>
      <c r="N8" s="645"/>
      <c r="O8" s="2592" t="str">
        <f>IF(TITLE_NAME_OR_PR_CHANGE="",IF(TITLE_NAME_OR_PR="","",TITLE_NAME_OR_PR),TITLE_NAME_OR_PR_CHANGE)</f>
        <v/>
      </c>
      <c r="P8" s="2592"/>
      <c r="Q8" s="2592"/>
      <c r="R8" s="2592"/>
      <c r="S8" s="2592"/>
      <c r="T8" s="2592"/>
      <c r="U8" s="2592"/>
      <c r="V8" s="667"/>
      <c r="W8" s="667"/>
      <c r="X8" s="621"/>
      <c r="Y8" s="709"/>
      <c r="Z8" s="709"/>
      <c r="AA8" s="709"/>
      <c r="AB8" s="709"/>
      <c r="AC8" s="709"/>
      <c r="AD8" s="759">
        <v>46</v>
      </c>
    </row>
    <row s="17442" customFormat="1" customHeight="1" ht="24">
      <c r="A9" s="1709"/>
      <c r="B9" s="1709"/>
      <c r="C9" s="1709"/>
      <c r="D9" s="1709"/>
      <c r="E9" s="1709"/>
      <c r="F9" s="1709"/>
      <c r="G9" s="1709"/>
      <c r="H9" s="1709"/>
      <c r="L9" s="1617"/>
      <c r="M9" s="636" t="s">
        <v>418</v>
      </c>
      <c r="N9" s="645"/>
      <c r="O9" s="2592" t="str">
        <f>IF(TITLE_DATE_CHANGE_PERIOD="",IF(TITLE_DATE_PR="","",TITLE_DATE_PR),TITLE_DATE_CHANGE_PERIOD)</f>
        <v/>
      </c>
      <c r="P9" s="2592"/>
      <c r="Q9" s="2592"/>
      <c r="R9" s="2592"/>
      <c r="S9" s="2592"/>
      <c r="T9" s="2592"/>
      <c r="U9" s="2592"/>
      <c r="V9" s="667"/>
      <c r="W9" s="667"/>
      <c r="X9" s="621"/>
      <c r="Y9" s="709"/>
      <c r="Z9" s="709"/>
      <c r="AA9" s="709"/>
      <c r="AB9" s="709"/>
      <c r="AC9" s="709"/>
      <c r="AD9" s="759">
        <v>23</v>
      </c>
    </row>
    <row s="17442" customFormat="1" customHeight="1" ht="24">
      <c r="A10" s="1709"/>
      <c r="B10" s="1709"/>
      <c r="C10" s="1709"/>
      <c r="D10" s="1709"/>
      <c r="E10" s="1709"/>
      <c r="F10" s="1709"/>
      <c r="G10" s="1709"/>
      <c r="H10" s="1709"/>
      <c r="L10" s="1591"/>
      <c r="M10" s="636" t="s">
        <v>419</v>
      </c>
      <c r="N10" s="645"/>
      <c r="O10" s="2592" t="str">
        <f>IF(TITLE_NUMBER_PR_CHANGE="",IF(TITLE_NUMBER_PR="","",TITLE_NUMBER_PR),TITLE_NUMBER_PR_CHANGE)</f>
        <v/>
      </c>
      <c r="P10" s="2592"/>
      <c r="Q10" s="2592"/>
      <c r="R10" s="2592"/>
      <c r="S10" s="2592"/>
      <c r="T10" s="2592"/>
      <c r="U10" s="2592"/>
      <c r="V10" s="667"/>
      <c r="W10" s="667"/>
      <c r="X10" s="621"/>
      <c r="Y10" s="709"/>
      <c r="Z10" s="709"/>
      <c r="AA10" s="709"/>
      <c r="AB10" s="709"/>
      <c r="AC10" s="709"/>
      <c r="AD10" s="759">
        <v>23</v>
      </c>
    </row>
    <row s="17442" customFormat="1" customHeight="1" ht="24">
      <c r="A11" s="1709"/>
      <c r="B11" s="1709"/>
      <c r="C11" s="1709"/>
      <c r="D11" s="1709"/>
      <c r="E11" s="1709"/>
      <c r="F11" s="1709"/>
      <c r="G11" s="1709"/>
      <c r="H11" s="1709"/>
      <c r="L11" s="1591"/>
      <c r="M11" s="636" t="s">
        <v>42</v>
      </c>
      <c r="N11" s="645"/>
      <c r="O11" s="2592" t="str">
        <f>IF(TITLE_IST_PUB_CHANGE="",IF(TITLE_IST_PUB="","",TITLE_IST_PUB),TITLE_IST_PUB_CHANGE)</f>
        <v/>
      </c>
      <c r="P11" s="2592"/>
      <c r="Q11" s="2592"/>
      <c r="R11" s="2592"/>
      <c r="S11" s="2592"/>
      <c r="T11" s="2592"/>
      <c r="U11" s="2592"/>
      <c r="V11" s="667"/>
      <c r="W11" s="667"/>
      <c r="X11" s="621"/>
      <c r="Y11" s="709"/>
      <c r="Z11" s="709"/>
      <c r="AA11" s="709"/>
      <c r="AB11" s="709"/>
      <c r="AC11" s="709"/>
      <c r="AD11" s="759">
        <v>23</v>
      </c>
    </row>
    <row s="17442" customFormat="1" customHeight="1" ht="11.25" hidden="1">
      <c r="A12" s="1709"/>
      <c r="B12" s="1709"/>
      <c r="C12" s="1709"/>
      <c r="D12" s="1709"/>
      <c r="E12" s="1709"/>
      <c r="F12" s="1709"/>
      <c r="G12" s="1709"/>
      <c r="H12" s="1709"/>
      <c r="L12" s="2946"/>
      <c r="M12" s="2946"/>
      <c r="N12" s="1628"/>
      <c r="O12" s="667"/>
      <c r="P12" s="667"/>
      <c r="Q12" s="667"/>
      <c r="R12" s="667"/>
      <c r="S12" s="667"/>
      <c r="T12" s="667"/>
      <c r="U12" s="667"/>
      <c r="V12" s="619" t="s">
        <v>422</v>
      </c>
      <c r="Y12" s="709"/>
      <c r="Z12" s="709"/>
      <c r="AA12" s="709"/>
      <c r="AB12" s="709"/>
      <c r="AC12" s="709"/>
      <c r="AD12" s="759">
        <v>0</v>
      </c>
    </row>
    <row customHeight="1" ht="14.699999999999998">
      <c r="J13" s="717"/>
      <c r="K13" s="717"/>
      <c r="L13" s="1616"/>
      <c r="M13" s="704"/>
      <c r="N13" s="1585"/>
      <c r="O13" s="2593"/>
      <c r="P13" s="2593"/>
      <c r="Q13" s="2593"/>
      <c r="R13" s="2593"/>
      <c r="S13" s="2593"/>
      <c r="T13" s="2593"/>
      <c r="U13" s="2593"/>
      <c r="V13" s="2593"/>
      <c r="AD13" s="1496">
        <v>14</v>
      </c>
    </row>
    <row customHeight="1" ht="14.699999999999998">
      <c r="J14" s="717"/>
      <c r="K14" s="717"/>
      <c r="L14" s="2468" t="s">
        <v>295</v>
      </c>
      <c r="M14" s="2468"/>
      <c r="N14" s="2468"/>
      <c r="O14" s="2468"/>
      <c r="P14" s="2468"/>
      <c r="Q14" s="2468"/>
      <c r="R14" s="2468"/>
      <c r="S14" s="2468"/>
      <c r="T14" s="2468"/>
      <c r="U14" s="2468"/>
      <c r="V14" s="2468"/>
      <c r="W14" s="2468"/>
      <c r="X14" s="2468" t="s">
        <v>296</v>
      </c>
      <c r="AD14" s="1496">
        <v>14</v>
      </c>
    </row>
    <row customHeight="1" ht="14.699999999999998">
      <c r="J15" s="717"/>
      <c r="K15" s="717"/>
      <c r="L15" s="2614" t="s">
        <v>88</v>
      </c>
      <c r="M15" s="2550" t="s">
        <v>423</v>
      </c>
      <c r="N15" s="642"/>
      <c r="O15" s="2615" t="s">
        <v>2356</v>
      </c>
      <c r="P15" s="2616"/>
      <c r="Q15" s="2616"/>
      <c r="R15" s="2616"/>
      <c r="S15" s="2616"/>
      <c r="T15" s="2616"/>
      <c r="U15" s="2617"/>
      <c r="V15" s="2618" t="s">
        <v>425</v>
      </c>
      <c r="W15" s="2621" t="s">
        <v>1325</v>
      </c>
      <c r="X15" s="2468"/>
      <c r="AD15" s="1496">
        <v>14</v>
      </c>
    </row>
    <row customHeight="1" ht="35.699999999999996">
      <c r="J16" s="717"/>
      <c r="K16" s="717"/>
      <c r="L16" s="2614"/>
      <c r="M16" s="2550"/>
      <c r="N16" s="1372"/>
      <c r="O16" s="2601" t="s">
        <v>428</v>
      </c>
      <c r="P16" s="2601" t="s">
        <v>429</v>
      </c>
      <c r="Q16" s="2603" t="s">
        <v>430</v>
      </c>
      <c r="R16" s="2604"/>
      <c r="S16" s="2603" t="s">
        <v>444</v>
      </c>
      <c r="T16" s="2610"/>
      <c r="U16" s="2604"/>
      <c r="V16" s="2619"/>
      <c r="W16" s="2622"/>
      <c r="X16" s="2468"/>
      <c r="AD16" s="1496">
        <v>34</v>
      </c>
    </row>
    <row customHeight="1" ht="35.699999999999996">
      <c r="A17" s="1711" t="s">
        <v>131</v>
      </c>
      <c r="B17" s="1711" t="s">
        <v>132</v>
      </c>
      <c r="C17" s="1711" t="s">
        <v>133</v>
      </c>
      <c r="D17" s="1711" t="s">
        <v>134</v>
      </c>
      <c r="E17" s="1711"/>
      <c r="J17" s="717"/>
      <c r="K17" s="717"/>
      <c r="L17" s="2614"/>
      <c r="M17" s="2550"/>
      <c r="N17" s="643"/>
      <c r="O17" s="2602"/>
      <c r="P17" s="2602"/>
      <c r="Q17" s="1563" t="s">
        <v>439</v>
      </c>
      <c r="R17" s="1563" t="s">
        <v>440</v>
      </c>
      <c r="S17" s="1633" t="s">
        <v>441</v>
      </c>
      <c r="T17" s="2611" t="s">
        <v>442</v>
      </c>
      <c r="U17" s="2612"/>
      <c r="V17" s="2620"/>
      <c r="W17" s="2623"/>
      <c r="X17" s="2468"/>
      <c r="AD17" s="1496">
        <v>34</v>
      </c>
    </row>
    <row s="17832" customFormat="1" customHeight="1" ht="11.549999999999999">
      <c r="A18" s="1711"/>
      <c r="B18" s="1711"/>
      <c r="C18" s="1711"/>
      <c r="D18" s="1711"/>
      <c r="E18" s="1711"/>
      <c r="F18" s="1703"/>
      <c r="G18" s="1703"/>
      <c r="H18" s="1703"/>
      <c r="I18" s="1587"/>
      <c r="J18" s="1588"/>
      <c r="K18" s="1595">
        <v>1</v>
      </c>
      <c r="L18" s="1618" t="s">
        <v>106</v>
      </c>
      <c r="M18" s="1596" t="s">
        <v>107</v>
      </c>
      <c r="N18" s="1586" t="str">
        <f>OFFSET(N18,0,-1)</f>
        <v>2</v>
      </c>
      <c r="O18" s="1630">
        <f>OFFSET(O18,0,-1)+1</f>
        <v>3</v>
      </c>
      <c r="P18" s="1630"/>
      <c r="Q18" s="1630">
        <f>OFFSET(Q18,0,-1)+1</f>
        <v>1</v>
      </c>
      <c r="R18" s="1630">
        <f>OFFSET(R18,0,-1)+1</f>
        <v>2</v>
      </c>
      <c r="S18" s="1630">
        <f>OFFSET(S18,0,-1)+1</f>
        <v>3</v>
      </c>
      <c r="T18" s="2613">
        <f>OFFSET(T18,0,-1)+1</f>
        <v>4</v>
      </c>
      <c r="U18" s="2613"/>
      <c r="V18" s="1630">
        <f>OFFSET(V18,0,-2)+1</f>
        <v>5</v>
      </c>
      <c r="W18" s="1586">
        <f>OFFSET(W18,0,-1)</f>
        <v>5</v>
      </c>
      <c r="X18" s="1630">
        <f>OFFSET(X18,0,-1)+1</f>
        <v>6</v>
      </c>
      <c r="Y18" s="852"/>
      <c r="Z18" s="852"/>
      <c r="AA18" s="852"/>
      <c r="AB18" s="852"/>
      <c r="AC18" s="852"/>
      <c r="AD18" s="837">
        <v>11</v>
      </c>
    </row>
    <row customHeight="1" ht="21">
      <c r="A19" s="1704" t="s">
        <v>165</v>
      </c>
      <c r="B19" s="1704" t="s">
        <v>166</v>
      </c>
      <c r="C19" s="1704" t="s">
        <v>167</v>
      </c>
      <c r="D19" s="1704" t="s">
        <v>168</v>
      </c>
      <c r="E19" s="1704"/>
      <c r="F19" s="1706"/>
      <c r="G19" s="1706"/>
      <c r="H19" s="1706"/>
      <c r="I19" s="702"/>
      <c r="J19" s="701"/>
      <c r="K19" s="696"/>
      <c r="L19" s="1634">
        <f>INDEX(PT_DIFFERENTIATION_NUM_NTAR,MATCH(A19,PT_DIFFERENTIATION_NTAR_ID,0))</f>
        <v>0</v>
      </c>
      <c r="M19" s="639" t="s">
        <v>120</v>
      </c>
      <c r="N19" s="641"/>
      <c r="O19" s="2947" t="str">
        <f>INDEX(PT_DIFFERENTIATION_NTAR,MATCH(A19,PT_DIFFERENTIATION_NTAR_ID,0))</f>
        <v/>
      </c>
      <c r="P19" s="2947"/>
      <c r="Q19" s="2947"/>
      <c r="R19" s="2947"/>
      <c r="S19" s="2947"/>
      <c r="T19" s="2947"/>
      <c r="U19" s="2947"/>
      <c r="V19" s="2947"/>
      <c r="W19" s="2947"/>
      <c r="X19" s="1599" t="s">
        <v>391</v>
      </c>
      <c r="Z19" s="841"/>
      <c r="AA19" s="841" t="str">
        <f>IF(M19="","",M19)</f>
        <v>Наименование тарифа</v>
      </c>
      <c r="AB19" s="841"/>
      <c r="AC19" s="841"/>
      <c r="AD19" s="1496">
        <v>20</v>
      </c>
    </row>
    <row customHeight="1" ht="21">
      <c r="A20" s="1704" t="s">
        <v>165</v>
      </c>
      <c r="B20" s="1704" t="s">
        <v>166</v>
      </c>
      <c r="C20" s="1704" t="s">
        <v>167</v>
      </c>
      <c r="D20" s="1704" t="s">
        <v>168</v>
      </c>
      <c r="E20" s="1704"/>
      <c r="F20" s="1706"/>
      <c r="G20" s="1706"/>
      <c r="H20" s="1706"/>
      <c r="I20" s="1631"/>
      <c r="J20" s="693"/>
      <c r="K20" s="694"/>
      <c r="L20" s="1634" t="str">
        <f>INDEX(PT_DIFFERENTIATION_NUM_TER,MATCH(B19,PT_DIFFERENTIATION_TER_ID,0))</f>
        <v>.</v>
      </c>
      <c r="M20" s="649" t="s">
        <v>392</v>
      </c>
      <c r="N20" s="641"/>
      <c r="O20" s="2947" t="str">
        <f>INDEX(PT_DIFFERENTIATION_TER,MATCH(B19,PT_DIFFERENTIATION_TER_ID,0))</f>
        <v/>
      </c>
      <c r="P20" s="2947"/>
      <c r="Q20" s="2947"/>
      <c r="R20" s="2947"/>
      <c r="S20" s="2947"/>
      <c r="T20" s="2947"/>
      <c r="U20" s="2947"/>
      <c r="V20" s="2947"/>
      <c r="W20" s="2947"/>
      <c r="X20" s="1599" t="s">
        <v>393</v>
      </c>
      <c r="Z20" s="841"/>
      <c r="AA20" s="841" t="str">
        <f>IF(M20="","",M20)</f>
        <v>Территория действия тарифа</v>
      </c>
      <c r="AB20" s="841"/>
      <c r="AC20" s="841"/>
      <c r="AD20" s="1496">
        <v>20</v>
      </c>
    </row>
    <row customHeight="1" ht="24">
      <c r="A21" s="1704" t="s">
        <v>165</v>
      </c>
      <c r="B21" s="1704" t="s">
        <v>166</v>
      </c>
      <c r="C21" s="1704" t="s">
        <v>167</v>
      </c>
      <c r="D21" s="1704" t="s">
        <v>168</v>
      </c>
      <c r="E21" s="1704"/>
      <c r="F21" s="1706"/>
      <c r="G21" s="1706"/>
      <c r="H21" s="1706"/>
      <c r="I21" s="695"/>
      <c r="J21" s="693"/>
      <c r="K21" s="694"/>
      <c r="L21" s="1634" t="str">
        <f>INDEX(PT_DIFFERENTIATION_NUM_CS,MATCH(C19,PT_DIFFERENTIATION_CS_ID,0))</f>
        <v>..</v>
      </c>
      <c r="M21" s="650" t="s">
        <v>394</v>
      </c>
      <c r="N21" s="641"/>
      <c r="O21" s="2947" t="str">
        <f>INDEX(PT_DIFFERENTIATION_CS,MATCH(C19,PT_DIFFERENTIATION_CS_ID,0))</f>
        <v/>
      </c>
      <c r="P21" s="2947"/>
      <c r="Q21" s="2947"/>
      <c r="R21" s="2947"/>
      <c r="S21" s="2947"/>
      <c r="T21" s="2947"/>
      <c r="U21" s="2947"/>
      <c r="V21" s="2947"/>
      <c r="W21" s="2947"/>
      <c r="X21" s="1599" t="s">
        <v>395</v>
      </c>
      <c r="Z21" s="841"/>
      <c r="AA21" s="841" t="str">
        <f>IF(M21="","",M21)</f>
        <v>Наименование системы теплоснабжения </v>
      </c>
      <c r="AB21" s="841"/>
      <c r="AC21" s="841"/>
      <c r="AD21" s="1496">
        <v>23</v>
      </c>
    </row>
    <row customHeight="1" ht="21">
      <c r="A22" s="1704" t="s">
        <v>165</v>
      </c>
      <c r="B22" s="1704" t="s">
        <v>166</v>
      </c>
      <c r="C22" s="1704" t="s">
        <v>167</v>
      </c>
      <c r="D22" s="1704" t="s">
        <v>168</v>
      </c>
      <c r="E22" s="1704"/>
      <c r="F22" s="1706"/>
      <c r="G22" s="1706"/>
      <c r="H22" s="1706"/>
      <c r="I22" s="695"/>
      <c r="J22" s="693"/>
      <c r="K22" s="694"/>
      <c r="L22" s="1634" t="str">
        <f>INDEX(PT_DIFFERENTIATION_NUM_IST_TE,MATCH(D19,PT_DIFFERENTIATION_IST_TE_ID,0))</f>
        <v>...</v>
      </c>
      <c r="M22" s="651" t="s">
        <v>396</v>
      </c>
      <c r="N22" s="641"/>
      <c r="O22" s="2947" t="str">
        <f>INDEX(PT_DIFFERENTIATION_IST_TE,MATCH(D19,PT_DIFFERENTIATION_IST_TE_ID,0))</f>
        <v/>
      </c>
      <c r="P22" s="2947"/>
      <c r="Q22" s="2947"/>
      <c r="R22" s="2947"/>
      <c r="S22" s="2947"/>
      <c r="T22" s="2947"/>
      <c r="U22" s="2947"/>
      <c r="V22" s="2947"/>
      <c r="W22" s="2947"/>
      <c r="X22" s="1599" t="s">
        <v>397</v>
      </c>
      <c r="Z22" s="841"/>
      <c r="AA22" s="841" t="str">
        <f>IF(M22="","",M22)</f>
        <v>Источник тепловой энергии  </v>
      </c>
      <c r="AB22" s="841"/>
      <c r="AC22" s="841"/>
      <c r="AD22" s="1496">
        <v>20</v>
      </c>
    </row>
    <row customHeight="1" ht="96.75">
      <c r="A23" s="1704" t="s">
        <v>165</v>
      </c>
      <c r="B23" s="1704" t="s">
        <v>166</v>
      </c>
      <c r="C23" s="1704" t="s">
        <v>167</v>
      </c>
      <c r="D23" s="1704" t="s">
        <v>168</v>
      </c>
      <c r="E23" s="1704"/>
      <c r="F23" s="2948" t="str">
        <f>L22&amp;".1"</f>
        <v>....1</v>
      </c>
      <c r="I23" s="2598">
        <v>1</v>
      </c>
      <c r="J23" s="1632"/>
      <c r="K23" s="697"/>
      <c r="L23" s="1634" t="str">
        <f>$F$23</f>
        <v>....1</v>
      </c>
      <c r="M23" s="626" t="s">
        <v>399</v>
      </c>
      <c r="N23" s="641"/>
      <c r="O23" s="2646"/>
      <c r="P23" s="2646"/>
      <c r="Q23" s="2646"/>
      <c r="R23" s="2646"/>
      <c r="S23" s="2646"/>
      <c r="T23" s="2646"/>
      <c r="U23" s="2646"/>
      <c r="V23" s="2646"/>
      <c r="W23" s="2646"/>
      <c r="X23" s="1599" t="s">
        <v>400</v>
      </c>
      <c r="Z23" s="841"/>
      <c r="AA23" s="841" t="str">
        <f>IF(M23="","",M23)</f>
        <v>Схема подключения теплопотребляющей установки к коллектору источника тепловой энергии</v>
      </c>
      <c r="AB23" s="841"/>
      <c r="AC23" s="841"/>
      <c r="AD23" s="1496">
        <v>92</v>
      </c>
    </row>
    <row customHeight="1" ht="86.25">
      <c r="A24" s="1704" t="s">
        <v>165</v>
      </c>
      <c r="B24" s="1704" t="s">
        <v>166</v>
      </c>
      <c r="C24" s="1704" t="s">
        <v>167</v>
      </c>
      <c r="D24" s="1704" t="s">
        <v>168</v>
      </c>
      <c r="E24" s="1704"/>
      <c r="F24" s="2948"/>
      <c r="G24" s="2558" t="str">
        <f>F23&amp;".1"</f>
        <v>....1.1</v>
      </c>
      <c r="I24" s="2598"/>
      <c r="J24" s="2598">
        <v>1</v>
      </c>
      <c r="K24" s="698"/>
      <c r="L24" s="1634" t="str">
        <f>$G$24</f>
        <v>....1.1</v>
      </c>
      <c r="M24" s="627" t="s">
        <v>402</v>
      </c>
      <c r="N24" s="641"/>
      <c r="O24" s="2586"/>
      <c r="P24" s="2587"/>
      <c r="Q24" s="2587"/>
      <c r="R24" s="2587"/>
      <c r="S24" s="2587"/>
      <c r="T24" s="2587"/>
      <c r="U24" s="2587"/>
      <c r="V24" s="2587"/>
      <c r="W24" s="2588"/>
      <c r="X24" s="1599" t="s">
        <v>403</v>
      </c>
      <c r="Z24" s="841"/>
      <c r="AA24" s="841" t="str">
        <f>IF(M24="","",M24)</f>
        <v>Группа потребителей</v>
      </c>
      <c r="AB24" s="841"/>
      <c r="AC24" s="841"/>
      <c r="AD24" s="1496">
        <v>82</v>
      </c>
    </row>
    <row customHeight="1" ht="11.549999999999999">
      <c r="A25" s="1704" t="s">
        <v>165</v>
      </c>
      <c r="B25" s="1704" t="s">
        <v>166</v>
      </c>
      <c r="C25" s="1704" t="s">
        <v>167</v>
      </c>
      <c r="D25" s="1704" t="s">
        <v>168</v>
      </c>
      <c r="E25" s="1704"/>
      <c r="F25" s="2948"/>
      <c r="G25" s="2558"/>
      <c r="H25" s="2558" t="str">
        <f>G24&amp;".1"</f>
        <v>....1.1.1</v>
      </c>
      <c r="I25" s="2598"/>
      <c r="J25" s="2598"/>
      <c r="K25" s="698">
        <v>1</v>
      </c>
      <c r="L25" s="1634" t="str">
        <f>$H$25</f>
        <v>....1.1.1</v>
      </c>
      <c r="M25" s="1688"/>
      <c r="N25" s="641"/>
      <c r="O25" s="1092"/>
      <c r="P25" s="666"/>
      <c r="Q25" s="1092"/>
      <c r="R25" s="1598"/>
      <c r="S25" s="2943"/>
      <c r="T25" s="2448" t="s">
        <v>65</v>
      </c>
      <c r="U25" s="2943"/>
      <c r="V25" s="2448" t="s">
        <v>19</v>
      </c>
      <c r="W25" s="666"/>
      <c r="X25" s="2594" t="s">
        <v>405</v>
      </c>
      <c r="Y25" s="852">
        <f>STRCHECKDATE(O26:W26)</f>
      </c>
      <c r="Z25" s="841"/>
      <c r="AA25" s="841" t="str">
        <f>IF(M25="","",M25)</f>
        <v/>
      </c>
      <c r="AB25" s="841"/>
      <c r="AC25" s="841"/>
      <c r="AD25" s="1496">
        <v>11</v>
      </c>
    </row>
    <row customHeight="1" ht="11.549999999999999">
      <c r="A26" s="1704" t="s">
        <v>165</v>
      </c>
      <c r="B26" s="1704" t="s">
        <v>166</v>
      </c>
      <c r="C26" s="1704" t="s">
        <v>167</v>
      </c>
      <c r="D26" s="1704" t="s">
        <v>168</v>
      </c>
      <c r="E26" s="1704"/>
      <c r="F26" s="2948"/>
      <c r="G26" s="2558"/>
      <c r="H26" s="2558"/>
      <c r="I26" s="2598"/>
      <c r="J26" s="2598"/>
      <c r="K26" s="698"/>
      <c r="L26" s="1635"/>
      <c r="M26" s="641"/>
      <c r="N26" s="641"/>
      <c r="O26" s="666"/>
      <c r="P26" s="666"/>
      <c r="Q26" s="666"/>
      <c r="R26" s="669" t="str">
        <f>S25&amp;"-"&amp;U25</f>
        <v>-</v>
      </c>
      <c r="S26" s="2607"/>
      <c r="T26" s="2448"/>
      <c r="U26" s="2607"/>
      <c r="V26" s="2448"/>
      <c r="W26" s="666"/>
      <c r="X26" s="2595"/>
      <c r="Z26" s="841"/>
      <c r="AA26" s="841" t="str">
        <f>IF(M26="","",M26)</f>
        <v/>
      </c>
      <c r="AB26" s="841"/>
      <c r="AC26" s="841"/>
      <c r="AD26" s="1496">
        <v>11</v>
      </c>
    </row>
    <row customHeight="1" ht="15.75">
      <c r="A27" s="1704" t="s">
        <v>165</v>
      </c>
      <c r="B27" s="1704" t="s">
        <v>166</v>
      </c>
      <c r="C27" s="1704" t="s">
        <v>167</v>
      </c>
      <c r="D27" s="1704" t="s">
        <v>168</v>
      </c>
      <c r="E27" s="1704"/>
      <c r="F27" s="2948"/>
      <c r="G27" s="2558"/>
      <c r="I27" s="2598"/>
      <c r="J27" s="2598"/>
      <c r="K27" s="697"/>
      <c r="L27" s="1619"/>
      <c r="M27" s="629" t="s">
        <v>406</v>
      </c>
      <c r="N27" s="708"/>
      <c r="O27" s="708"/>
      <c r="P27" s="708"/>
      <c r="Q27" s="708"/>
      <c r="R27" s="708"/>
      <c r="S27" s="708"/>
      <c r="T27" s="708"/>
      <c r="U27" s="708"/>
      <c r="V27" s="708"/>
      <c r="W27" s="665"/>
      <c r="X27" s="2596"/>
      <c r="Z27" s="841"/>
      <c r="AA27" s="841" t="str">
        <f>IF(M27="","",M27)</f>
        <v>Добавить вид теплоносителя (параметры теплоносителя)</v>
      </c>
      <c r="AB27" s="841"/>
      <c r="AC27" s="841"/>
      <c r="AD27" s="1496">
        <v>15</v>
      </c>
    </row>
    <row customHeight="1" ht="15.75">
      <c r="A28" s="1704" t="s">
        <v>165</v>
      </c>
      <c r="B28" s="1704" t="s">
        <v>166</v>
      </c>
      <c r="C28" s="1704" t="s">
        <v>167</v>
      </c>
      <c r="D28" s="1704" t="s">
        <v>168</v>
      </c>
      <c r="E28" s="1704"/>
      <c r="F28" s="2948"/>
      <c r="I28" s="2598"/>
      <c r="J28" s="1632"/>
      <c r="K28" s="697"/>
      <c r="L28" s="1619"/>
      <c r="M28" s="628" t="s">
        <v>407</v>
      </c>
      <c r="N28" s="708"/>
      <c r="O28" s="708"/>
      <c r="P28" s="708"/>
      <c r="Q28" s="708"/>
      <c r="R28" s="708"/>
      <c r="S28" s="708"/>
      <c r="T28" s="708"/>
      <c r="U28" s="708"/>
      <c r="V28" s="707"/>
      <c r="W28" s="708"/>
      <c r="X28" s="644"/>
      <c r="Z28" s="841"/>
      <c r="AA28" s="841" t="str">
        <f>IF(M28="","",M28)</f>
        <v>Добавить группу потребителей</v>
      </c>
      <c r="AB28" s="841"/>
      <c r="AC28" s="841"/>
      <c r="AD28" s="1496">
        <v>15</v>
      </c>
    </row>
    <row customHeight="1" ht="14.699999999999998">
      <c r="A29" s="1704" t="s">
        <v>165</v>
      </c>
      <c r="B29" s="1704" t="s">
        <v>166</v>
      </c>
      <c r="C29" s="1704" t="s">
        <v>167</v>
      </c>
      <c r="D29" s="1704" t="s">
        <v>168</v>
      </c>
      <c r="E29" s="1704"/>
      <c r="F29" s="1706"/>
      <c r="G29" s="1706"/>
      <c r="H29" s="878"/>
      <c r="I29" s="701"/>
      <c r="J29" s="716"/>
      <c r="K29" s="696"/>
      <c r="L29" s="1619"/>
      <c r="M29" s="706" t="s">
        <v>408</v>
      </c>
      <c r="N29" s="708"/>
      <c r="O29" s="708"/>
      <c r="P29" s="708"/>
      <c r="Q29" s="708"/>
      <c r="R29" s="708"/>
      <c r="S29" s="708"/>
      <c r="T29" s="708"/>
      <c r="U29" s="708"/>
      <c r="V29" s="707"/>
      <c r="W29" s="708"/>
      <c r="X29" s="644"/>
      <c r="Z29" s="841"/>
      <c r="AA29" s="841" t="str">
        <f>IF(M29="","",M29)</f>
        <v>Добавить схему подключения</v>
      </c>
      <c r="AB29" s="841"/>
      <c r="AC29" s="841"/>
      <c r="AD29" s="1496">
        <v>14</v>
      </c>
    </row>
    <row customHeight="1" ht="14.699999999999998">
      <c r="A30" s="1704" t="s">
        <v>165</v>
      </c>
      <c r="B30" s="1704" t="s">
        <v>166</v>
      </c>
      <c r="C30" s="1704" t="s">
        <v>167</v>
      </c>
      <c r="D30" s="1704"/>
      <c r="E30" s="1704" t="s">
        <v>581</v>
      </c>
      <c r="F30" s="1706"/>
      <c r="G30" s="1706"/>
      <c r="H30" s="878"/>
      <c r="I30" s="701"/>
      <c r="J30" s="716"/>
      <c r="K30" s="696"/>
      <c r="L30" s="1620"/>
      <c r="M30" s="1609"/>
      <c r="N30" s="1610"/>
      <c r="O30" s="1610"/>
      <c r="P30" s="1610"/>
      <c r="Q30" s="1610"/>
      <c r="R30" s="1610"/>
      <c r="S30" s="1610"/>
      <c r="T30" s="1610"/>
      <c r="U30" s="1610"/>
      <c r="V30" s="1611"/>
      <c r="W30" s="1610"/>
      <c r="X30" s="1612"/>
      <c r="Z30" s="841"/>
      <c r="AA30" s="841" t="str">
        <f>IF(M30="","",M30)</f>
        <v/>
      </c>
      <c r="AB30" s="841"/>
      <c r="AC30" s="841"/>
      <c r="AD30" s="1496">
        <v>14</v>
      </c>
    </row>
    <row customHeight="1" ht="14.699999999999998">
      <c r="A31" s="1704" t="s">
        <v>165</v>
      </c>
      <c r="B31" s="1704" t="s">
        <v>166</v>
      </c>
      <c r="C31" s="1704"/>
      <c r="D31" s="1704"/>
      <c r="E31" s="1704" t="s">
        <v>2357</v>
      </c>
      <c r="F31" s="1858"/>
      <c r="G31" s="1858"/>
      <c r="H31" s="878"/>
      <c r="I31" s="699"/>
      <c r="J31" s="716"/>
      <c r="K31" s="700"/>
      <c r="L31" s="1620"/>
      <c r="M31" s="1613"/>
      <c r="N31" s="1610"/>
      <c r="O31" s="1610"/>
      <c r="P31" s="1610"/>
      <c r="Q31" s="1610"/>
      <c r="R31" s="1610"/>
      <c r="S31" s="1610"/>
      <c r="T31" s="1610"/>
      <c r="U31" s="1610"/>
      <c r="V31" s="1611"/>
      <c r="W31" s="1610"/>
      <c r="X31" s="1612"/>
      <c r="Z31" s="841"/>
      <c r="AA31" s="841" t="str">
        <f>IF(M31="","",M31)</f>
        <v/>
      </c>
      <c r="AB31" s="841"/>
      <c r="AC31" s="841"/>
      <c r="AD31" s="1496">
        <v>14</v>
      </c>
    </row>
    <row customHeight="1" ht="14.699999999999998">
      <c r="A32" s="1704" t="s">
        <v>2358</v>
      </c>
      <c r="B32" s="1704"/>
      <c r="C32" s="1704"/>
      <c r="D32" s="1704"/>
      <c r="E32" s="1704" t="s">
        <v>101</v>
      </c>
      <c r="F32" s="1858"/>
      <c r="G32" s="1858"/>
      <c r="H32" s="878"/>
      <c r="I32" s="701"/>
      <c r="J32" s="716"/>
      <c r="K32" s="696"/>
      <c r="L32" s="1620"/>
      <c r="M32" s="1614"/>
      <c r="N32" s="1610"/>
      <c r="O32" s="1610"/>
      <c r="P32" s="1610"/>
      <c r="Q32" s="1610"/>
      <c r="R32" s="1610"/>
      <c r="S32" s="1610"/>
      <c r="T32" s="1610"/>
      <c r="U32" s="1610"/>
      <c r="V32" s="1611"/>
      <c r="W32" s="1610"/>
      <c r="X32" s="1612"/>
      <c r="Z32" s="841"/>
      <c r="AA32" s="841" t="str">
        <f>IF(M32="","",M32)</f>
        <v/>
      </c>
      <c r="AB32" s="841"/>
      <c r="AC32" s="841"/>
      <c r="AD32" s="1496">
        <v>14</v>
      </c>
    </row>
    <row s="17376" customFormat="1" customHeight="1" ht="11.549999999999999">
      <c r="A33" s="1704"/>
      <c r="B33" s="1704"/>
      <c r="C33" s="1704"/>
      <c r="D33" s="1704"/>
      <c r="E33" s="1704" t="s">
        <v>443</v>
      </c>
      <c r="F33" s="1859"/>
      <c r="G33" s="1860"/>
      <c r="H33" s="878"/>
      <c r="L33" s="1621"/>
      <c r="M33" s="1615"/>
      <c r="N33" s="1610"/>
      <c r="O33" s="1610"/>
      <c r="P33" s="1610"/>
      <c r="Q33" s="1610"/>
      <c r="R33" s="1610"/>
      <c r="S33" s="1610"/>
      <c r="T33" s="1610"/>
      <c r="U33" s="1610"/>
      <c r="V33" s="1611"/>
      <c r="W33" s="1610"/>
      <c r="X33" s="1612"/>
      <c r="Y33" s="720"/>
      <c r="Z33" s="720"/>
      <c r="AA33" s="720"/>
      <c r="AB33" s="720"/>
      <c r="AC33" s="720"/>
      <c r="AD33" s="714">
        <v>11</v>
      </c>
    </row>
    <row customHeight="1" ht="11.549999999999999">
      <c r="F34" s="1501"/>
      <c r="G34" s="1501"/>
      <c r="H34" s="878"/>
      <c r="I34" s="1496"/>
      <c r="J34" s="1496"/>
      <c r="K34" s="1496"/>
      <c r="Y34" s="1496"/>
      <c r="Z34" s="1496"/>
      <c r="AA34" s="1496"/>
      <c r="AB34" s="1496"/>
      <c r="AC34" s="1496"/>
      <c r="AD34" s="1496">
        <v>11</v>
      </c>
    </row>
    <row customHeight="1" ht="28.5">
      <c r="H35" s="878"/>
      <c r="L35" s="1629" t="s">
        <v>799</v>
      </c>
      <c r="M35" s="2626" t="s">
        <v>2359</v>
      </c>
      <c r="N35" s="2626"/>
      <c r="O35" s="2626"/>
      <c r="P35" s="2626"/>
      <c r="Q35" s="2626"/>
      <c r="R35" s="2626"/>
      <c r="S35" s="2626"/>
      <c r="T35" s="2626"/>
      <c r="U35" s="2626"/>
      <c r="V35" s="2626"/>
      <c r="W35" s="2626"/>
      <c r="X35" s="2626"/>
      <c r="AD35" s="1496">
        <v>27</v>
      </c>
    </row>
    <row customHeight="1" ht="109.19999999999999">
      <c r="H36" s="878"/>
      <c r="I36" s="1644"/>
      <c r="M36" s="2626" t="s">
        <v>2360</v>
      </c>
      <c r="N36" s="2626"/>
      <c r="O36" s="2626"/>
      <c r="P36" s="2626"/>
      <c r="Q36" s="2626"/>
      <c r="R36" s="2626"/>
      <c r="S36" s="2626"/>
      <c r="T36" s="2626"/>
      <c r="U36" s="2626"/>
      <c r="V36" s="2626"/>
      <c r="W36" s="2626"/>
      <c r="X36" s="2626"/>
      <c r="AD36" s="1496">
        <v>104</v>
      </c>
    </row>
    <row customHeight="1" ht="14.699999999999998">
      <c r="H37" s="878"/>
      <c r="AD37" s="1496">
        <v>14</v>
      </c>
    </row>
    <row customHeight="1" ht="14.699999999999998">
      <c r="H38" s="878"/>
      <c r="AD38" s="1496">
        <v>14</v>
      </c>
    </row>
    <row customHeight="1" ht="14.699999999999998">
      <c r="H39" s="878"/>
      <c r="AD39" s="1496">
        <v>14</v>
      </c>
    </row>
    <row customHeight="1" ht="14.699999999999998">
      <c r="H40" s="878"/>
      <c r="AD40" s="1496">
        <v>14</v>
      </c>
    </row>
    <row customHeight="1" ht="22.5" hidden="1">
      <c r="A41" s="1501" t="s">
        <v>82</v>
      </c>
      <c r="B41" s="1501">
        <v>0</v>
      </c>
      <c r="C41" s="1501">
        <v>0</v>
      </c>
      <c r="D41" s="1501">
        <v>0</v>
      </c>
      <c r="E41" s="1501">
        <v>0</v>
      </c>
      <c r="F41" s="1703">
        <v>0</v>
      </c>
      <c r="G41" s="1703">
        <v>0</v>
      </c>
      <c r="H41" s="1703">
        <v>0</v>
      </c>
      <c r="I41" s="1627">
        <v>3</v>
      </c>
      <c r="J41" s="685">
        <v>3</v>
      </c>
      <c r="K41" s="685">
        <v>3</v>
      </c>
      <c r="L41" s="922">
        <v>12</v>
      </c>
      <c r="M41" s="1496">
        <v>31</v>
      </c>
      <c r="N41" s="1496">
        <v>1</v>
      </c>
      <c r="O41" s="1496">
        <v>24</v>
      </c>
      <c r="P41" s="1496">
        <v>24</v>
      </c>
      <c r="Q41" s="1496">
        <v>24</v>
      </c>
      <c r="R41" s="1496">
        <v>24</v>
      </c>
      <c r="S41" s="1496">
        <v>11</v>
      </c>
      <c r="T41" s="1496">
        <v>3</v>
      </c>
      <c r="U41" s="1496">
        <v>11</v>
      </c>
      <c r="V41" s="1496">
        <v>8</v>
      </c>
      <c r="W41" s="1496">
        <v>4</v>
      </c>
      <c r="X41" s="1496">
        <v>115</v>
      </c>
      <c r="Y41" s="852">
        <v>10</v>
      </c>
      <c r="Z41" s="852">
        <v>10</v>
      </c>
      <c r="AA41" s="852">
        <v>10</v>
      </c>
      <c r="AB41" s="852">
        <v>10</v>
      </c>
      <c r="AC41" s="852">
        <v>10</v>
      </c>
      <c r="AD41" s="1496">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90CAF1-2BFF-C228-F197-4AD641F134E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47DBAB-C7A4-934A-0FC5-BBBD8D018DB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F81193-4924-86B5-50E1-92F1BF51EF8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B8BBF2-AEB4-A1DD-5652-BD00E6BDFAF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640628-7065-9A83-6577-35385D8FE0E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2A2ABB-E82F-7284-6025-7E156239652E}"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7786" width="15.00390625" hidden="1" customWidth="1"/>
    <col min="2" max="2" style="17743" width="15.00390625" hidden="1" customWidth="1"/>
    <col min="3" max="3" style="17787" width="3.00390625" customWidth="1"/>
    <col min="4" max="4" style="17788" width="6.00390625" customWidth="1"/>
    <col min="5" max="5" style="17787" width="52.00390625" customWidth="1"/>
    <col min="6" max="6" style="17787" width="48.00390625" customWidth="1"/>
    <col min="7" max="7" style="17787" width="121.00390625" customWidth="1"/>
    <col min="8" max="8" style="17787" width="8.00390625" customWidth="1"/>
    <col min="9" max="9" style="17787" width="64.00390625" customWidth="1"/>
    <col min="10" max="10" style="17787" width="9.140625" hidden="1"/>
  </cols>
  <sheetData>
    <row customHeight="1" ht="11.25" hidden="1">
      <c r="A1" s="2027" t="s">
        <v>294</v>
      </c>
      <c r="J1" s="796" t="s">
        <v>14</v>
      </c>
    </row>
    <row customHeight="1" ht="11.25" hidden="1">
      <c r="J2" s="796">
        <v>0</v>
      </c>
    </row>
    <row s="17702" customFormat="1" customHeight="1" ht="11.549999999999999">
      <c r="A3" s="2027"/>
      <c r="B3" s="842"/>
      <c r="D3" s="819"/>
      <c r="J3" s="818">
        <v>11</v>
      </c>
    </row>
    <row customHeight="1" ht="27.299999999999997">
      <c r="D4" s="24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99"/>
      <c r="F4" s="2500"/>
      <c r="I4" s="1056"/>
      <c r="J4" s="796">
        <v>26</v>
      </c>
    </row>
    <row customHeight="1" ht="18">
      <c r="D5" s="2517" t="str">
        <f>IF(org=0,"Не определено",org)</f>
        <v>АО "ДГК"</v>
      </c>
      <c r="E5" s="2517"/>
      <c r="F5" s="2517"/>
      <c r="I5" s="1056"/>
      <c r="J5" s="796">
        <v>17</v>
      </c>
    </row>
    <row s="17702" customFormat="1" customHeight="1" ht="11.549999999999999">
      <c r="A6" s="2027"/>
      <c r="B6" s="842"/>
      <c r="D6" s="1055"/>
      <c r="E6" s="1055"/>
      <c r="F6" s="1093"/>
      <c r="G6" s="1055"/>
      <c r="J6" s="818">
        <v>11</v>
      </c>
    </row>
    <row customHeight="1" ht="11.25" hidden="1">
      <c r="A7" s="798"/>
      <c r="B7" s="843"/>
      <c r="C7" s="798"/>
      <c r="D7" s="804"/>
      <c r="E7" s="2548"/>
      <c r="F7" s="2548"/>
      <c r="J7" s="796">
        <v>0</v>
      </c>
    </row>
    <row customHeight="1" ht="11.549999999999999">
      <c r="A8" s="798"/>
      <c r="B8" s="843"/>
      <c r="C8" s="798"/>
      <c r="D8" s="2545" t="s">
        <v>295</v>
      </c>
      <c r="E8" s="2546"/>
      <c r="F8" s="2546"/>
      <c r="G8" s="2549" t="s">
        <v>296</v>
      </c>
      <c r="J8" s="796">
        <v>11</v>
      </c>
    </row>
    <row customHeight="1" ht="11.549999999999999">
      <c r="A9" s="798"/>
      <c r="B9" s="843"/>
      <c r="C9" s="798"/>
      <c r="D9" s="813" t="s">
        <v>88</v>
      </c>
      <c r="E9" s="787" t="s">
        <v>297</v>
      </c>
      <c r="F9" s="787" t="s">
        <v>298</v>
      </c>
      <c r="G9" s="2550"/>
      <c r="J9" s="796">
        <v>11</v>
      </c>
    </row>
    <row customHeight="1" ht="12" hidden="1">
      <c r="A10" s="798"/>
      <c r="B10" s="843"/>
      <c r="C10" s="798"/>
      <c r="D10" s="805"/>
      <c r="E10" s="805"/>
      <c r="F10" s="805"/>
      <c r="G10" s="805"/>
      <c r="J10" s="796">
        <v>0</v>
      </c>
    </row>
    <row customHeight="1" ht="22.5" hidden="1">
      <c r="A11" s="798"/>
      <c r="B11" s="843"/>
      <c r="C11" s="798"/>
      <c r="D11" s="1350" t="s">
        <v>106</v>
      </c>
      <c r="E11" s="1353" t="s">
        <v>299</v>
      </c>
      <c r="F11" s="1352" t="str">
        <f>IF(region_name="","",region_name)</f>
        <v>Хабаровский край</v>
      </c>
      <c r="G11" s="1353" t="s">
        <v>300</v>
      </c>
      <c r="H11" s="816"/>
      <c r="J11" s="796">
        <v>0</v>
      </c>
    </row>
    <row customHeight="1" ht="22.5" hidden="1">
      <c r="A12" s="798"/>
      <c r="B12" s="843"/>
      <c r="C12" s="798"/>
      <c r="D12" s="786" t="s">
        <v>106</v>
      </c>
      <c r="E12" s="78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784" t="s">
        <v>301</v>
      </c>
      <c r="G12" s="815"/>
      <c r="H12" s="816"/>
      <c r="J12" s="796">
        <v>0</v>
      </c>
    </row>
    <row customHeight="1" ht="23.25">
      <c r="A13" s="798"/>
      <c r="B13" s="843"/>
      <c r="C13" s="798"/>
      <c r="D13" s="786" t="s">
        <v>106</v>
      </c>
      <c r="E13" s="783" t="str">
        <f>"Наименование юридического лица"&amp;IF(TEMPLATE_SPHERE="TKO"," (индивидуального предпринимателя)","")</f>
        <v>Наименование юридического лица</v>
      </c>
      <c r="F13" s="782"/>
      <c r="G13" s="78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816"/>
      <c r="J13" s="796">
        <v>22</v>
      </c>
    </row>
    <row customHeight="1" ht="22.5" hidden="1">
      <c r="A14" s="798"/>
      <c r="B14" s="843"/>
      <c r="C14" s="798"/>
      <c r="D14" s="1350" t="s">
        <v>302</v>
      </c>
      <c r="E14" s="1351" t="s">
        <v>303</v>
      </c>
      <c r="F14" s="1352" t="str">
        <f>IF(inn="","",inn)</f>
        <v>1434031363</v>
      </c>
      <c r="G14" s="1353" t="s">
        <v>304</v>
      </c>
      <c r="H14" s="816"/>
      <c r="J14" s="796">
        <v>0</v>
      </c>
    </row>
    <row customHeight="1" ht="22.5" hidden="1">
      <c r="A15" s="798"/>
      <c r="B15" s="843"/>
      <c r="C15" s="798"/>
      <c r="D15" s="1350" t="s">
        <v>305</v>
      </c>
      <c r="E15" s="1351" t="s">
        <v>306</v>
      </c>
      <c r="F15" s="1352" t="str">
        <f>IF(kpp="","",kpp)</f>
        <v>272101001</v>
      </c>
      <c r="G15" s="1353" t="s">
        <v>307</v>
      </c>
      <c r="H15" s="816"/>
      <c r="J15" s="796">
        <v>0</v>
      </c>
    </row>
    <row customHeight="1" ht="39">
      <c r="A16" s="798"/>
      <c r="B16" s="843"/>
      <c r="C16" s="798"/>
      <c r="D16" s="786" t="s">
        <v>107</v>
      </c>
      <c r="E16" s="78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782"/>
      <c r="G16" s="78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16"/>
      <c r="J16" s="796">
        <v>37</v>
      </c>
    </row>
    <row customHeight="1" ht="23.25">
      <c r="A17" s="798"/>
      <c r="B17" s="843"/>
      <c r="C17" s="798"/>
      <c r="D17" s="786" t="s">
        <v>90</v>
      </c>
      <c r="E17" s="783" t="str">
        <f>"Дата присвоения ОГРН"&amp;IF(TEMPLATE_SPHERE="TKO",""," (ОГРНИП)")</f>
        <v>Дата присвоения ОГРН (ОГРНИП)</v>
      </c>
      <c r="F17" s="2073" t="s">
        <v>22</v>
      </c>
      <c r="G17" s="785" t="str">
        <f>"Дата присвоения ОГРН"&amp;IF(TEMPLATE_SPHERE="TKO",""," (ОГРНИП)")&amp;" указывается в виде «ДД.ММ.ГГГГ»."</f>
        <v>Дата присвоения ОГРН (ОГРНИП) указывается в виде «ДД.ММ.ГГГГ».</v>
      </c>
      <c r="H17" s="816"/>
      <c r="J17" s="796">
        <v>22</v>
      </c>
    </row>
    <row customHeight="1" ht="71.25">
      <c r="A18" s="798"/>
      <c r="B18" s="843"/>
      <c r="C18" s="798"/>
      <c r="D18" s="786" t="s">
        <v>91</v>
      </c>
      <c r="E18" s="78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782"/>
      <c r="G18" s="815"/>
      <c r="H18" s="816"/>
      <c r="J18" s="796">
        <v>68</v>
      </c>
    </row>
    <row customHeight="1" ht="22.5" hidden="1">
      <c r="A19" s="2543" t="s">
        <v>308</v>
      </c>
      <c r="B19" s="843"/>
      <c r="C19" s="2554"/>
      <c r="D19" s="786" t="str">
        <f>A19</f>
        <v>5.1</v>
      </c>
      <c r="E19" s="783" t="s">
        <v>309</v>
      </c>
      <c r="F19" s="784" t="s">
        <v>301</v>
      </c>
      <c r="G19" s="785" t="s">
        <v>310</v>
      </c>
      <c r="H19" s="816"/>
      <c r="I19" s="1193"/>
      <c r="J19" s="796">
        <v>0</v>
      </c>
    </row>
    <row customHeight="1" ht="24" hidden="1">
      <c r="A20" s="2543"/>
      <c r="B20" s="843"/>
      <c r="C20" s="2554"/>
      <c r="D20" s="781" t="str">
        <f>D19&amp;".1"</f>
        <v>5.1.1</v>
      </c>
      <c r="E20" s="780" t="s">
        <v>311</v>
      </c>
      <c r="F20" s="1222" t="s">
        <v>22</v>
      </c>
      <c r="G20" s="815"/>
      <c r="H20" s="816"/>
      <c r="I20" s="1193"/>
      <c r="J20" s="796">
        <v>0</v>
      </c>
    </row>
    <row customHeight="1" ht="22.5" hidden="1">
      <c r="A21" s="2543"/>
      <c r="B21" s="843"/>
      <c r="C21" s="2554"/>
      <c r="D21" s="781" t="str">
        <f>D19&amp;".2"</f>
        <v>5.1.2</v>
      </c>
      <c r="E21" s="780" t="s">
        <v>312</v>
      </c>
      <c r="F21" s="2074" t="s">
        <v>22</v>
      </c>
      <c r="G21" s="785" t="s">
        <v>313</v>
      </c>
      <c r="H21" s="816"/>
      <c r="I21" s="1193"/>
      <c r="J21" s="796">
        <v>0</v>
      </c>
    </row>
    <row customHeight="1" ht="22.5" hidden="1">
      <c r="A22" s="2543"/>
      <c r="B22" s="843"/>
      <c r="C22" s="2554"/>
      <c r="D22" s="781" t="str">
        <f>D19&amp;".3"</f>
        <v>5.1.3</v>
      </c>
      <c r="E22" s="780" t="s">
        <v>314</v>
      </c>
      <c r="F22" s="1222" t="s">
        <v>22</v>
      </c>
      <c r="G22" s="815"/>
      <c r="H22" s="816"/>
      <c r="I22" s="1193"/>
      <c r="J22" s="796">
        <v>0</v>
      </c>
    </row>
    <row customHeight="1" ht="22.5" hidden="1">
      <c r="A23" s="2543"/>
      <c r="B23" s="843"/>
      <c r="C23" s="2554"/>
      <c r="D23" s="781" t="str">
        <f>D19&amp;".4"</f>
        <v>5.1.4</v>
      </c>
      <c r="E23" s="780" t="s">
        <v>315</v>
      </c>
      <c r="F23" s="1222" t="s">
        <v>22</v>
      </c>
      <c r="G23" s="785" t="s">
        <v>316</v>
      </c>
      <c r="H23" s="816"/>
      <c r="I23" s="1193"/>
      <c r="J23" s="796">
        <v>0</v>
      </c>
    </row>
    <row customHeight="1" ht="22.5" hidden="1">
      <c r="A24" s="2319"/>
      <c r="B24" s="843"/>
      <c r="C24" s="833"/>
      <c r="D24" s="808"/>
      <c r="E24" s="1509" t="s">
        <v>317</v>
      </c>
      <c r="F24" s="809"/>
      <c r="G24" s="810"/>
      <c r="H24" s="816"/>
      <c r="I24" s="1193"/>
      <c r="J24" s="796">
        <v>0</v>
      </c>
    </row>
    <row s="17743" customFormat="1" customHeight="1" ht="24.75" hidden="1">
      <c r="A25" s="798"/>
      <c r="B25" s="843"/>
      <c r="C25" s="843"/>
      <c r="D25" s="1347" t="s">
        <v>90</v>
      </c>
      <c r="E25" s="1349" t="s">
        <v>318</v>
      </c>
      <c r="F25" s="1354" t="s">
        <v>301</v>
      </c>
      <c r="G25" s="1349"/>
      <c r="J25" s="842">
        <v>0</v>
      </c>
    </row>
    <row s="17743" customFormat="1" customHeight="1" ht="11.25" hidden="1">
      <c r="A26" s="798"/>
      <c r="B26" s="843"/>
      <c r="C26" s="843"/>
      <c r="D26" s="1347" t="s">
        <v>319</v>
      </c>
      <c r="E26" s="1348" t="s">
        <v>320</v>
      </c>
      <c r="F26" s="1354" t="s">
        <v>301</v>
      </c>
      <c r="G26" s="1349"/>
      <c r="J26" s="842">
        <v>0</v>
      </c>
    </row>
    <row s="17743" customFormat="1" customHeight="1" ht="11.25" hidden="1">
      <c r="A27" s="798"/>
      <c r="B27" s="843"/>
      <c r="C27" s="843"/>
      <c r="D27" s="1347" t="s">
        <v>321</v>
      </c>
      <c r="E27" s="1355" t="s">
        <v>322</v>
      </c>
      <c r="F27" s="1356"/>
      <c r="G27" s="134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842">
        <v>0</v>
      </c>
    </row>
    <row s="17743" customFormat="1" customHeight="1" ht="11.25" hidden="1">
      <c r="A28" s="798"/>
      <c r="B28" s="843"/>
      <c r="C28" s="843"/>
      <c r="D28" s="1347" t="s">
        <v>323</v>
      </c>
      <c r="E28" s="1355" t="s">
        <v>324</v>
      </c>
      <c r="F28" s="1356"/>
      <c r="G28" s="134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842">
        <v>0</v>
      </c>
    </row>
    <row s="17743" customFormat="1" customHeight="1" ht="11.25" hidden="1">
      <c r="A29" s="798"/>
      <c r="B29" s="843"/>
      <c r="C29" s="843"/>
      <c r="D29" s="1347" t="s">
        <v>325</v>
      </c>
      <c r="E29" s="1355" t="s">
        <v>326</v>
      </c>
      <c r="F29" s="1356"/>
      <c r="G29" s="134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842">
        <v>0</v>
      </c>
    </row>
    <row s="17743" customFormat="1" customHeight="1" ht="11.25" hidden="1">
      <c r="A30" s="798"/>
      <c r="B30" s="843"/>
      <c r="C30" s="843"/>
      <c r="D30" s="1347" t="s">
        <v>327</v>
      </c>
      <c r="E30" s="1348" t="s">
        <v>328</v>
      </c>
      <c r="F30" s="1356"/>
      <c r="G30" s="1349"/>
      <c r="J30" s="842">
        <v>0</v>
      </c>
    </row>
    <row s="17743" customFormat="1" customHeight="1" ht="11.25" hidden="1">
      <c r="A31" s="798"/>
      <c r="B31" s="843"/>
      <c r="C31" s="843"/>
      <c r="D31" s="1347" t="s">
        <v>329</v>
      </c>
      <c r="E31" s="1348" t="s">
        <v>330</v>
      </c>
      <c r="F31" s="1356"/>
      <c r="G31" s="1349"/>
      <c r="J31" s="842">
        <v>0</v>
      </c>
    </row>
    <row s="17743" customFormat="1" customHeight="1" ht="11.25" hidden="1">
      <c r="A32" s="798"/>
      <c r="B32" s="843"/>
      <c r="C32" s="843"/>
      <c r="D32" s="1347" t="s">
        <v>331</v>
      </c>
      <c r="E32" s="1348" t="s">
        <v>332</v>
      </c>
      <c r="F32" s="1357"/>
      <c r="G32" s="1349"/>
      <c r="J32" s="842">
        <v>0</v>
      </c>
    </row>
    <row customHeight="1" ht="24">
      <c r="A33" s="798" t="str">
        <f>IF(TEMPLATE_SPHERE="HEAT","6","5")</f>
        <v>6</v>
      </c>
      <c r="B33" s="843"/>
      <c r="C33" s="798"/>
      <c r="D33" s="781" t="str">
        <f>A33</f>
        <v>6</v>
      </c>
      <c r="E33" s="77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784" t="s">
        <v>301</v>
      </c>
      <c r="G33" s="815"/>
      <c r="H33" s="816"/>
      <c r="J33" s="796">
        <v>23</v>
      </c>
    </row>
    <row customHeight="1" ht="23.25">
      <c r="A34" s="798"/>
      <c r="B34" s="843"/>
      <c r="C34" s="798"/>
      <c r="D34" s="781" t="str">
        <f>D33&amp;".1"</f>
        <v>6.1</v>
      </c>
      <c r="E34" s="783" t="str">
        <f>"фамилия"&amp;IF(TEMPLATE_SPHERE&lt;&gt;"HEAT"," руководителя","")</f>
        <v>фамилия</v>
      </c>
      <c r="F34" s="782"/>
      <c r="G34" s="78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816"/>
      <c r="J34" s="796">
        <v>22</v>
      </c>
    </row>
    <row customHeight="1" ht="23.25">
      <c r="A35" s="798"/>
      <c r="B35" s="843"/>
      <c r="C35" s="798"/>
      <c r="D35" s="781" t="str">
        <f>D33&amp;".2"</f>
        <v>6.2</v>
      </c>
      <c r="E35" s="783" t="str">
        <f>"имя"&amp;IF(TEMPLATE_SPHERE&lt;&gt;"HEAT"," руководителя","")</f>
        <v>имя</v>
      </c>
      <c r="F35" s="782"/>
      <c r="G35" s="78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816"/>
      <c r="J35" s="796">
        <v>22</v>
      </c>
    </row>
    <row customHeight="1" ht="24">
      <c r="A36" s="798"/>
      <c r="B36" s="843"/>
      <c r="C36" s="798"/>
      <c r="D36" s="781" t="str">
        <f>D33&amp;".3"</f>
        <v>6.3</v>
      </c>
      <c r="E36" s="783" t="str">
        <f>"отчество"&amp;IF(TEMPLATE_SPHERE&lt;&gt;"HEAT"," руководителя","")</f>
        <v>отчество</v>
      </c>
      <c r="F36" s="1039"/>
      <c r="G36" s="78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816"/>
      <c r="J36" s="796">
        <v>23</v>
      </c>
    </row>
    <row customHeight="1" ht="35.699999999999996">
      <c r="A37" s="798"/>
      <c r="B37" s="843"/>
      <c r="C37" s="798"/>
      <c r="D37" s="781">
        <f>D33+1</f>
        <v>7</v>
      </c>
      <c r="E37" s="77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782"/>
      <c r="G37" s="785" t="s">
        <v>333</v>
      </c>
      <c r="H37" s="816"/>
      <c r="J37" s="796">
        <v>34</v>
      </c>
    </row>
    <row customHeight="1" ht="35.699999999999996">
      <c r="A38" s="798"/>
      <c r="B38" s="843"/>
      <c r="C38" s="798"/>
      <c r="D38" s="781">
        <f>D37+1</f>
        <v>8</v>
      </c>
      <c r="E38" s="77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782"/>
      <c r="G38" s="785" t="s">
        <v>333</v>
      </c>
      <c r="H38" s="816"/>
      <c r="J38" s="796">
        <v>34</v>
      </c>
    </row>
    <row customHeight="1" ht="23.25">
      <c r="A39" s="798"/>
      <c r="B39" s="843"/>
      <c r="C39" s="798"/>
      <c r="D39" s="781">
        <f>D38+1</f>
        <v>9</v>
      </c>
      <c r="E39" s="77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784" t="s">
        <v>301</v>
      </c>
      <c r="G39" s="255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16"/>
      <c r="J39" s="796">
        <v>22</v>
      </c>
    </row>
    <row customHeight="1" ht="22.5" hidden="1">
      <c r="A40" s="798"/>
      <c r="B40" s="843"/>
      <c r="C40" s="798"/>
      <c r="D40" s="781" t="str">
        <f>D39&amp;".0"</f>
        <v>9.0</v>
      </c>
      <c r="E40" s="1946"/>
      <c r="F40" s="1222"/>
      <c r="G40" s="2552"/>
      <c r="H40" s="816"/>
      <c r="J40" s="796">
        <v>0</v>
      </c>
    </row>
    <row customHeight="1" ht="23.25">
      <c r="A41" s="798"/>
      <c r="B41" s="798"/>
      <c r="C41" s="2029"/>
      <c r="D41" s="781" t="str">
        <f>D39&amp;".1"</f>
        <v>9.1</v>
      </c>
      <c r="E41" s="1201"/>
      <c r="F41" s="1202"/>
      <c r="G41" s="2552"/>
      <c r="H41" s="816"/>
      <c r="J41" s="796">
        <v>22</v>
      </c>
    </row>
    <row customHeight="1" ht="15.75">
      <c r="A42" s="798"/>
      <c r="B42" s="843"/>
      <c r="C42" s="798"/>
      <c r="D42" s="808"/>
      <c r="E42" s="756" t="s">
        <v>334</v>
      </c>
      <c r="F42" s="810"/>
      <c r="G42" s="2553"/>
      <c r="H42" s="817"/>
      <c r="J42" s="796">
        <v>15</v>
      </c>
    </row>
    <row customHeight="1" ht="27.299999999999997">
      <c r="A43" s="798"/>
      <c r="B43" s="843"/>
      <c r="C43" s="798"/>
      <c r="D43" s="781">
        <f>D39+1</f>
        <v>10</v>
      </c>
      <c r="E43" s="77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203"/>
      <c r="G43" s="78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16"/>
      <c r="J43" s="796">
        <v>26</v>
      </c>
    </row>
    <row customHeight="1" ht="23.25">
      <c r="A44" s="798"/>
      <c r="B44" s="843"/>
      <c r="C44" s="798"/>
      <c r="D44" s="781">
        <f>D43+1</f>
        <v>11</v>
      </c>
      <c r="E44" s="77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719"/>
      <c r="G44" s="815" t="s">
        <v>335</v>
      </c>
      <c r="H44" s="816"/>
      <c r="J44" s="796">
        <v>22</v>
      </c>
    </row>
    <row customHeight="1" ht="23.25">
      <c r="A45" s="798"/>
      <c r="B45" s="843"/>
      <c r="C45" s="798"/>
      <c r="D45" s="781">
        <f>D44+1</f>
        <v>12</v>
      </c>
      <c r="E45" s="779" t="s">
        <v>336</v>
      </c>
      <c r="F45" s="784" t="s">
        <v>301</v>
      </c>
      <c r="G45" s="778" t="str">
        <f>IF(TEMPLATE_SPHERE="TKO","Указывается режим работы организации.","")</f>
        <v/>
      </c>
      <c r="H45" s="816"/>
      <c r="J45" s="796">
        <v>22</v>
      </c>
    </row>
    <row customHeight="1" ht="24">
      <c r="A46" s="798"/>
      <c r="B46" s="843"/>
      <c r="C46" s="798"/>
      <c r="D46" s="781" t="str">
        <f>D45&amp;".1"</f>
        <v>12.1</v>
      </c>
      <c r="E46" s="783" t="str">
        <f>"режим работы регулируемой организации"&amp;IF(TEMPLATE_SPHERE="HEAT",", ЕТО, ТО","")</f>
        <v>режим работы регулируемой организации, ЕТО, ТО</v>
      </c>
      <c r="F46" s="2025"/>
      <c r="G46" s="778" t="s">
        <v>337</v>
      </c>
      <c r="H46" s="816"/>
      <c r="J46" s="796">
        <v>23</v>
      </c>
    </row>
    <row customHeight="1" ht="24">
      <c r="A47" s="2543"/>
      <c r="B47" s="843"/>
      <c r="C47" s="833"/>
      <c r="D47" s="781" t="str">
        <f>D45&amp;".2"</f>
        <v>12.2</v>
      </c>
      <c r="E47" s="783" t="s">
        <v>338</v>
      </c>
      <c r="F47" s="831"/>
      <c r="G47" s="778" t="s">
        <v>339</v>
      </c>
      <c r="H47" s="816"/>
      <c r="J47" s="796">
        <v>23</v>
      </c>
    </row>
    <row customHeight="1" ht="24">
      <c r="A48" s="2543"/>
      <c r="B48" s="843"/>
      <c r="C48" s="833"/>
      <c r="D48" s="781" t="str">
        <f>D45&amp;".3"</f>
        <v>12.3</v>
      </c>
      <c r="E48" s="783" t="s">
        <v>340</v>
      </c>
      <c r="F48" s="831"/>
      <c r="G48" s="778" t="s">
        <v>341</v>
      </c>
      <c r="H48" s="816"/>
      <c r="J48" s="796">
        <v>23</v>
      </c>
    </row>
    <row customHeight="1" ht="24">
      <c r="A49" s="2543"/>
      <c r="B49" s="843"/>
      <c r="C49" s="833"/>
      <c r="D49" s="781" t="str">
        <f>IF(TEMPLATE_SPHERE="TKO",D45&amp;".0",D45&amp;".4")</f>
        <v>12.4</v>
      </c>
      <c r="E49" s="777" t="s">
        <v>342</v>
      </c>
      <c r="F49" s="2026"/>
      <c r="G49" s="2103" t="s">
        <v>343</v>
      </c>
      <c r="H49" s="816"/>
      <c r="J49" s="796">
        <v>23</v>
      </c>
    </row>
    <row customHeight="1" ht="24">
      <c r="A50" s="798"/>
      <c r="B50" s="843"/>
      <c r="C50" s="798"/>
      <c r="D50" s="808"/>
      <c r="E50" s="756" t="s">
        <v>344</v>
      </c>
      <c r="F50" s="809"/>
      <c r="G50" s="2103" t="s">
        <v>345</v>
      </c>
      <c r="H50" s="817"/>
      <c r="J50" s="796">
        <v>23</v>
      </c>
    </row>
    <row customHeight="1" ht="24">
      <c r="A51" s="1199"/>
      <c r="B51" s="843"/>
      <c r="C51" s="833"/>
      <c r="D51" s="781">
        <f>D45+1</f>
        <v>13</v>
      </c>
      <c r="E51" s="869" t="s">
        <v>346</v>
      </c>
      <c r="F51" s="831"/>
      <c r="G51" s="203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816"/>
      <c r="J51" s="796">
        <v>23</v>
      </c>
    </row>
    <row customHeight="1" ht="11.549999999999999">
      <c r="A52" s="798"/>
      <c r="B52" s="843"/>
      <c r="C52" s="798"/>
      <c r="J52" s="796">
        <v>11</v>
      </c>
    </row>
    <row s="17772" customFormat="1" customHeight="1" ht="31.5">
      <c r="A53" s="2028"/>
      <c r="B53" s="844"/>
      <c r="C53" s="2544"/>
      <c r="D53" s="254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47"/>
      <c r="F53" s="2547"/>
      <c r="G53" s="2547"/>
      <c r="H53" s="795"/>
      <c r="I53" s="795"/>
      <c r="J53" s="801">
        <v>30</v>
      </c>
    </row>
    <row s="17772" customFormat="1" customHeight="1" ht="42">
      <c r="A54" s="798"/>
      <c r="B54" s="843"/>
      <c r="C54" s="2544"/>
      <c r="D54" s="254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47"/>
      <c r="F54" s="2547"/>
      <c r="G54" s="2547"/>
      <c r="J54" s="801">
        <v>40</v>
      </c>
    </row>
    <row customHeight="1" ht="11.549999999999999">
      <c r="D55" s="799"/>
      <c r="E55" s="800"/>
      <c r="F55" s="800"/>
      <c r="G55" s="800"/>
      <c r="J55" s="796">
        <v>11</v>
      </c>
    </row>
    <row customHeight="1" ht="28.5">
      <c r="D56" s="802"/>
      <c r="E56" s="799"/>
      <c r="F56" s="811"/>
      <c r="G56" s="811"/>
      <c r="J56" s="796">
        <v>27</v>
      </c>
    </row>
    <row customHeight="1" ht="11.549999999999999">
      <c r="D57" s="799"/>
      <c r="E57" s="799"/>
      <c r="F57" s="800"/>
      <c r="G57" s="800"/>
      <c r="J57" s="796">
        <v>11</v>
      </c>
    </row>
    <row customHeight="1" ht="40.949999999999996">
      <c r="D58" s="803"/>
      <c r="E58" s="812"/>
      <c r="F58" s="812"/>
      <c r="G58" s="812"/>
      <c r="J58" s="796">
        <v>39</v>
      </c>
    </row>
    <row customHeight="1" ht="28.5">
      <c r="D59" s="803"/>
      <c r="E59" s="812"/>
      <c r="F59" s="812"/>
      <c r="G59" s="812"/>
      <c r="J59" s="796">
        <v>27</v>
      </c>
    </row>
    <row customHeight="1" ht="11.25" hidden="1">
      <c r="A60" s="2027" t="s">
        <v>82</v>
      </c>
      <c r="B60" s="842">
        <v>0</v>
      </c>
      <c r="C60" s="796">
        <v>3</v>
      </c>
      <c r="D60" s="797">
        <v>6</v>
      </c>
      <c r="E60" s="796">
        <v>52</v>
      </c>
      <c r="F60" s="796">
        <v>48</v>
      </c>
      <c r="G60" s="796">
        <v>121</v>
      </c>
      <c r="H60" s="796">
        <v>8</v>
      </c>
      <c r="I60" s="796">
        <v>64</v>
      </c>
      <c r="J60" s="796">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A3A729-4D1F-34CC-976D-13ED8A34673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44FFC3-0397-E224-86C5-F3B43642A0C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75691E-F3FA-805E-E45D-F05327BB2609}"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07"/>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F1B02D-ADFE-3A3C-86FA-F6DC2D0DB74A}" mc:Ignorable="x14ac xr xr2 xr3">
  <dimension ref="A1:E8"/>
  <sheetViews>
    <sheetView topLeftCell="A1" showGridLines="0" workbookViewId="0">
      <selection activeCell="A1" sqref="A1"/>
    </sheetView>
  </sheetViews>
  <sheetFormatPr customHeight="1" defaultRowHeight="11.25"/>
  <cols>
    <col min="1" max="1" style="19980" width="10.57421875" customWidth="1"/>
    <col min="2" max="2" style="19980" width="8.7109375" customWidth="1"/>
    <col min="3" max="3" style="19980" width="18.140625" customWidth="1"/>
    <col min="4" max="4" style="19980" width="12.57421875" customWidth="1"/>
  </cols>
  <sheetData>
    <row customHeight="1" ht="11.25">
      <c r="A1" s="2956" t="s">
        <v>2361</v>
      </c>
      <c r="B1" s="2957" t="s">
        <v>2362</v>
      </c>
      <c r="C1" s="2958" t="s">
        <v>2363</v>
      </c>
      <c r="D1" s="2959"/>
      <c r="E1" s="1177" t="s">
        <v>2364</v>
      </c>
    </row>
    <row customHeight="1" ht="11.25">
      <c r="A2" s="2960"/>
      <c r="B2" s="1106" t="s">
        <v>27</v>
      </c>
      <c r="C2" s="1094"/>
      <c r="D2" s="1105"/>
      <c r="E2" s="1177"/>
    </row>
    <row customHeight="1" ht="11.25">
      <c r="A3" s="2961"/>
      <c r="B3" s="2962" t="s">
        <v>33</v>
      </c>
      <c r="C3" s="1094"/>
      <c r="D3" s="1105"/>
      <c r="E3" s="1177"/>
    </row>
    <row customHeight="1" ht="11.25">
      <c r="A4" s="2963"/>
      <c r="B4" s="1107" t="s">
        <v>1801</v>
      </c>
      <c r="C4" s="1094"/>
      <c r="D4" s="1105"/>
      <c r="E4" s="1177"/>
    </row>
    <row customHeight="1" ht="11.25">
      <c r="A5" s="2964"/>
      <c r="B5" s="1107" t="s">
        <v>1795</v>
      </c>
      <c r="C5" s="2965" t="s">
        <v>2128</v>
      </c>
      <c r="D5" s="2966" t="s">
        <v>2365</v>
      </c>
      <c r="E5" s="1177"/>
    </row>
    <row s="17376" customFormat="1" customHeight="1" ht="11.25">
      <c r="A6" s="2967"/>
      <c r="B6" s="1107" t="s">
        <v>1805</v>
      </c>
      <c r="C6" s="1094"/>
      <c r="D6" s="1105"/>
      <c r="E6" s="1177"/>
    </row>
    <row customHeight="1" ht="11.25">
      <c r="A7" s="2968"/>
      <c r="B7" s="1107" t="s">
        <v>1813</v>
      </c>
      <c r="C7" s="1094"/>
      <c r="D7" s="1105"/>
      <c r="E7" s="1177"/>
    </row>
    <row customHeight="1" ht="11.25">
      <c r="A8" s="1097"/>
      <c r="B8" s="1107" t="s">
        <v>1808</v>
      </c>
      <c r="C8" s="1094"/>
      <c r="D8" s="1105"/>
      <c r="E8" s="1177"/>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A244DC-4CFD-99A5-B63C-63B5EEF2E2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865A8F-B99C-422C-8E75-EBFA92A6787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E05FE2-5579-D8AF-C6AE-283A06C6A4D3}" mc:Ignorable="x14ac xr xr2 xr3">
  <sheetPr>
    <tabColor rgb="FFFFCC99"/>
  </sheetPr>
  <dimension ref="A1:I508"/>
  <sheetViews>
    <sheetView topLeftCell="A1" showGridLines="0" workbookViewId="0">
      <selection activeCell="A1" sqref="A1"/>
    </sheetView>
  </sheetViews>
  <sheetFormatPr defaultColWidth="9.140625" customHeight="1" defaultRowHeight="11.25"/>
  <cols>
    <col min="1" max="2" style="17376" width="9.140625"/>
    <col min="3" max="3" style="17376" width="20.7109375" customWidth="1"/>
    <col min="4" max="4" style="17376" width="25.140625" customWidth="1"/>
    <col min="5" max="9" style="17376" width="9.140625"/>
  </cols>
  <sheetData>
    <row customHeight="1" ht="11.25">
      <c r="A1" s="409" t="s">
        <v>2366</v>
      </c>
      <c r="B1" s="409" t="s">
        <v>2367</v>
      </c>
      <c r="C1" s="409" t="s">
        <v>2368</v>
      </c>
      <c r="D1" s="409" t="s">
        <v>2369</v>
      </c>
      <c r="E1" s="409" t="s">
        <v>2370</v>
      </c>
      <c r="F1" s="409" t="s">
        <v>2371</v>
      </c>
      <c r="G1" s="409" t="s">
        <v>2372</v>
      </c>
      <c r="H1" s="409" t="s">
        <v>2373</v>
      </c>
      <c r="I1" s="409" t="s">
        <v>2374</v>
      </c>
    </row>
    <row customHeight="1" ht="11.25">
      <c r="A2" s="4829" t="s">
        <v>2375</v>
      </c>
      <c r="B2" s="4829" t="s">
        <v>16</v>
      </c>
      <c r="C2" s="4829" t="s">
        <v>2376</v>
      </c>
      <c r="D2" s="4829" t="s">
        <v>2377</v>
      </c>
      <c r="E2" s="4829" t="s">
        <v>2378</v>
      </c>
      <c r="F2" s="4829" t="s">
        <v>2379</v>
      </c>
      <c r="G2" s="4829" t="s">
        <v>2380</v>
      </c>
      <c r="H2" s="4829" t="s">
        <v>22</v>
      </c>
      <c r="I2" s="4829" t="s">
        <v>803</v>
      </c>
    </row>
    <row customHeight="1" ht="11.25">
      <c r="A3" s="4829" t="s">
        <v>2375</v>
      </c>
      <c r="B3" s="4829" t="s">
        <v>16</v>
      </c>
      <c r="C3" s="4829" t="s">
        <v>2381</v>
      </c>
      <c r="D3" s="4829" t="s">
        <v>2382</v>
      </c>
      <c r="E3" s="4829" t="s">
        <v>2383</v>
      </c>
      <c r="F3" s="4829" t="s">
        <v>2384</v>
      </c>
      <c r="G3" s="4829" t="s">
        <v>22</v>
      </c>
      <c r="H3" s="4829" t="s">
        <v>22</v>
      </c>
      <c r="I3" s="4829" t="s">
        <v>803</v>
      </c>
    </row>
    <row customHeight="1" ht="11.25">
      <c r="A4" s="4829" t="s">
        <v>2375</v>
      </c>
      <c r="B4" s="4829" t="s">
        <v>16</v>
      </c>
      <c r="C4" s="4829" t="s">
        <v>13</v>
      </c>
      <c r="D4" s="4829" t="s">
        <v>45</v>
      </c>
      <c r="E4" s="4829" t="s">
        <v>48</v>
      </c>
      <c r="F4" s="4829" t="s">
        <v>50</v>
      </c>
      <c r="G4" s="4829" t="s">
        <v>2385</v>
      </c>
      <c r="H4" s="4829" t="s">
        <v>22</v>
      </c>
      <c r="I4" s="4829" t="s">
        <v>803</v>
      </c>
    </row>
    <row customHeight="1" ht="11.25">
      <c r="A5" s="4829" t="s">
        <v>2375</v>
      </c>
      <c r="B5" s="4829" t="s">
        <v>16</v>
      </c>
      <c r="C5" s="4829" t="s">
        <v>2386</v>
      </c>
      <c r="D5" s="4829" t="s">
        <v>45</v>
      </c>
      <c r="E5" s="4829" t="s">
        <v>48</v>
      </c>
      <c r="F5" s="4829" t="s">
        <v>2387</v>
      </c>
      <c r="G5" s="4829" t="s">
        <v>2385</v>
      </c>
      <c r="H5" s="4829" t="s">
        <v>22</v>
      </c>
      <c r="I5" s="4829" t="s">
        <v>803</v>
      </c>
    </row>
    <row customHeight="1" ht="11.25">
      <c r="A6" s="4829" t="s">
        <v>2375</v>
      </c>
      <c r="B6" s="4829" t="s">
        <v>16</v>
      </c>
      <c r="C6" s="4829" t="s">
        <v>2388</v>
      </c>
      <c r="D6" s="4829" t="s">
        <v>2389</v>
      </c>
      <c r="E6" s="4829" t="s">
        <v>48</v>
      </c>
      <c r="F6" s="4829" t="s">
        <v>2390</v>
      </c>
      <c r="G6" s="4829" t="s">
        <v>22</v>
      </c>
      <c r="H6" s="4829" t="s">
        <v>22</v>
      </c>
      <c r="I6" s="4829" t="s">
        <v>803</v>
      </c>
    </row>
    <row customHeight="1" ht="11.25">
      <c r="A7" s="4829" t="s">
        <v>2375</v>
      </c>
      <c r="B7" s="4829" t="s">
        <v>16</v>
      </c>
      <c r="C7" s="4829" t="s">
        <v>2391</v>
      </c>
      <c r="D7" s="4829" t="s">
        <v>2392</v>
      </c>
      <c r="E7" s="4829" t="s">
        <v>48</v>
      </c>
      <c r="F7" s="4829" t="s">
        <v>2393</v>
      </c>
      <c r="G7" s="4829" t="s">
        <v>22</v>
      </c>
      <c r="H7" s="4829" t="s">
        <v>22</v>
      </c>
      <c r="I7" s="4829" t="s">
        <v>803</v>
      </c>
    </row>
    <row customHeight="1" ht="11.25">
      <c r="A8" s="4829" t="s">
        <v>2375</v>
      </c>
      <c r="B8" s="4829" t="s">
        <v>16</v>
      </c>
      <c r="C8" s="4829" t="s">
        <v>2394</v>
      </c>
      <c r="D8" s="4829" t="s">
        <v>2395</v>
      </c>
      <c r="E8" s="4829" t="s">
        <v>48</v>
      </c>
      <c r="F8" s="4829" t="s">
        <v>2396</v>
      </c>
      <c r="G8" s="4829" t="s">
        <v>22</v>
      </c>
      <c r="H8" s="4829" t="s">
        <v>22</v>
      </c>
      <c r="I8" s="4829" t="s">
        <v>803</v>
      </c>
    </row>
    <row customHeight="1" ht="11.25">
      <c r="A9" s="4829" t="s">
        <v>2375</v>
      </c>
      <c r="B9" s="4829" t="s">
        <v>16</v>
      </c>
      <c r="C9" s="4829" t="s">
        <v>2397</v>
      </c>
      <c r="D9" s="4829" t="s">
        <v>2398</v>
      </c>
      <c r="E9" s="4829" t="s">
        <v>48</v>
      </c>
      <c r="F9" s="4829" t="s">
        <v>2399</v>
      </c>
      <c r="G9" s="4829" t="s">
        <v>22</v>
      </c>
      <c r="H9" s="4829" t="s">
        <v>22</v>
      </c>
      <c r="I9" s="4829" t="s">
        <v>803</v>
      </c>
    </row>
    <row customHeight="1" ht="11.25">
      <c r="A10" s="4829" t="s">
        <v>2375</v>
      </c>
      <c r="B10" s="4829" t="s">
        <v>16</v>
      </c>
      <c r="C10" s="4829" t="s">
        <v>2400</v>
      </c>
      <c r="D10" s="4829" t="s">
        <v>2401</v>
      </c>
      <c r="E10" s="4829" t="s">
        <v>48</v>
      </c>
      <c r="F10" s="4829" t="s">
        <v>2402</v>
      </c>
      <c r="G10" s="4829" t="s">
        <v>22</v>
      </c>
      <c r="H10" s="4829" t="s">
        <v>22</v>
      </c>
      <c r="I10" s="4829" t="s">
        <v>803</v>
      </c>
    </row>
    <row customHeight="1" ht="11.25">
      <c r="A11" s="4829" t="s">
        <v>2375</v>
      </c>
      <c r="B11" s="4829" t="s">
        <v>16</v>
      </c>
      <c r="C11" s="4829" t="s">
        <v>2403</v>
      </c>
      <c r="D11" s="4829" t="s">
        <v>2404</v>
      </c>
      <c r="E11" s="4829" t="s">
        <v>48</v>
      </c>
      <c r="F11" s="4829" t="s">
        <v>2405</v>
      </c>
      <c r="G11" s="4829" t="s">
        <v>22</v>
      </c>
      <c r="H11" s="4829" t="s">
        <v>22</v>
      </c>
      <c r="I11" s="4829" t="s">
        <v>803</v>
      </c>
    </row>
    <row customHeight="1" ht="11.25">
      <c r="A12" s="4829" t="s">
        <v>2375</v>
      </c>
      <c r="B12" s="4829" t="s">
        <v>16</v>
      </c>
      <c r="C12" s="4829" t="s">
        <v>2406</v>
      </c>
      <c r="D12" s="4829" t="s">
        <v>2407</v>
      </c>
      <c r="E12" s="4829" t="s">
        <v>48</v>
      </c>
      <c r="F12" s="4829" t="s">
        <v>2408</v>
      </c>
      <c r="G12" s="4829" t="s">
        <v>22</v>
      </c>
      <c r="H12" s="4829" t="s">
        <v>22</v>
      </c>
      <c r="I12" s="4829" t="s">
        <v>803</v>
      </c>
    </row>
    <row customHeight="1" ht="11.25">
      <c r="A13" s="4829" t="s">
        <v>2375</v>
      </c>
      <c r="B13" s="4829" t="s">
        <v>16</v>
      </c>
      <c r="C13" s="4829" t="s">
        <v>2409</v>
      </c>
      <c r="D13" s="4829" t="s">
        <v>2410</v>
      </c>
      <c r="E13" s="4829" t="s">
        <v>48</v>
      </c>
      <c r="F13" s="4829" t="s">
        <v>2411</v>
      </c>
      <c r="G13" s="4829" t="s">
        <v>22</v>
      </c>
      <c r="H13" s="4829" t="s">
        <v>22</v>
      </c>
      <c r="I13" s="4829" t="s">
        <v>803</v>
      </c>
    </row>
    <row customHeight="1" ht="11.25">
      <c r="A14" s="4829" t="s">
        <v>2375</v>
      </c>
      <c r="B14" s="4829" t="s">
        <v>16</v>
      </c>
      <c r="C14" s="4829" t="s">
        <v>2412</v>
      </c>
      <c r="D14" s="4829" t="s">
        <v>2413</v>
      </c>
      <c r="E14" s="4829" t="s">
        <v>48</v>
      </c>
      <c r="F14" s="4829" t="s">
        <v>2414</v>
      </c>
      <c r="G14" s="4829" t="s">
        <v>22</v>
      </c>
      <c r="H14" s="4829" t="s">
        <v>22</v>
      </c>
      <c r="I14" s="4829" t="s">
        <v>803</v>
      </c>
    </row>
    <row customHeight="1" ht="11.25">
      <c r="A15" s="4829" t="s">
        <v>2375</v>
      </c>
      <c r="B15" s="4829" t="s">
        <v>16</v>
      </c>
      <c r="C15" s="4829" t="s">
        <v>2415</v>
      </c>
      <c r="D15" s="4829" t="s">
        <v>2416</v>
      </c>
      <c r="E15" s="4829" t="s">
        <v>48</v>
      </c>
      <c r="F15" s="4829" t="s">
        <v>2417</v>
      </c>
      <c r="G15" s="4829" t="s">
        <v>22</v>
      </c>
      <c r="H15" s="4829" t="s">
        <v>22</v>
      </c>
      <c r="I15" s="4829" t="s">
        <v>803</v>
      </c>
    </row>
    <row customHeight="1" ht="11.25">
      <c r="A16" s="4829" t="s">
        <v>2375</v>
      </c>
      <c r="B16" s="4829" t="s">
        <v>16</v>
      </c>
      <c r="C16" s="4829" t="s">
        <v>2418</v>
      </c>
      <c r="D16" s="4829" t="s">
        <v>2419</v>
      </c>
      <c r="E16" s="4829" t="s">
        <v>48</v>
      </c>
      <c r="F16" s="4829" t="s">
        <v>2420</v>
      </c>
      <c r="G16" s="4829" t="s">
        <v>22</v>
      </c>
      <c r="H16" s="4829" t="s">
        <v>22</v>
      </c>
      <c r="I16" s="4829" t="s">
        <v>803</v>
      </c>
    </row>
    <row customHeight="1" ht="11.25">
      <c r="A17" s="4829" t="s">
        <v>2375</v>
      </c>
      <c r="B17" s="4829" t="s">
        <v>16</v>
      </c>
      <c r="C17" s="4829" t="s">
        <v>2421</v>
      </c>
      <c r="D17" s="4829" t="s">
        <v>2422</v>
      </c>
      <c r="E17" s="4829" t="s">
        <v>2423</v>
      </c>
      <c r="F17" s="4829" t="s">
        <v>2384</v>
      </c>
      <c r="G17" s="4829" t="s">
        <v>22</v>
      </c>
      <c r="H17" s="4829" t="s">
        <v>22</v>
      </c>
      <c r="I17" s="4829" t="s">
        <v>803</v>
      </c>
    </row>
    <row customHeight="1" ht="11.25">
      <c r="A18" s="4829" t="s">
        <v>2375</v>
      </c>
      <c r="B18" s="4829" t="s">
        <v>16</v>
      </c>
      <c r="C18" s="4829" t="s">
        <v>2424</v>
      </c>
      <c r="D18" s="4829" t="s">
        <v>2425</v>
      </c>
      <c r="E18" s="4829" t="s">
        <v>2426</v>
      </c>
      <c r="F18" s="4829" t="s">
        <v>2427</v>
      </c>
      <c r="G18" s="4829" t="s">
        <v>2428</v>
      </c>
      <c r="H18" s="4829" t="s">
        <v>22</v>
      </c>
      <c r="I18" s="4829" t="s">
        <v>803</v>
      </c>
    </row>
    <row customHeight="1" ht="11.25">
      <c r="A19" s="4829" t="s">
        <v>2375</v>
      </c>
      <c r="B19" s="4829" t="s">
        <v>16</v>
      </c>
      <c r="C19" s="4829" t="s">
        <v>2429</v>
      </c>
      <c r="D19" s="4829" t="s">
        <v>2430</v>
      </c>
      <c r="E19" s="4829" t="s">
        <v>2431</v>
      </c>
      <c r="F19" s="4829" t="s">
        <v>2427</v>
      </c>
      <c r="G19" s="4829" t="s">
        <v>2432</v>
      </c>
      <c r="H19" s="4829" t="s">
        <v>22</v>
      </c>
      <c r="I19" s="4829" t="s">
        <v>803</v>
      </c>
    </row>
    <row customHeight="1" ht="11.25">
      <c r="A20" s="4829" t="s">
        <v>2375</v>
      </c>
      <c r="B20" s="4829" t="s">
        <v>16</v>
      </c>
      <c r="C20" s="4829" t="s">
        <v>2433</v>
      </c>
      <c r="D20" s="4829" t="s">
        <v>2434</v>
      </c>
      <c r="E20" s="4829" t="s">
        <v>2435</v>
      </c>
      <c r="F20" s="4829" t="s">
        <v>2436</v>
      </c>
      <c r="G20" s="4829" t="s">
        <v>22</v>
      </c>
      <c r="H20" s="4829" t="s">
        <v>22</v>
      </c>
      <c r="I20" s="4829" t="s">
        <v>803</v>
      </c>
    </row>
    <row customHeight="1" ht="11.25">
      <c r="A21" s="4829" t="s">
        <v>2375</v>
      </c>
      <c r="B21" s="4829" t="s">
        <v>16</v>
      </c>
      <c r="C21" s="4829" t="s">
        <v>2437</v>
      </c>
      <c r="D21" s="4829" t="s">
        <v>2438</v>
      </c>
      <c r="E21" s="4829" t="s">
        <v>2439</v>
      </c>
      <c r="F21" s="4829" t="s">
        <v>2440</v>
      </c>
      <c r="G21" s="4829" t="s">
        <v>22</v>
      </c>
      <c r="H21" s="4829" t="s">
        <v>22</v>
      </c>
      <c r="I21" s="4829" t="s">
        <v>803</v>
      </c>
    </row>
    <row customHeight="1" ht="11.25">
      <c r="A22" s="4829" t="s">
        <v>2375</v>
      </c>
      <c r="B22" s="4829" t="s">
        <v>16</v>
      </c>
      <c r="C22" s="4829" t="s">
        <v>2441</v>
      </c>
      <c r="D22" s="4829" t="s">
        <v>2442</v>
      </c>
      <c r="E22" s="4829" t="s">
        <v>2443</v>
      </c>
      <c r="F22" s="4829" t="s">
        <v>2427</v>
      </c>
      <c r="G22" s="4829" t="s">
        <v>22</v>
      </c>
      <c r="H22" s="4829" t="s">
        <v>22</v>
      </c>
      <c r="I22" s="4829" t="s">
        <v>803</v>
      </c>
    </row>
    <row customHeight="1" ht="11.25">
      <c r="A23" s="4829" t="s">
        <v>2375</v>
      </c>
      <c r="B23" s="4829" t="s">
        <v>16</v>
      </c>
      <c r="C23" s="4829" t="s">
        <v>2444</v>
      </c>
      <c r="D23" s="4829" t="s">
        <v>2445</v>
      </c>
      <c r="E23" s="4829" t="s">
        <v>2446</v>
      </c>
      <c r="F23" s="4829" t="s">
        <v>50</v>
      </c>
      <c r="G23" s="4829" t="s">
        <v>2447</v>
      </c>
      <c r="H23" s="4829" t="s">
        <v>22</v>
      </c>
      <c r="I23" s="4829" t="s">
        <v>803</v>
      </c>
    </row>
    <row customHeight="1" ht="11.25">
      <c r="A24" s="4829" t="s">
        <v>2375</v>
      </c>
      <c r="B24" s="4829" t="s">
        <v>16</v>
      </c>
      <c r="C24" s="4829" t="s">
        <v>2448</v>
      </c>
      <c r="D24" s="4829" t="s">
        <v>2449</v>
      </c>
      <c r="E24" s="4829" t="s">
        <v>2439</v>
      </c>
      <c r="F24" s="4829" t="s">
        <v>2450</v>
      </c>
      <c r="G24" s="4829" t="s">
        <v>22</v>
      </c>
      <c r="H24" s="4829" t="s">
        <v>22</v>
      </c>
      <c r="I24" s="4829" t="s">
        <v>803</v>
      </c>
    </row>
    <row customHeight="1" ht="11.25">
      <c r="A25" s="4829" t="s">
        <v>2375</v>
      </c>
      <c r="B25" s="4829" t="s">
        <v>16</v>
      </c>
      <c r="C25" s="4829" t="s">
        <v>2451</v>
      </c>
      <c r="D25" s="4829" t="s">
        <v>2452</v>
      </c>
      <c r="E25" s="4829" t="s">
        <v>2453</v>
      </c>
      <c r="F25" s="4829" t="s">
        <v>2454</v>
      </c>
      <c r="G25" s="4829" t="s">
        <v>22</v>
      </c>
      <c r="H25" s="4829" t="s">
        <v>22</v>
      </c>
      <c r="I25" s="4829" t="s">
        <v>803</v>
      </c>
    </row>
    <row customHeight="1" ht="11.25">
      <c r="A26" s="4829" t="s">
        <v>2375</v>
      </c>
      <c r="B26" s="4829" t="s">
        <v>16</v>
      </c>
      <c r="C26" s="4829" t="s">
        <v>2455</v>
      </c>
      <c r="D26" s="4829" t="s">
        <v>2456</v>
      </c>
      <c r="E26" s="4829" t="s">
        <v>2457</v>
      </c>
      <c r="F26" s="4829" t="s">
        <v>2458</v>
      </c>
      <c r="G26" s="4829" t="s">
        <v>22</v>
      </c>
      <c r="H26" s="4829" t="s">
        <v>22</v>
      </c>
      <c r="I26" s="4829" t="s">
        <v>803</v>
      </c>
    </row>
    <row customHeight="1" ht="11.25">
      <c r="A27" s="4829" t="s">
        <v>2375</v>
      </c>
      <c r="B27" s="4829" t="s">
        <v>16</v>
      </c>
      <c r="C27" s="4829" t="s">
        <v>2459</v>
      </c>
      <c r="D27" s="4829" t="s">
        <v>2460</v>
      </c>
      <c r="E27" s="4829" t="s">
        <v>2461</v>
      </c>
      <c r="F27" s="4829" t="s">
        <v>2462</v>
      </c>
      <c r="G27" s="4829" t="s">
        <v>22</v>
      </c>
      <c r="H27" s="4829" t="s">
        <v>22</v>
      </c>
      <c r="I27" s="4829" t="s">
        <v>803</v>
      </c>
    </row>
    <row customHeight="1" ht="11.25">
      <c r="A28" s="4829" t="s">
        <v>2375</v>
      </c>
      <c r="B28" s="4829" t="s">
        <v>16</v>
      </c>
      <c r="C28" s="4829" t="s">
        <v>2463</v>
      </c>
      <c r="D28" s="4829" t="s">
        <v>2464</v>
      </c>
      <c r="E28" s="4829" t="s">
        <v>2465</v>
      </c>
      <c r="F28" s="4829" t="s">
        <v>2466</v>
      </c>
      <c r="G28" s="4829" t="s">
        <v>22</v>
      </c>
      <c r="H28" s="4829" t="s">
        <v>22</v>
      </c>
      <c r="I28" s="4829" t="s">
        <v>803</v>
      </c>
    </row>
    <row customHeight="1" ht="11.25">
      <c r="A29" s="4829" t="s">
        <v>2375</v>
      </c>
      <c r="B29" s="4829" t="s">
        <v>16</v>
      </c>
      <c r="C29" s="4829" t="s">
        <v>2467</v>
      </c>
      <c r="D29" s="4829" t="s">
        <v>2468</v>
      </c>
      <c r="E29" s="4829" t="s">
        <v>2461</v>
      </c>
      <c r="F29" s="4829" t="s">
        <v>2469</v>
      </c>
      <c r="G29" s="4829" t="s">
        <v>22</v>
      </c>
      <c r="H29" s="4829" t="s">
        <v>22</v>
      </c>
      <c r="I29" s="4829" t="s">
        <v>803</v>
      </c>
    </row>
    <row customHeight="1" ht="11.25">
      <c r="A30" s="4829" t="s">
        <v>2375</v>
      </c>
      <c r="B30" s="4829" t="s">
        <v>16</v>
      </c>
      <c r="C30" s="4829" t="s">
        <v>2470</v>
      </c>
      <c r="D30" s="4829" t="s">
        <v>2471</v>
      </c>
      <c r="E30" s="4829" t="s">
        <v>2472</v>
      </c>
      <c r="F30" s="4829" t="s">
        <v>50</v>
      </c>
      <c r="G30" s="4829" t="s">
        <v>2473</v>
      </c>
      <c r="H30" s="4829" t="s">
        <v>22</v>
      </c>
      <c r="I30" s="4829" t="s">
        <v>803</v>
      </c>
    </row>
    <row customHeight="1" ht="11.25">
      <c r="A31" s="4829" t="s">
        <v>2375</v>
      </c>
      <c r="B31" s="4829" t="s">
        <v>16</v>
      </c>
      <c r="C31" s="4829" t="s">
        <v>22</v>
      </c>
      <c r="D31" s="4829" t="s">
        <v>2474</v>
      </c>
      <c r="E31" s="4829" t="s">
        <v>2475</v>
      </c>
      <c r="F31" s="4829" t="s">
        <v>50</v>
      </c>
      <c r="G31" s="4829" t="s">
        <v>22</v>
      </c>
      <c r="H31" s="4829" t="s">
        <v>22</v>
      </c>
      <c r="I31" s="4829" t="s">
        <v>803</v>
      </c>
    </row>
    <row customHeight="1" ht="11.25">
      <c r="A32" s="4829" t="s">
        <v>2375</v>
      </c>
      <c r="B32" s="4829" t="s">
        <v>16</v>
      </c>
      <c r="C32" s="4829" t="s">
        <v>2476</v>
      </c>
      <c r="D32" s="4829" t="s">
        <v>2477</v>
      </c>
      <c r="E32" s="4829" t="s">
        <v>2478</v>
      </c>
      <c r="F32" s="4829" t="s">
        <v>2479</v>
      </c>
      <c r="G32" s="4829" t="s">
        <v>2480</v>
      </c>
      <c r="H32" s="4829" t="s">
        <v>22</v>
      </c>
      <c r="I32" s="4829" t="s">
        <v>803</v>
      </c>
    </row>
    <row customHeight="1" ht="11.25">
      <c r="A33" s="4829" t="s">
        <v>2375</v>
      </c>
      <c r="B33" s="4829" t="s">
        <v>16</v>
      </c>
      <c r="C33" s="4829" t="s">
        <v>2481</v>
      </c>
      <c r="D33" s="4829" t="s">
        <v>2482</v>
      </c>
      <c r="E33" s="4829" t="s">
        <v>2483</v>
      </c>
      <c r="F33" s="4829" t="s">
        <v>2484</v>
      </c>
      <c r="G33" s="4829" t="s">
        <v>22</v>
      </c>
      <c r="H33" s="4829" t="s">
        <v>22</v>
      </c>
      <c r="I33" s="4829" t="s">
        <v>803</v>
      </c>
    </row>
    <row customHeight="1" ht="11.25">
      <c r="A34" s="4829" t="s">
        <v>2375</v>
      </c>
      <c r="B34" s="4829" t="s">
        <v>16</v>
      </c>
      <c r="C34" s="4829" t="s">
        <v>2485</v>
      </c>
      <c r="D34" s="4829" t="s">
        <v>2486</v>
      </c>
      <c r="E34" s="4829" t="s">
        <v>2487</v>
      </c>
      <c r="F34" s="4829" t="s">
        <v>2488</v>
      </c>
      <c r="G34" s="4829" t="s">
        <v>2489</v>
      </c>
      <c r="H34" s="4829" t="s">
        <v>22</v>
      </c>
      <c r="I34" s="4829" t="s">
        <v>803</v>
      </c>
    </row>
    <row customHeight="1" ht="11.25">
      <c r="A35" s="4829" t="s">
        <v>2375</v>
      </c>
      <c r="B35" s="4829" t="s">
        <v>16</v>
      </c>
      <c r="C35" s="4829" t="s">
        <v>2490</v>
      </c>
      <c r="D35" s="4829" t="s">
        <v>2491</v>
      </c>
      <c r="E35" s="4829" t="s">
        <v>2492</v>
      </c>
      <c r="F35" s="4829" t="s">
        <v>2493</v>
      </c>
      <c r="G35" s="4829" t="s">
        <v>22</v>
      </c>
      <c r="H35" s="4829" t="s">
        <v>22</v>
      </c>
      <c r="I35" s="4829" t="s">
        <v>803</v>
      </c>
    </row>
    <row customHeight="1" ht="11.25">
      <c r="A36" s="4829" t="s">
        <v>2375</v>
      </c>
      <c r="B36" s="4829" t="s">
        <v>16</v>
      </c>
      <c r="C36" s="4829" t="s">
        <v>2494</v>
      </c>
      <c r="D36" s="4829" t="s">
        <v>2495</v>
      </c>
      <c r="E36" s="4829" t="s">
        <v>2496</v>
      </c>
      <c r="F36" s="4829" t="s">
        <v>2497</v>
      </c>
      <c r="G36" s="4829" t="s">
        <v>2498</v>
      </c>
      <c r="H36" s="4829" t="s">
        <v>22</v>
      </c>
      <c r="I36" s="4829" t="s">
        <v>803</v>
      </c>
    </row>
    <row customHeight="1" ht="11.25">
      <c r="A37" s="4829" t="s">
        <v>2375</v>
      </c>
      <c r="B37" s="4829" t="s">
        <v>16</v>
      </c>
      <c r="C37" s="4829" t="s">
        <v>2499</v>
      </c>
      <c r="D37" s="4829" t="s">
        <v>2500</v>
      </c>
      <c r="E37" s="4829" t="s">
        <v>2501</v>
      </c>
      <c r="F37" s="4829" t="s">
        <v>2436</v>
      </c>
      <c r="G37" s="4829" t="s">
        <v>22</v>
      </c>
      <c r="H37" s="4829" t="s">
        <v>22</v>
      </c>
      <c r="I37" s="4829" t="s">
        <v>803</v>
      </c>
    </row>
    <row customHeight="1" ht="11.25">
      <c r="A38" s="4829" t="s">
        <v>2375</v>
      </c>
      <c r="B38" s="4829" t="s">
        <v>16</v>
      </c>
      <c r="C38" s="4829" t="s">
        <v>2502</v>
      </c>
      <c r="D38" s="4829" t="s">
        <v>2500</v>
      </c>
      <c r="E38" s="4829" t="s">
        <v>2503</v>
      </c>
      <c r="F38" s="4829" t="s">
        <v>2458</v>
      </c>
      <c r="G38" s="4829" t="s">
        <v>2504</v>
      </c>
      <c r="H38" s="4829" t="s">
        <v>22</v>
      </c>
      <c r="I38" s="4829" t="s">
        <v>803</v>
      </c>
    </row>
    <row customHeight="1" ht="11.25">
      <c r="A39" s="4829" t="s">
        <v>2375</v>
      </c>
      <c r="B39" s="4829" t="s">
        <v>16</v>
      </c>
      <c r="C39" s="4829" t="s">
        <v>2505</v>
      </c>
      <c r="D39" s="4829" t="s">
        <v>2506</v>
      </c>
      <c r="E39" s="4829" t="s">
        <v>2507</v>
      </c>
      <c r="F39" s="4829" t="s">
        <v>2508</v>
      </c>
      <c r="G39" s="4829" t="s">
        <v>22</v>
      </c>
      <c r="H39" s="4829" t="s">
        <v>22</v>
      </c>
      <c r="I39" s="4829" t="s">
        <v>803</v>
      </c>
    </row>
    <row customHeight="1" ht="11.25">
      <c r="A40" s="4829" t="s">
        <v>2375</v>
      </c>
      <c r="B40" s="4829" t="s">
        <v>16</v>
      </c>
      <c r="C40" s="4829" t="s">
        <v>2509</v>
      </c>
      <c r="D40" s="4829" t="s">
        <v>2510</v>
      </c>
      <c r="E40" s="4829" t="s">
        <v>2511</v>
      </c>
      <c r="F40" s="4829" t="s">
        <v>2454</v>
      </c>
      <c r="G40" s="4829" t="s">
        <v>2512</v>
      </c>
      <c r="H40" s="4829" t="s">
        <v>22</v>
      </c>
      <c r="I40" s="4829" t="s">
        <v>803</v>
      </c>
    </row>
    <row customHeight="1" ht="11.25">
      <c r="A41" s="4829" t="s">
        <v>2375</v>
      </c>
      <c r="B41" s="4829" t="s">
        <v>16</v>
      </c>
      <c r="C41" s="4829" t="s">
        <v>2513</v>
      </c>
      <c r="D41" s="4829" t="s">
        <v>2514</v>
      </c>
      <c r="E41" s="4829" t="s">
        <v>2515</v>
      </c>
      <c r="F41" s="4829" t="s">
        <v>2497</v>
      </c>
      <c r="G41" s="4829" t="s">
        <v>22</v>
      </c>
      <c r="H41" s="4829" t="s">
        <v>22</v>
      </c>
      <c r="I41" s="4829" t="s">
        <v>803</v>
      </c>
    </row>
    <row customHeight="1" ht="11.25">
      <c r="A42" s="4829" t="s">
        <v>2375</v>
      </c>
      <c r="B42" s="4829" t="s">
        <v>16</v>
      </c>
      <c r="C42" s="4829" t="s">
        <v>2516</v>
      </c>
      <c r="D42" s="4829" t="s">
        <v>2517</v>
      </c>
      <c r="E42" s="4829" t="s">
        <v>2518</v>
      </c>
      <c r="F42" s="4829" t="s">
        <v>2519</v>
      </c>
      <c r="G42" s="4829" t="s">
        <v>22</v>
      </c>
      <c r="H42" s="4829" t="s">
        <v>22</v>
      </c>
      <c r="I42" s="4829" t="s">
        <v>803</v>
      </c>
    </row>
    <row customHeight="1" ht="11.25">
      <c r="A43" s="4829" t="s">
        <v>2375</v>
      </c>
      <c r="B43" s="4829" t="s">
        <v>16</v>
      </c>
      <c r="C43" s="4829" t="s">
        <v>2520</v>
      </c>
      <c r="D43" s="4829" t="s">
        <v>2521</v>
      </c>
      <c r="E43" s="4829" t="s">
        <v>2522</v>
      </c>
      <c r="F43" s="4829" t="s">
        <v>2479</v>
      </c>
      <c r="G43" s="4829" t="s">
        <v>22</v>
      </c>
      <c r="H43" s="4829" t="s">
        <v>22</v>
      </c>
      <c r="I43" s="4829" t="s">
        <v>803</v>
      </c>
    </row>
    <row customHeight="1" ht="11.25">
      <c r="A44" s="4829" t="s">
        <v>2375</v>
      </c>
      <c r="B44" s="4829" t="s">
        <v>16</v>
      </c>
      <c r="C44" s="4829" t="s">
        <v>2523</v>
      </c>
      <c r="D44" s="4829" t="s">
        <v>2524</v>
      </c>
      <c r="E44" s="4829" t="s">
        <v>2525</v>
      </c>
      <c r="F44" s="4829" t="s">
        <v>2526</v>
      </c>
      <c r="G44" s="4829" t="s">
        <v>22</v>
      </c>
      <c r="H44" s="4829" t="s">
        <v>22</v>
      </c>
      <c r="I44" s="4829" t="s">
        <v>803</v>
      </c>
    </row>
    <row customHeight="1" ht="11.25">
      <c r="A45" s="4829" t="s">
        <v>2375</v>
      </c>
      <c r="B45" s="4829" t="s">
        <v>16</v>
      </c>
      <c r="C45" s="4829" t="s">
        <v>2527</v>
      </c>
      <c r="D45" s="4829" t="s">
        <v>2528</v>
      </c>
      <c r="E45" s="4829" t="s">
        <v>2529</v>
      </c>
      <c r="F45" s="4829" t="s">
        <v>2508</v>
      </c>
      <c r="G45" s="4829" t="s">
        <v>2530</v>
      </c>
      <c r="H45" s="4829" t="s">
        <v>22</v>
      </c>
      <c r="I45" s="4829" t="s">
        <v>803</v>
      </c>
    </row>
    <row customHeight="1" ht="11.25">
      <c r="A46" s="4829" t="s">
        <v>2375</v>
      </c>
      <c r="B46" s="4829" t="s">
        <v>16</v>
      </c>
      <c r="C46" s="4829" t="s">
        <v>2531</v>
      </c>
      <c r="D46" s="4829" t="s">
        <v>2532</v>
      </c>
      <c r="E46" s="4829" t="s">
        <v>2533</v>
      </c>
      <c r="F46" s="4829" t="s">
        <v>2534</v>
      </c>
      <c r="G46" s="4829" t="s">
        <v>22</v>
      </c>
      <c r="H46" s="4829" t="s">
        <v>22</v>
      </c>
      <c r="I46" s="4829" t="s">
        <v>803</v>
      </c>
    </row>
    <row customHeight="1" ht="11.25">
      <c r="A47" s="4829" t="s">
        <v>2375</v>
      </c>
      <c r="B47" s="4829" t="s">
        <v>16</v>
      </c>
      <c r="C47" s="4829" t="s">
        <v>2535</v>
      </c>
      <c r="D47" s="4829" t="s">
        <v>2536</v>
      </c>
      <c r="E47" s="4829" t="s">
        <v>2537</v>
      </c>
      <c r="F47" s="4829" t="s">
        <v>2534</v>
      </c>
      <c r="G47" s="4829" t="s">
        <v>2538</v>
      </c>
      <c r="H47" s="4829" t="s">
        <v>22</v>
      </c>
      <c r="I47" s="4829" t="s">
        <v>803</v>
      </c>
    </row>
    <row customHeight="1" ht="11.25">
      <c r="A48" s="4829" t="s">
        <v>2375</v>
      </c>
      <c r="B48" s="4829" t="s">
        <v>16</v>
      </c>
      <c r="C48" s="4829" t="s">
        <v>2539</v>
      </c>
      <c r="D48" s="4829" t="s">
        <v>2540</v>
      </c>
      <c r="E48" s="4829" t="s">
        <v>2541</v>
      </c>
      <c r="F48" s="4829" t="s">
        <v>2508</v>
      </c>
      <c r="G48" s="4829" t="s">
        <v>22</v>
      </c>
      <c r="H48" s="4829" t="s">
        <v>22</v>
      </c>
      <c r="I48" s="4829" t="s">
        <v>803</v>
      </c>
    </row>
    <row customHeight="1" ht="11.25">
      <c r="A49" s="4829" t="s">
        <v>2375</v>
      </c>
      <c r="B49" s="4829" t="s">
        <v>16</v>
      </c>
      <c r="C49" s="4829" t="s">
        <v>2542</v>
      </c>
      <c r="D49" s="4829" t="s">
        <v>2543</v>
      </c>
      <c r="E49" s="4829" t="s">
        <v>2544</v>
      </c>
      <c r="F49" s="4829" t="s">
        <v>2545</v>
      </c>
      <c r="G49" s="4829" t="s">
        <v>2546</v>
      </c>
      <c r="H49" s="4829" t="s">
        <v>22</v>
      </c>
      <c r="I49" s="4829" t="s">
        <v>803</v>
      </c>
    </row>
    <row customHeight="1" ht="11.25">
      <c r="A50" s="4829" t="s">
        <v>2375</v>
      </c>
      <c r="B50" s="4829" t="s">
        <v>16</v>
      </c>
      <c r="C50" s="4829" t="s">
        <v>2547</v>
      </c>
      <c r="D50" s="4829" t="s">
        <v>2548</v>
      </c>
      <c r="E50" s="4829" t="s">
        <v>2549</v>
      </c>
      <c r="F50" s="4829" t="s">
        <v>2545</v>
      </c>
      <c r="G50" s="4829" t="s">
        <v>2550</v>
      </c>
      <c r="H50" s="4829" t="s">
        <v>22</v>
      </c>
      <c r="I50" s="4829" t="s">
        <v>803</v>
      </c>
    </row>
    <row customHeight="1" ht="11.25">
      <c r="A51" s="4829" t="s">
        <v>2375</v>
      </c>
      <c r="B51" s="4829" t="s">
        <v>16</v>
      </c>
      <c r="C51" s="4829" t="s">
        <v>2551</v>
      </c>
      <c r="D51" s="4829" t="s">
        <v>2552</v>
      </c>
      <c r="E51" s="4829" t="s">
        <v>2553</v>
      </c>
      <c r="F51" s="4829" t="s">
        <v>2554</v>
      </c>
      <c r="G51" s="4829" t="s">
        <v>22</v>
      </c>
      <c r="H51" s="4829" t="s">
        <v>22</v>
      </c>
      <c r="I51" s="4829" t="s">
        <v>803</v>
      </c>
    </row>
    <row customHeight="1" ht="11.25">
      <c r="A52" s="4829" t="s">
        <v>2375</v>
      </c>
      <c r="B52" s="4829" t="s">
        <v>16</v>
      </c>
      <c r="C52" s="4829" t="s">
        <v>2555</v>
      </c>
      <c r="D52" s="4829" t="s">
        <v>2556</v>
      </c>
      <c r="E52" s="4829" t="s">
        <v>2557</v>
      </c>
      <c r="F52" s="4829" t="s">
        <v>2545</v>
      </c>
      <c r="G52" s="4829" t="s">
        <v>2558</v>
      </c>
      <c r="H52" s="4829" t="s">
        <v>22</v>
      </c>
      <c r="I52" s="4829" t="s">
        <v>803</v>
      </c>
    </row>
    <row customHeight="1" ht="11.25">
      <c r="A53" s="4829" t="s">
        <v>2375</v>
      </c>
      <c r="B53" s="4829" t="s">
        <v>16</v>
      </c>
      <c r="C53" s="4829" t="s">
        <v>2559</v>
      </c>
      <c r="D53" s="4829" t="s">
        <v>2560</v>
      </c>
      <c r="E53" s="4829" t="s">
        <v>2561</v>
      </c>
      <c r="F53" s="4829" t="s">
        <v>2545</v>
      </c>
      <c r="G53" s="4829" t="s">
        <v>2562</v>
      </c>
      <c r="H53" s="4829" t="s">
        <v>22</v>
      </c>
      <c r="I53" s="4829" t="s">
        <v>803</v>
      </c>
    </row>
    <row customHeight="1" ht="11.25">
      <c r="A54" s="4829" t="s">
        <v>2375</v>
      </c>
      <c r="B54" s="4829" t="s">
        <v>16</v>
      </c>
      <c r="C54" s="4829" t="s">
        <v>2563</v>
      </c>
      <c r="D54" s="4829" t="s">
        <v>2564</v>
      </c>
      <c r="E54" s="4829" t="s">
        <v>2565</v>
      </c>
      <c r="F54" s="4829" t="s">
        <v>2534</v>
      </c>
      <c r="G54" s="4829" t="s">
        <v>2566</v>
      </c>
      <c r="H54" s="4829" t="s">
        <v>22</v>
      </c>
      <c r="I54" s="4829" t="s">
        <v>803</v>
      </c>
    </row>
    <row customHeight="1" ht="11.25">
      <c r="A55" s="4829" t="s">
        <v>2375</v>
      </c>
      <c r="B55" s="4829" t="s">
        <v>16</v>
      </c>
      <c r="C55" s="4829" t="s">
        <v>2567</v>
      </c>
      <c r="D55" s="4829" t="s">
        <v>2568</v>
      </c>
      <c r="E55" s="4829" t="s">
        <v>2569</v>
      </c>
      <c r="F55" s="4829" t="s">
        <v>2534</v>
      </c>
      <c r="G55" s="4829" t="s">
        <v>22</v>
      </c>
      <c r="H55" s="4829" t="s">
        <v>22</v>
      </c>
      <c r="I55" s="4829" t="s">
        <v>803</v>
      </c>
    </row>
    <row customHeight="1" ht="11.25">
      <c r="A56" s="4829" t="s">
        <v>2375</v>
      </c>
      <c r="B56" s="4829" t="s">
        <v>16</v>
      </c>
      <c r="C56" s="4829" t="s">
        <v>2570</v>
      </c>
      <c r="D56" s="4829" t="s">
        <v>2571</v>
      </c>
      <c r="E56" s="4829" t="s">
        <v>2572</v>
      </c>
      <c r="F56" s="4829" t="s">
        <v>2458</v>
      </c>
      <c r="G56" s="4829" t="s">
        <v>22</v>
      </c>
      <c r="H56" s="4829" t="s">
        <v>22</v>
      </c>
      <c r="I56" s="4829" t="s">
        <v>803</v>
      </c>
    </row>
    <row customHeight="1" ht="11.25">
      <c r="A57" s="4829" t="s">
        <v>2375</v>
      </c>
      <c r="B57" s="4829" t="s">
        <v>16</v>
      </c>
      <c r="C57" s="4829" t="s">
        <v>2573</v>
      </c>
      <c r="D57" s="4829" t="s">
        <v>2574</v>
      </c>
      <c r="E57" s="4829" t="s">
        <v>2575</v>
      </c>
      <c r="F57" s="4829" t="s">
        <v>2576</v>
      </c>
      <c r="G57" s="4829" t="s">
        <v>22</v>
      </c>
      <c r="H57" s="4829" t="s">
        <v>22</v>
      </c>
      <c r="I57" s="4829" t="s">
        <v>803</v>
      </c>
    </row>
    <row customHeight="1" ht="11.25">
      <c r="A58" s="4829" t="s">
        <v>2375</v>
      </c>
      <c r="B58" s="4829" t="s">
        <v>16</v>
      </c>
      <c r="C58" s="4829" t="s">
        <v>2577</v>
      </c>
      <c r="D58" s="4829" t="s">
        <v>2578</v>
      </c>
      <c r="E58" s="4829" t="s">
        <v>2579</v>
      </c>
      <c r="F58" s="4829" t="s">
        <v>2497</v>
      </c>
      <c r="G58" s="4829" t="s">
        <v>2580</v>
      </c>
      <c r="H58" s="4829" t="s">
        <v>22</v>
      </c>
      <c r="I58" s="4829" t="s">
        <v>803</v>
      </c>
    </row>
    <row customHeight="1" ht="11.25">
      <c r="A59" s="4829" t="s">
        <v>2375</v>
      </c>
      <c r="B59" s="4829" t="s">
        <v>16</v>
      </c>
      <c r="C59" s="4829" t="s">
        <v>2581</v>
      </c>
      <c r="D59" s="4829" t="s">
        <v>2582</v>
      </c>
      <c r="E59" s="4829" t="s">
        <v>2583</v>
      </c>
      <c r="F59" s="4829" t="s">
        <v>2534</v>
      </c>
      <c r="G59" s="4829" t="s">
        <v>2584</v>
      </c>
      <c r="H59" s="4829" t="s">
        <v>22</v>
      </c>
      <c r="I59" s="4829" t="s">
        <v>803</v>
      </c>
    </row>
    <row customHeight="1" ht="11.25">
      <c r="A60" s="4829" t="s">
        <v>2375</v>
      </c>
      <c r="B60" s="4829" t="s">
        <v>16</v>
      </c>
      <c r="C60" s="4829" t="s">
        <v>2585</v>
      </c>
      <c r="D60" s="4829" t="s">
        <v>2586</v>
      </c>
      <c r="E60" s="4829" t="s">
        <v>2587</v>
      </c>
      <c r="F60" s="4829" t="s">
        <v>2508</v>
      </c>
      <c r="G60" s="4829" t="s">
        <v>22</v>
      </c>
      <c r="H60" s="4829" t="s">
        <v>22</v>
      </c>
      <c r="I60" s="4829" t="s">
        <v>803</v>
      </c>
    </row>
    <row customHeight="1" ht="11.25">
      <c r="A61" s="4829" t="s">
        <v>2375</v>
      </c>
      <c r="B61" s="4829" t="s">
        <v>16</v>
      </c>
      <c r="C61" s="4829" t="s">
        <v>2588</v>
      </c>
      <c r="D61" s="4829" t="s">
        <v>2589</v>
      </c>
      <c r="E61" s="4829" t="s">
        <v>2590</v>
      </c>
      <c r="F61" s="4829" t="s">
        <v>2545</v>
      </c>
      <c r="G61" s="4829" t="s">
        <v>22</v>
      </c>
      <c r="H61" s="4829" t="s">
        <v>22</v>
      </c>
      <c r="I61" s="4829" t="s">
        <v>803</v>
      </c>
    </row>
    <row customHeight="1" ht="11.25">
      <c r="A62" s="4829" t="s">
        <v>2375</v>
      </c>
      <c r="B62" s="4829" t="s">
        <v>16</v>
      </c>
      <c r="C62" s="4829" t="s">
        <v>2591</v>
      </c>
      <c r="D62" s="4829" t="s">
        <v>2592</v>
      </c>
      <c r="E62" s="4829" t="s">
        <v>2593</v>
      </c>
      <c r="F62" s="4829" t="s">
        <v>2576</v>
      </c>
      <c r="G62" s="4829" t="s">
        <v>22</v>
      </c>
      <c r="H62" s="4829" t="s">
        <v>22</v>
      </c>
      <c r="I62" s="4829" t="s">
        <v>803</v>
      </c>
    </row>
    <row customHeight="1" ht="11.25">
      <c r="A63" s="4829" t="s">
        <v>2375</v>
      </c>
      <c r="B63" s="4829" t="s">
        <v>16</v>
      </c>
      <c r="C63" s="4829" t="s">
        <v>2594</v>
      </c>
      <c r="D63" s="4829" t="s">
        <v>2595</v>
      </c>
      <c r="E63" s="4829" t="s">
        <v>2596</v>
      </c>
      <c r="F63" s="4829" t="s">
        <v>2534</v>
      </c>
      <c r="G63" s="4829" t="s">
        <v>2597</v>
      </c>
      <c r="H63" s="4829" t="s">
        <v>22</v>
      </c>
      <c r="I63" s="4829" t="s">
        <v>803</v>
      </c>
    </row>
    <row customHeight="1" ht="11.25">
      <c r="A64" s="4829" t="s">
        <v>2375</v>
      </c>
      <c r="B64" s="4829" t="s">
        <v>16</v>
      </c>
      <c r="C64" s="4829" t="s">
        <v>2598</v>
      </c>
      <c r="D64" s="4829" t="s">
        <v>2599</v>
      </c>
      <c r="E64" s="4829" t="s">
        <v>2600</v>
      </c>
      <c r="F64" s="4829" t="s">
        <v>2508</v>
      </c>
      <c r="G64" s="4829" t="s">
        <v>2601</v>
      </c>
      <c r="H64" s="4829" t="s">
        <v>22</v>
      </c>
      <c r="I64" s="4829" t="s">
        <v>803</v>
      </c>
    </row>
    <row customHeight="1" ht="11.25">
      <c r="A65" s="4829" t="s">
        <v>2375</v>
      </c>
      <c r="B65" s="4829" t="s">
        <v>16</v>
      </c>
      <c r="C65" s="4829" t="s">
        <v>2602</v>
      </c>
      <c r="D65" s="4829" t="s">
        <v>2603</v>
      </c>
      <c r="E65" s="4829" t="s">
        <v>2604</v>
      </c>
      <c r="F65" s="4829" t="s">
        <v>2545</v>
      </c>
      <c r="G65" s="4829" t="s">
        <v>2605</v>
      </c>
      <c r="H65" s="4829" t="s">
        <v>22</v>
      </c>
      <c r="I65" s="4829" t="s">
        <v>803</v>
      </c>
    </row>
    <row customHeight="1" ht="11.25">
      <c r="A66" s="4829" t="s">
        <v>2375</v>
      </c>
      <c r="B66" s="4829" t="s">
        <v>16</v>
      </c>
      <c r="C66" s="4829" t="s">
        <v>2606</v>
      </c>
      <c r="D66" s="4829" t="s">
        <v>2603</v>
      </c>
      <c r="E66" s="4829" t="s">
        <v>2607</v>
      </c>
      <c r="F66" s="4829" t="s">
        <v>2436</v>
      </c>
      <c r="G66" s="4829" t="s">
        <v>2608</v>
      </c>
      <c r="H66" s="4829" t="s">
        <v>22</v>
      </c>
      <c r="I66" s="4829" t="s">
        <v>803</v>
      </c>
    </row>
    <row customHeight="1" ht="11.25">
      <c r="A67" s="4829" t="s">
        <v>2375</v>
      </c>
      <c r="B67" s="4829" t="s">
        <v>16</v>
      </c>
      <c r="C67" s="4829" t="s">
        <v>2609</v>
      </c>
      <c r="D67" s="4829" t="s">
        <v>2610</v>
      </c>
      <c r="E67" s="4829" t="s">
        <v>2611</v>
      </c>
      <c r="F67" s="4829" t="s">
        <v>2526</v>
      </c>
      <c r="G67" s="4829" t="s">
        <v>22</v>
      </c>
      <c r="H67" s="4829" t="s">
        <v>22</v>
      </c>
      <c r="I67" s="4829" t="s">
        <v>803</v>
      </c>
    </row>
    <row customHeight="1" ht="11.25">
      <c r="A68" s="4829" t="s">
        <v>2375</v>
      </c>
      <c r="B68" s="4829" t="s">
        <v>16</v>
      </c>
      <c r="C68" s="4829" t="s">
        <v>2612</v>
      </c>
      <c r="D68" s="4829" t="s">
        <v>2613</v>
      </c>
      <c r="E68" s="4829" t="s">
        <v>2614</v>
      </c>
      <c r="F68" s="4829" t="s">
        <v>2526</v>
      </c>
      <c r="G68" s="4829" t="s">
        <v>2615</v>
      </c>
      <c r="H68" s="4829" t="s">
        <v>22</v>
      </c>
      <c r="I68" s="4829" t="s">
        <v>803</v>
      </c>
    </row>
    <row customHeight="1" ht="11.25">
      <c r="A69" s="4829" t="s">
        <v>2375</v>
      </c>
      <c r="B69" s="4829" t="s">
        <v>16</v>
      </c>
      <c r="C69" s="4829" t="s">
        <v>2616</v>
      </c>
      <c r="D69" s="4829" t="s">
        <v>2617</v>
      </c>
      <c r="E69" s="4829" t="s">
        <v>2618</v>
      </c>
      <c r="F69" s="4829" t="s">
        <v>2488</v>
      </c>
      <c r="G69" s="4829" t="s">
        <v>22</v>
      </c>
      <c r="H69" s="4829" t="s">
        <v>22</v>
      </c>
      <c r="I69" s="4829" t="s">
        <v>803</v>
      </c>
    </row>
    <row customHeight="1" ht="11.25">
      <c r="A70" s="4829" t="s">
        <v>2375</v>
      </c>
      <c r="B70" s="4829" t="s">
        <v>16</v>
      </c>
      <c r="C70" s="4829" t="s">
        <v>2619</v>
      </c>
      <c r="D70" s="4829" t="s">
        <v>2620</v>
      </c>
      <c r="E70" s="4829" t="s">
        <v>2621</v>
      </c>
      <c r="F70" s="4829" t="s">
        <v>2497</v>
      </c>
      <c r="G70" s="4829" t="s">
        <v>2622</v>
      </c>
      <c r="H70" s="4829" t="s">
        <v>22</v>
      </c>
      <c r="I70" s="4829" t="s">
        <v>803</v>
      </c>
    </row>
    <row customHeight="1" ht="11.25">
      <c r="A71" s="4829" t="s">
        <v>2375</v>
      </c>
      <c r="B71" s="4829" t="s">
        <v>16</v>
      </c>
      <c r="C71" s="4829" t="s">
        <v>2623</v>
      </c>
      <c r="D71" s="4829" t="s">
        <v>2624</v>
      </c>
      <c r="E71" s="4829" t="s">
        <v>2625</v>
      </c>
      <c r="F71" s="4829" t="s">
        <v>2497</v>
      </c>
      <c r="G71" s="4829" t="s">
        <v>2626</v>
      </c>
      <c r="H71" s="4829" t="s">
        <v>22</v>
      </c>
      <c r="I71" s="4829" t="s">
        <v>803</v>
      </c>
    </row>
    <row customHeight="1" ht="11.25">
      <c r="A72" s="4829" t="s">
        <v>2375</v>
      </c>
      <c r="B72" s="4829" t="s">
        <v>16</v>
      </c>
      <c r="C72" s="4829" t="s">
        <v>2627</v>
      </c>
      <c r="D72" s="4829" t="s">
        <v>2628</v>
      </c>
      <c r="E72" s="4829" t="s">
        <v>2629</v>
      </c>
      <c r="F72" s="4829" t="s">
        <v>2488</v>
      </c>
      <c r="G72" s="4829" t="s">
        <v>2630</v>
      </c>
      <c r="H72" s="4829" t="s">
        <v>22</v>
      </c>
      <c r="I72" s="4829" t="s">
        <v>803</v>
      </c>
    </row>
    <row customHeight="1" ht="11.25">
      <c r="A73" s="4829" t="s">
        <v>2375</v>
      </c>
      <c r="B73" s="4829" t="s">
        <v>16</v>
      </c>
      <c r="C73" s="4829" t="s">
        <v>2631</v>
      </c>
      <c r="D73" s="4829" t="s">
        <v>2632</v>
      </c>
      <c r="E73" s="4829" t="s">
        <v>2633</v>
      </c>
      <c r="F73" s="4829" t="s">
        <v>2508</v>
      </c>
      <c r="G73" s="4829" t="s">
        <v>2634</v>
      </c>
      <c r="H73" s="4829" t="s">
        <v>22</v>
      </c>
      <c r="I73" s="4829" t="s">
        <v>803</v>
      </c>
    </row>
    <row customHeight="1" ht="11.25">
      <c r="A74" s="4829" t="s">
        <v>2375</v>
      </c>
      <c r="B74" s="4829" t="s">
        <v>16</v>
      </c>
      <c r="C74" s="4829" t="s">
        <v>2635</v>
      </c>
      <c r="D74" s="4829" t="s">
        <v>2636</v>
      </c>
      <c r="E74" s="4829" t="s">
        <v>2637</v>
      </c>
      <c r="F74" s="4829" t="s">
        <v>2384</v>
      </c>
      <c r="G74" s="4829" t="s">
        <v>22</v>
      </c>
      <c r="H74" s="4829" t="s">
        <v>22</v>
      </c>
      <c r="I74" s="4829" t="s">
        <v>803</v>
      </c>
    </row>
    <row customHeight="1" ht="11.25">
      <c r="A75" s="4829" t="s">
        <v>2375</v>
      </c>
      <c r="B75" s="4829" t="s">
        <v>16</v>
      </c>
      <c r="C75" s="4829" t="s">
        <v>2638</v>
      </c>
      <c r="D75" s="4829" t="s">
        <v>2639</v>
      </c>
      <c r="E75" s="4829" t="s">
        <v>2640</v>
      </c>
      <c r="F75" s="4829" t="s">
        <v>2554</v>
      </c>
      <c r="G75" s="4829" t="s">
        <v>22</v>
      </c>
      <c r="H75" s="4829" t="s">
        <v>22</v>
      </c>
      <c r="I75" s="4829" t="s">
        <v>803</v>
      </c>
    </row>
    <row customHeight="1" ht="11.25">
      <c r="A76" s="4829" t="s">
        <v>2375</v>
      </c>
      <c r="B76" s="4829" t="s">
        <v>16</v>
      </c>
      <c r="C76" s="4829" t="s">
        <v>2641</v>
      </c>
      <c r="D76" s="4829" t="s">
        <v>2642</v>
      </c>
      <c r="E76" s="4829" t="s">
        <v>2643</v>
      </c>
      <c r="F76" s="4829" t="s">
        <v>2508</v>
      </c>
      <c r="G76" s="4829" t="s">
        <v>22</v>
      </c>
      <c r="H76" s="4829" t="s">
        <v>22</v>
      </c>
      <c r="I76" s="4829" t="s">
        <v>803</v>
      </c>
    </row>
    <row customHeight="1" ht="11.25">
      <c r="A77" s="4829" t="s">
        <v>2375</v>
      </c>
      <c r="B77" s="4829" t="s">
        <v>16</v>
      </c>
      <c r="C77" s="4829" t="s">
        <v>2644</v>
      </c>
      <c r="D77" s="4829" t="s">
        <v>2645</v>
      </c>
      <c r="E77" s="4829" t="s">
        <v>2646</v>
      </c>
      <c r="F77" s="4829" t="s">
        <v>2436</v>
      </c>
      <c r="G77" s="4829" t="s">
        <v>2647</v>
      </c>
      <c r="H77" s="4829" t="s">
        <v>22</v>
      </c>
      <c r="I77" s="4829" t="s">
        <v>803</v>
      </c>
    </row>
    <row customHeight="1" ht="11.25">
      <c r="A78" s="4829" t="s">
        <v>2375</v>
      </c>
      <c r="B78" s="4829" t="s">
        <v>16</v>
      </c>
      <c r="C78" s="4829" t="s">
        <v>2648</v>
      </c>
      <c r="D78" s="4829" t="s">
        <v>2649</v>
      </c>
      <c r="E78" s="4829" t="s">
        <v>2650</v>
      </c>
      <c r="F78" s="4829" t="s">
        <v>2488</v>
      </c>
      <c r="G78" s="4829" t="s">
        <v>22</v>
      </c>
      <c r="H78" s="4829" t="s">
        <v>22</v>
      </c>
      <c r="I78" s="4829" t="s">
        <v>803</v>
      </c>
    </row>
    <row customHeight="1" ht="11.25">
      <c r="A79" s="4829" t="s">
        <v>2375</v>
      </c>
      <c r="B79" s="4829" t="s">
        <v>16</v>
      </c>
      <c r="C79" s="4829" t="s">
        <v>2651</v>
      </c>
      <c r="D79" s="4829" t="s">
        <v>2652</v>
      </c>
      <c r="E79" s="4829" t="s">
        <v>2653</v>
      </c>
      <c r="F79" s="4829" t="s">
        <v>2534</v>
      </c>
      <c r="G79" s="4829" t="s">
        <v>22</v>
      </c>
      <c r="H79" s="4829" t="s">
        <v>22</v>
      </c>
      <c r="I79" s="4829" t="s">
        <v>803</v>
      </c>
    </row>
    <row customHeight="1" ht="11.25">
      <c r="A80" s="4829" t="s">
        <v>2375</v>
      </c>
      <c r="B80" s="4829" t="s">
        <v>16</v>
      </c>
      <c r="C80" s="4829" t="s">
        <v>2654</v>
      </c>
      <c r="D80" s="4829" t="s">
        <v>2655</v>
      </c>
      <c r="E80" s="4829" t="s">
        <v>2461</v>
      </c>
      <c r="F80" s="4829" t="s">
        <v>2656</v>
      </c>
      <c r="G80" s="4829" t="s">
        <v>22</v>
      </c>
      <c r="H80" s="4829" t="s">
        <v>22</v>
      </c>
      <c r="I80" s="4829" t="s">
        <v>803</v>
      </c>
    </row>
    <row customHeight="1" ht="11.25">
      <c r="A81" s="4829" t="s">
        <v>2375</v>
      </c>
      <c r="B81" s="4829" t="s">
        <v>16</v>
      </c>
      <c r="C81" s="4829" t="s">
        <v>2657</v>
      </c>
      <c r="D81" s="4829" t="s">
        <v>2658</v>
      </c>
      <c r="E81" s="4829" t="s">
        <v>2461</v>
      </c>
      <c r="F81" s="4829" t="s">
        <v>2659</v>
      </c>
      <c r="G81" s="4829" t="s">
        <v>22</v>
      </c>
      <c r="H81" s="4829" t="s">
        <v>22</v>
      </c>
      <c r="I81" s="4829" t="s">
        <v>803</v>
      </c>
    </row>
    <row customHeight="1" ht="11.25">
      <c r="A82" s="4829" t="s">
        <v>2375</v>
      </c>
      <c r="B82" s="4829" t="s">
        <v>16</v>
      </c>
      <c r="C82" s="4829" t="s">
        <v>2660</v>
      </c>
      <c r="D82" s="4829" t="s">
        <v>2661</v>
      </c>
      <c r="E82" s="4829" t="s">
        <v>2662</v>
      </c>
      <c r="F82" s="4829" t="s">
        <v>2663</v>
      </c>
      <c r="G82" s="4829" t="s">
        <v>22</v>
      </c>
      <c r="H82" s="4829" t="s">
        <v>22</v>
      </c>
      <c r="I82" s="4829" t="s">
        <v>803</v>
      </c>
    </row>
    <row customHeight="1" ht="11.25">
      <c r="A83" s="4829" t="s">
        <v>2375</v>
      </c>
      <c r="B83" s="4829" t="s">
        <v>16</v>
      </c>
      <c r="C83" s="4829" t="s">
        <v>2664</v>
      </c>
      <c r="D83" s="4829" t="s">
        <v>2665</v>
      </c>
      <c r="E83" s="4829" t="s">
        <v>2666</v>
      </c>
      <c r="F83" s="4829" t="s">
        <v>2667</v>
      </c>
      <c r="G83" s="4829" t="s">
        <v>2668</v>
      </c>
      <c r="H83" s="4829" t="s">
        <v>22</v>
      </c>
      <c r="I83" s="4829" t="s">
        <v>803</v>
      </c>
    </row>
    <row customHeight="1" ht="11.25">
      <c r="A84" s="4829" t="s">
        <v>2375</v>
      </c>
      <c r="B84" s="4829" t="s">
        <v>16</v>
      </c>
      <c r="C84" s="4829" t="s">
        <v>2669</v>
      </c>
      <c r="D84" s="4829" t="s">
        <v>2670</v>
      </c>
      <c r="E84" s="4829" t="s">
        <v>2671</v>
      </c>
      <c r="F84" s="4829" t="s">
        <v>2436</v>
      </c>
      <c r="G84" s="4829" t="s">
        <v>22</v>
      </c>
      <c r="H84" s="4829" t="s">
        <v>22</v>
      </c>
      <c r="I84" s="4829" t="s">
        <v>803</v>
      </c>
    </row>
    <row customHeight="1" ht="11.25">
      <c r="A85" s="4829" t="s">
        <v>2375</v>
      </c>
      <c r="B85" s="4829" t="s">
        <v>16</v>
      </c>
      <c r="C85" s="4829" t="s">
        <v>2672</v>
      </c>
      <c r="D85" s="4829" t="s">
        <v>2673</v>
      </c>
      <c r="E85" s="4829" t="s">
        <v>2674</v>
      </c>
      <c r="F85" s="4829" t="s">
        <v>2488</v>
      </c>
      <c r="G85" s="4829" t="s">
        <v>22</v>
      </c>
      <c r="H85" s="4829" t="s">
        <v>22</v>
      </c>
      <c r="I85" s="4829" t="s">
        <v>803</v>
      </c>
    </row>
    <row customHeight="1" ht="11.25">
      <c r="A86" s="4829" t="s">
        <v>2375</v>
      </c>
      <c r="B86" s="4829" t="s">
        <v>16</v>
      </c>
      <c r="C86" s="4829" t="s">
        <v>2675</v>
      </c>
      <c r="D86" s="4829" t="s">
        <v>2676</v>
      </c>
      <c r="E86" s="4829" t="s">
        <v>2677</v>
      </c>
      <c r="F86" s="4829" t="s">
        <v>2488</v>
      </c>
      <c r="G86" s="4829" t="s">
        <v>22</v>
      </c>
      <c r="H86" s="4829" t="s">
        <v>22</v>
      </c>
      <c r="I86" s="4829" t="s">
        <v>803</v>
      </c>
    </row>
    <row customHeight="1" ht="11.25">
      <c r="A87" s="4829" t="s">
        <v>2375</v>
      </c>
      <c r="B87" s="4829" t="s">
        <v>16</v>
      </c>
      <c r="C87" s="4829" t="s">
        <v>2678</v>
      </c>
      <c r="D87" s="4829" t="s">
        <v>2679</v>
      </c>
      <c r="E87" s="4829" t="s">
        <v>2680</v>
      </c>
      <c r="F87" s="4829" t="s">
        <v>2479</v>
      </c>
      <c r="G87" s="4829" t="s">
        <v>22</v>
      </c>
      <c r="H87" s="4829" t="s">
        <v>22</v>
      </c>
      <c r="I87" s="4829" t="s">
        <v>803</v>
      </c>
    </row>
    <row customHeight="1" ht="11.25">
      <c r="A88" s="4829" t="s">
        <v>2375</v>
      </c>
      <c r="B88" s="4829" t="s">
        <v>16</v>
      </c>
      <c r="C88" s="4829" t="s">
        <v>2681</v>
      </c>
      <c r="D88" s="4829" t="s">
        <v>2682</v>
      </c>
      <c r="E88" s="4829" t="s">
        <v>2683</v>
      </c>
      <c r="F88" s="4829" t="s">
        <v>50</v>
      </c>
      <c r="G88" s="4829" t="s">
        <v>2684</v>
      </c>
      <c r="H88" s="4829" t="s">
        <v>22</v>
      </c>
      <c r="I88" s="4829" t="s">
        <v>803</v>
      </c>
    </row>
    <row customHeight="1" ht="11.25">
      <c r="A89" s="4829" t="s">
        <v>2375</v>
      </c>
      <c r="B89" s="4829" t="s">
        <v>16</v>
      </c>
      <c r="C89" s="4829" t="s">
        <v>2685</v>
      </c>
      <c r="D89" s="4829" t="s">
        <v>2686</v>
      </c>
      <c r="E89" s="4829" t="s">
        <v>2687</v>
      </c>
      <c r="F89" s="4829" t="s">
        <v>2508</v>
      </c>
      <c r="G89" s="4829" t="s">
        <v>2688</v>
      </c>
      <c r="H89" s="4829" t="s">
        <v>22</v>
      </c>
      <c r="I89" s="4829" t="s">
        <v>803</v>
      </c>
    </row>
    <row customHeight="1" ht="11.25">
      <c r="A90" s="4829" t="s">
        <v>2375</v>
      </c>
      <c r="B90" s="4829" t="s">
        <v>16</v>
      </c>
      <c r="C90" s="4829" t="s">
        <v>2689</v>
      </c>
      <c r="D90" s="4829" t="s">
        <v>2690</v>
      </c>
      <c r="E90" s="4829" t="s">
        <v>2691</v>
      </c>
      <c r="F90" s="4829" t="s">
        <v>2458</v>
      </c>
      <c r="G90" s="4829" t="s">
        <v>22</v>
      </c>
      <c r="H90" s="4829" t="s">
        <v>22</v>
      </c>
      <c r="I90" s="4829" t="s">
        <v>803</v>
      </c>
    </row>
    <row customHeight="1" ht="11.25">
      <c r="A91" s="4829" t="s">
        <v>2375</v>
      </c>
      <c r="B91" s="4829" t="s">
        <v>16</v>
      </c>
      <c r="C91" s="4829" t="s">
        <v>2692</v>
      </c>
      <c r="D91" s="4829" t="s">
        <v>2693</v>
      </c>
      <c r="E91" s="4829" t="s">
        <v>2694</v>
      </c>
      <c r="F91" s="4829" t="s">
        <v>2427</v>
      </c>
      <c r="G91" s="4829" t="s">
        <v>2695</v>
      </c>
      <c r="H91" s="4829" t="s">
        <v>22</v>
      </c>
      <c r="I91" s="4829" t="s">
        <v>803</v>
      </c>
    </row>
    <row customHeight="1" ht="11.25">
      <c r="A92" s="4829" t="s">
        <v>2375</v>
      </c>
      <c r="B92" s="4829" t="s">
        <v>16</v>
      </c>
      <c r="C92" s="4829" t="s">
        <v>2696</v>
      </c>
      <c r="D92" s="4829" t="s">
        <v>2697</v>
      </c>
      <c r="E92" s="4829" t="s">
        <v>2698</v>
      </c>
      <c r="F92" s="4829" t="s">
        <v>2479</v>
      </c>
      <c r="G92" s="4829" t="s">
        <v>22</v>
      </c>
      <c r="H92" s="4829" t="s">
        <v>22</v>
      </c>
      <c r="I92" s="4829" t="s">
        <v>803</v>
      </c>
    </row>
    <row customHeight="1" ht="11.25">
      <c r="A93" s="4829" t="s">
        <v>2375</v>
      </c>
      <c r="B93" s="4829" t="s">
        <v>16</v>
      </c>
      <c r="C93" s="4829" t="s">
        <v>2699</v>
      </c>
      <c r="D93" s="4829" t="s">
        <v>2700</v>
      </c>
      <c r="E93" s="4829" t="s">
        <v>2701</v>
      </c>
      <c r="F93" s="4829" t="s">
        <v>2384</v>
      </c>
      <c r="G93" s="4829" t="s">
        <v>2702</v>
      </c>
      <c r="H93" s="4829" t="s">
        <v>22</v>
      </c>
      <c r="I93" s="4829" t="s">
        <v>803</v>
      </c>
    </row>
    <row customHeight="1" ht="11.25">
      <c r="A94" s="4829" t="s">
        <v>2375</v>
      </c>
      <c r="B94" s="4829" t="s">
        <v>16</v>
      </c>
      <c r="C94" s="4829" t="s">
        <v>2703</v>
      </c>
      <c r="D94" s="4829" t="s">
        <v>2704</v>
      </c>
      <c r="E94" s="4829" t="s">
        <v>2705</v>
      </c>
      <c r="F94" s="4829" t="s">
        <v>2534</v>
      </c>
      <c r="G94" s="4829" t="s">
        <v>22</v>
      </c>
      <c r="H94" s="4829" t="s">
        <v>22</v>
      </c>
      <c r="I94" s="4829" t="s">
        <v>803</v>
      </c>
    </row>
    <row customHeight="1" ht="11.25">
      <c r="A95" s="4829" t="s">
        <v>2375</v>
      </c>
      <c r="B95" s="4829" t="s">
        <v>16</v>
      </c>
      <c r="C95" s="4829" t="s">
        <v>2706</v>
      </c>
      <c r="D95" s="4829" t="s">
        <v>2707</v>
      </c>
      <c r="E95" s="4829" t="s">
        <v>2708</v>
      </c>
      <c r="F95" s="4829" t="s">
        <v>2709</v>
      </c>
      <c r="G95" s="4829" t="s">
        <v>22</v>
      </c>
      <c r="H95" s="4829" t="s">
        <v>22</v>
      </c>
      <c r="I95" s="4829" t="s">
        <v>803</v>
      </c>
    </row>
    <row customHeight="1" ht="11.25">
      <c r="A96" s="4829" t="s">
        <v>2375</v>
      </c>
      <c r="B96" s="4829" t="s">
        <v>16</v>
      </c>
      <c r="C96" s="4829" t="s">
        <v>2710</v>
      </c>
      <c r="D96" s="4829" t="s">
        <v>2711</v>
      </c>
      <c r="E96" s="4829" t="s">
        <v>2712</v>
      </c>
      <c r="F96" s="4829" t="s">
        <v>2526</v>
      </c>
      <c r="G96" s="4829" t="s">
        <v>22</v>
      </c>
      <c r="H96" s="4829" t="s">
        <v>22</v>
      </c>
      <c r="I96" s="4829" t="s">
        <v>803</v>
      </c>
    </row>
    <row customHeight="1" ht="11.25">
      <c r="A97" s="4829" t="s">
        <v>2375</v>
      </c>
      <c r="B97" s="4829" t="s">
        <v>16</v>
      </c>
      <c r="C97" s="4829" t="s">
        <v>2713</v>
      </c>
      <c r="D97" s="4829" t="s">
        <v>2714</v>
      </c>
      <c r="E97" s="4829" t="s">
        <v>2715</v>
      </c>
      <c r="F97" s="4829" t="s">
        <v>2534</v>
      </c>
      <c r="G97" s="4829" t="s">
        <v>2716</v>
      </c>
      <c r="H97" s="4829" t="s">
        <v>22</v>
      </c>
      <c r="I97" s="4829" t="s">
        <v>803</v>
      </c>
    </row>
    <row customHeight="1" ht="11.25">
      <c r="A98" s="4829" t="s">
        <v>2375</v>
      </c>
      <c r="B98" s="4829" t="s">
        <v>16</v>
      </c>
      <c r="C98" s="4829" t="s">
        <v>2717</v>
      </c>
      <c r="D98" s="4829" t="s">
        <v>2718</v>
      </c>
      <c r="E98" s="4829" t="s">
        <v>2719</v>
      </c>
      <c r="F98" s="4829" t="s">
        <v>2508</v>
      </c>
      <c r="G98" s="4829" t="s">
        <v>2720</v>
      </c>
      <c r="H98" s="4829" t="s">
        <v>22</v>
      </c>
      <c r="I98" s="4829" t="s">
        <v>803</v>
      </c>
    </row>
    <row customHeight="1" ht="11.25">
      <c r="A99" s="4829" t="s">
        <v>2375</v>
      </c>
      <c r="B99" s="4829" t="s">
        <v>16</v>
      </c>
      <c r="C99" s="4829" t="s">
        <v>2721</v>
      </c>
      <c r="D99" s="4829" t="s">
        <v>2722</v>
      </c>
      <c r="E99" s="4829" t="s">
        <v>2723</v>
      </c>
      <c r="F99" s="4829" t="s">
        <v>2479</v>
      </c>
      <c r="G99" s="4829" t="s">
        <v>22</v>
      </c>
      <c r="H99" s="4829" t="s">
        <v>22</v>
      </c>
      <c r="I99" s="4829" t="s">
        <v>803</v>
      </c>
    </row>
    <row customHeight="1" ht="11.25">
      <c r="A100" s="4829" t="s">
        <v>2375</v>
      </c>
      <c r="B100" s="4829" t="s">
        <v>16</v>
      </c>
      <c r="C100" s="4829" t="s">
        <v>2724</v>
      </c>
      <c r="D100" s="4829" t="s">
        <v>2725</v>
      </c>
      <c r="E100" s="4829" t="s">
        <v>2726</v>
      </c>
      <c r="F100" s="4829" t="s">
        <v>2479</v>
      </c>
      <c r="G100" s="4829" t="s">
        <v>22</v>
      </c>
      <c r="H100" s="4829" t="s">
        <v>22</v>
      </c>
      <c r="I100" s="4829" t="s">
        <v>803</v>
      </c>
    </row>
    <row customHeight="1" ht="11.25">
      <c r="A101" s="4829" t="s">
        <v>2375</v>
      </c>
      <c r="B101" s="4829" t="s">
        <v>16</v>
      </c>
      <c r="C101" s="4829" t="s">
        <v>2727</v>
      </c>
      <c r="D101" s="4829" t="s">
        <v>2728</v>
      </c>
      <c r="E101" s="4829" t="s">
        <v>2729</v>
      </c>
      <c r="F101" s="4829" t="s">
        <v>2497</v>
      </c>
      <c r="G101" s="4829" t="s">
        <v>2730</v>
      </c>
      <c r="H101" s="4829" t="s">
        <v>22</v>
      </c>
      <c r="I101" s="4829" t="s">
        <v>803</v>
      </c>
    </row>
    <row customHeight="1" ht="11.25">
      <c r="A102" s="4829" t="s">
        <v>2375</v>
      </c>
      <c r="B102" s="4829" t="s">
        <v>16</v>
      </c>
      <c r="C102" s="4829" t="s">
        <v>2731</v>
      </c>
      <c r="D102" s="4829" t="s">
        <v>2732</v>
      </c>
      <c r="E102" s="4829" t="s">
        <v>2733</v>
      </c>
      <c r="F102" s="4829" t="s">
        <v>2384</v>
      </c>
      <c r="G102" s="4829" t="s">
        <v>22</v>
      </c>
      <c r="H102" s="4829" t="s">
        <v>22</v>
      </c>
      <c r="I102" s="4829" t="s">
        <v>803</v>
      </c>
    </row>
    <row customHeight="1" ht="11.25">
      <c r="A103" s="4829" t="s">
        <v>2375</v>
      </c>
      <c r="B103" s="4829" t="s">
        <v>16</v>
      </c>
      <c r="C103" s="4829" t="s">
        <v>2734</v>
      </c>
      <c r="D103" s="4829" t="s">
        <v>2735</v>
      </c>
      <c r="E103" s="4829" t="s">
        <v>2736</v>
      </c>
      <c r="F103" s="4829" t="s">
        <v>2737</v>
      </c>
      <c r="G103" s="4829" t="s">
        <v>22</v>
      </c>
      <c r="H103" s="4829" t="s">
        <v>22</v>
      </c>
      <c r="I103" s="4829" t="s">
        <v>803</v>
      </c>
    </row>
    <row customHeight="1" ht="11.25">
      <c r="A104" s="4829" t="s">
        <v>2375</v>
      </c>
      <c r="B104" s="4829" t="s">
        <v>16</v>
      </c>
      <c r="C104" s="4829" t="s">
        <v>2738</v>
      </c>
      <c r="D104" s="4829" t="s">
        <v>2739</v>
      </c>
      <c r="E104" s="4829" t="s">
        <v>2740</v>
      </c>
      <c r="F104" s="4829" t="s">
        <v>2737</v>
      </c>
      <c r="G104" s="4829" t="s">
        <v>22</v>
      </c>
      <c r="H104" s="4829" t="s">
        <v>22</v>
      </c>
      <c r="I104" s="4829" t="s">
        <v>803</v>
      </c>
    </row>
    <row customHeight="1" ht="11.25">
      <c r="A105" s="4829" t="s">
        <v>2375</v>
      </c>
      <c r="B105" s="4829" t="s">
        <v>16</v>
      </c>
      <c r="C105" s="4829" t="s">
        <v>2741</v>
      </c>
      <c r="D105" s="4829" t="s">
        <v>2742</v>
      </c>
      <c r="E105" s="4829" t="s">
        <v>2743</v>
      </c>
      <c r="F105" s="4829" t="s">
        <v>2427</v>
      </c>
      <c r="G105" s="4829" t="s">
        <v>2744</v>
      </c>
      <c r="H105" s="4829" t="s">
        <v>22</v>
      </c>
      <c r="I105" s="4829" t="s">
        <v>803</v>
      </c>
    </row>
    <row customHeight="1" ht="11.25">
      <c r="A106" s="4829" t="s">
        <v>2375</v>
      </c>
      <c r="B106" s="4829" t="s">
        <v>16</v>
      </c>
      <c r="C106" s="4829" t="s">
        <v>2745</v>
      </c>
      <c r="D106" s="4829" t="s">
        <v>2746</v>
      </c>
      <c r="E106" s="4829" t="s">
        <v>2747</v>
      </c>
      <c r="F106" s="4829" t="s">
        <v>50</v>
      </c>
      <c r="G106" s="4829" t="s">
        <v>22</v>
      </c>
      <c r="H106" s="4829" t="s">
        <v>22</v>
      </c>
      <c r="I106" s="4829" t="s">
        <v>803</v>
      </c>
    </row>
    <row customHeight="1" ht="11.25">
      <c r="A107" s="4829" t="s">
        <v>2375</v>
      </c>
      <c r="B107" s="4829" t="s">
        <v>16</v>
      </c>
      <c r="C107" s="4829" t="s">
        <v>2748</v>
      </c>
      <c r="D107" s="4829" t="s">
        <v>2749</v>
      </c>
      <c r="E107" s="4829" t="s">
        <v>2750</v>
      </c>
      <c r="F107" s="4829" t="s">
        <v>2526</v>
      </c>
      <c r="G107" s="4829" t="s">
        <v>2751</v>
      </c>
      <c r="H107" s="4829" t="s">
        <v>22</v>
      </c>
      <c r="I107" s="4829" t="s">
        <v>803</v>
      </c>
    </row>
    <row customHeight="1" ht="11.25">
      <c r="A108" s="4829" t="s">
        <v>2375</v>
      </c>
      <c r="B108" s="4829" t="s">
        <v>16</v>
      </c>
      <c r="C108" s="4829" t="s">
        <v>2752</v>
      </c>
      <c r="D108" s="4829" t="s">
        <v>2753</v>
      </c>
      <c r="E108" s="4829" t="s">
        <v>2754</v>
      </c>
      <c r="F108" s="4829" t="s">
        <v>2737</v>
      </c>
      <c r="G108" s="4829" t="s">
        <v>2755</v>
      </c>
      <c r="H108" s="4829" t="s">
        <v>22</v>
      </c>
      <c r="I108" s="4829" t="s">
        <v>803</v>
      </c>
    </row>
    <row customHeight="1" ht="11.25">
      <c r="A109" s="4829" t="s">
        <v>2375</v>
      </c>
      <c r="B109" s="4829" t="s">
        <v>16</v>
      </c>
      <c r="C109" s="4829" t="s">
        <v>2756</v>
      </c>
      <c r="D109" s="4829" t="s">
        <v>2757</v>
      </c>
      <c r="E109" s="4829" t="s">
        <v>2758</v>
      </c>
      <c r="F109" s="4829" t="s">
        <v>2534</v>
      </c>
      <c r="G109" s="4829" t="s">
        <v>22</v>
      </c>
      <c r="H109" s="4829" t="s">
        <v>22</v>
      </c>
      <c r="I109" s="4829" t="s">
        <v>803</v>
      </c>
    </row>
    <row customHeight="1" ht="11.25">
      <c r="A110" s="4829" t="s">
        <v>2375</v>
      </c>
      <c r="B110" s="4829" t="s">
        <v>16</v>
      </c>
      <c r="C110" s="4829" t="s">
        <v>2759</v>
      </c>
      <c r="D110" s="4829" t="s">
        <v>2760</v>
      </c>
      <c r="E110" s="4829" t="s">
        <v>2761</v>
      </c>
      <c r="F110" s="4829" t="s">
        <v>2534</v>
      </c>
      <c r="G110" s="4829" t="s">
        <v>2762</v>
      </c>
      <c r="H110" s="4829" t="s">
        <v>22</v>
      </c>
      <c r="I110" s="4829" t="s">
        <v>803</v>
      </c>
    </row>
    <row customHeight="1" ht="11.25">
      <c r="A111" s="4829" t="s">
        <v>2375</v>
      </c>
      <c r="B111" s="4829" t="s">
        <v>16</v>
      </c>
      <c r="C111" s="4829" t="s">
        <v>2763</v>
      </c>
      <c r="D111" s="4829" t="s">
        <v>2764</v>
      </c>
      <c r="E111" s="4829" t="s">
        <v>2765</v>
      </c>
      <c r="F111" s="4829" t="s">
        <v>2534</v>
      </c>
      <c r="G111" s="4829" t="s">
        <v>22</v>
      </c>
      <c r="H111" s="4829" t="s">
        <v>22</v>
      </c>
      <c r="I111" s="4829" t="s">
        <v>803</v>
      </c>
    </row>
    <row customHeight="1" ht="11.25">
      <c r="A112" s="4829" t="s">
        <v>2375</v>
      </c>
      <c r="B112" s="4829" t="s">
        <v>16</v>
      </c>
      <c r="C112" s="4829" t="s">
        <v>2766</v>
      </c>
      <c r="D112" s="4829" t="s">
        <v>2767</v>
      </c>
      <c r="E112" s="4829" t="s">
        <v>2768</v>
      </c>
      <c r="F112" s="4829" t="s">
        <v>2534</v>
      </c>
      <c r="G112" s="4829" t="s">
        <v>22</v>
      </c>
      <c r="H112" s="4829" t="s">
        <v>22</v>
      </c>
      <c r="I112" s="4829" t="s">
        <v>803</v>
      </c>
    </row>
    <row customHeight="1" ht="11.25">
      <c r="A113" s="4829" t="s">
        <v>2375</v>
      </c>
      <c r="B113" s="4829" t="s">
        <v>16</v>
      </c>
      <c r="C113" s="4829" t="s">
        <v>2769</v>
      </c>
      <c r="D113" s="4829" t="s">
        <v>2770</v>
      </c>
      <c r="E113" s="4829" t="s">
        <v>2771</v>
      </c>
      <c r="F113" s="4829" t="s">
        <v>2545</v>
      </c>
      <c r="G113" s="4829" t="s">
        <v>2772</v>
      </c>
      <c r="H113" s="4829" t="s">
        <v>22</v>
      </c>
      <c r="I113" s="4829" t="s">
        <v>803</v>
      </c>
    </row>
    <row customHeight="1" ht="11.25">
      <c r="A114" s="4829" t="s">
        <v>2375</v>
      </c>
      <c r="B114" s="4829" t="s">
        <v>16</v>
      </c>
      <c r="C114" s="4829" t="s">
        <v>2773</v>
      </c>
      <c r="D114" s="4829" t="s">
        <v>2774</v>
      </c>
      <c r="E114" s="4829" t="s">
        <v>2775</v>
      </c>
      <c r="F114" s="4829" t="s">
        <v>2534</v>
      </c>
      <c r="G114" s="4829" t="s">
        <v>22</v>
      </c>
      <c r="H114" s="4829" t="s">
        <v>22</v>
      </c>
      <c r="I114" s="4829" t="s">
        <v>803</v>
      </c>
    </row>
    <row customHeight="1" ht="11.25">
      <c r="A115" s="4829" t="s">
        <v>2375</v>
      </c>
      <c r="B115" s="4829" t="s">
        <v>16</v>
      </c>
      <c r="C115" s="4829" t="s">
        <v>2776</v>
      </c>
      <c r="D115" s="4829" t="s">
        <v>2777</v>
      </c>
      <c r="E115" s="4829" t="s">
        <v>2778</v>
      </c>
      <c r="F115" s="4829" t="s">
        <v>2709</v>
      </c>
      <c r="G115" s="4829" t="s">
        <v>22</v>
      </c>
      <c r="H115" s="4829" t="s">
        <v>22</v>
      </c>
      <c r="I115" s="4829" t="s">
        <v>803</v>
      </c>
    </row>
    <row customHeight="1" ht="11.25">
      <c r="A116" s="4829" t="s">
        <v>2375</v>
      </c>
      <c r="B116" s="4829" t="s">
        <v>16</v>
      </c>
      <c r="C116" s="4829" t="s">
        <v>2779</v>
      </c>
      <c r="D116" s="4829" t="s">
        <v>2780</v>
      </c>
      <c r="E116" s="4829" t="s">
        <v>2781</v>
      </c>
      <c r="F116" s="4829" t="s">
        <v>2709</v>
      </c>
      <c r="G116" s="4829" t="s">
        <v>22</v>
      </c>
      <c r="H116" s="4829" t="s">
        <v>22</v>
      </c>
      <c r="I116" s="4829" t="s">
        <v>803</v>
      </c>
    </row>
    <row customHeight="1" ht="11.25">
      <c r="A117" s="4829" t="s">
        <v>2375</v>
      </c>
      <c r="B117" s="4829" t="s">
        <v>16</v>
      </c>
      <c r="C117" s="4829" t="s">
        <v>2782</v>
      </c>
      <c r="D117" s="4829" t="s">
        <v>2783</v>
      </c>
      <c r="E117" s="4829" t="s">
        <v>2784</v>
      </c>
      <c r="F117" s="4829" t="s">
        <v>2785</v>
      </c>
      <c r="G117" s="4829" t="s">
        <v>22</v>
      </c>
      <c r="H117" s="4829" t="s">
        <v>22</v>
      </c>
      <c r="I117" s="4829" t="s">
        <v>803</v>
      </c>
    </row>
    <row customHeight="1" ht="11.25">
      <c r="A118" s="4829" t="s">
        <v>2375</v>
      </c>
      <c r="B118" s="4829" t="s">
        <v>16</v>
      </c>
      <c r="C118" s="4829" t="s">
        <v>2786</v>
      </c>
      <c r="D118" s="4829" t="s">
        <v>2787</v>
      </c>
      <c r="E118" s="4829" t="s">
        <v>2788</v>
      </c>
      <c r="F118" s="4829" t="s">
        <v>2737</v>
      </c>
      <c r="G118" s="4829" t="s">
        <v>2789</v>
      </c>
      <c r="H118" s="4829" t="s">
        <v>22</v>
      </c>
      <c r="I118" s="4829" t="s">
        <v>803</v>
      </c>
    </row>
    <row customHeight="1" ht="11.25">
      <c r="A119" s="4829" t="s">
        <v>2375</v>
      </c>
      <c r="B119" s="4829" t="s">
        <v>16</v>
      </c>
      <c r="C119" s="4829" t="s">
        <v>2790</v>
      </c>
      <c r="D119" s="4829" t="s">
        <v>2791</v>
      </c>
      <c r="E119" s="4829" t="s">
        <v>2792</v>
      </c>
      <c r="F119" s="4829" t="s">
        <v>2458</v>
      </c>
      <c r="G119" s="4829" t="s">
        <v>22</v>
      </c>
      <c r="H119" s="4829" t="s">
        <v>22</v>
      </c>
      <c r="I119" s="4829" t="s">
        <v>803</v>
      </c>
    </row>
    <row customHeight="1" ht="11.25">
      <c r="A120" s="4829" t="s">
        <v>2375</v>
      </c>
      <c r="B120" s="4829" t="s">
        <v>16</v>
      </c>
      <c r="C120" s="4829" t="s">
        <v>2793</v>
      </c>
      <c r="D120" s="4829" t="s">
        <v>2794</v>
      </c>
      <c r="E120" s="4829" t="s">
        <v>2795</v>
      </c>
      <c r="F120" s="4829" t="s">
        <v>2534</v>
      </c>
      <c r="G120" s="4829" t="s">
        <v>22</v>
      </c>
      <c r="H120" s="4829" t="s">
        <v>22</v>
      </c>
      <c r="I120" s="4829" t="s">
        <v>803</v>
      </c>
    </row>
    <row customHeight="1" ht="11.25">
      <c r="A121" s="4829" t="s">
        <v>2375</v>
      </c>
      <c r="B121" s="4829" t="s">
        <v>16</v>
      </c>
      <c r="C121" s="4829" t="s">
        <v>2796</v>
      </c>
      <c r="D121" s="4829" t="s">
        <v>2797</v>
      </c>
      <c r="E121" s="4829" t="s">
        <v>2798</v>
      </c>
      <c r="F121" s="4829" t="s">
        <v>2534</v>
      </c>
      <c r="G121" s="4829" t="s">
        <v>2799</v>
      </c>
      <c r="H121" s="4829" t="s">
        <v>22</v>
      </c>
      <c r="I121" s="4829" t="s">
        <v>803</v>
      </c>
    </row>
    <row customHeight="1" ht="11.25">
      <c r="A122" s="4829" t="s">
        <v>2375</v>
      </c>
      <c r="B122" s="4829" t="s">
        <v>16</v>
      </c>
      <c r="C122" s="4829" t="s">
        <v>2800</v>
      </c>
      <c r="D122" s="4829" t="s">
        <v>2801</v>
      </c>
      <c r="E122" s="4829" t="s">
        <v>2802</v>
      </c>
      <c r="F122" s="4829" t="s">
        <v>2427</v>
      </c>
      <c r="G122" s="4829" t="s">
        <v>2803</v>
      </c>
      <c r="H122" s="4829" t="s">
        <v>22</v>
      </c>
      <c r="I122" s="4829" t="s">
        <v>803</v>
      </c>
    </row>
    <row customHeight="1" ht="11.25">
      <c r="A123" s="4829" t="s">
        <v>2375</v>
      </c>
      <c r="B123" s="4829" t="s">
        <v>16</v>
      </c>
      <c r="C123" s="4829" t="s">
        <v>2804</v>
      </c>
      <c r="D123" s="4829" t="s">
        <v>2805</v>
      </c>
      <c r="E123" s="4829" t="s">
        <v>2806</v>
      </c>
      <c r="F123" s="4829" t="s">
        <v>2534</v>
      </c>
      <c r="G123" s="4829" t="s">
        <v>22</v>
      </c>
      <c r="H123" s="4829" t="s">
        <v>22</v>
      </c>
      <c r="I123" s="4829" t="s">
        <v>803</v>
      </c>
    </row>
    <row customHeight="1" ht="11.25">
      <c r="A124" s="4829" t="s">
        <v>2375</v>
      </c>
      <c r="B124" s="4829" t="s">
        <v>16</v>
      </c>
      <c r="C124" s="4829" t="s">
        <v>2807</v>
      </c>
      <c r="D124" s="4829" t="s">
        <v>2808</v>
      </c>
      <c r="E124" s="4829" t="s">
        <v>2809</v>
      </c>
      <c r="F124" s="4829" t="s">
        <v>2545</v>
      </c>
      <c r="G124" s="4829" t="s">
        <v>2810</v>
      </c>
      <c r="H124" s="4829" t="s">
        <v>22</v>
      </c>
      <c r="I124" s="4829" t="s">
        <v>803</v>
      </c>
    </row>
    <row customHeight="1" ht="11.25">
      <c r="A125" s="4829" t="s">
        <v>2375</v>
      </c>
      <c r="B125" s="4829" t="s">
        <v>16</v>
      </c>
      <c r="C125" s="4829" t="s">
        <v>2811</v>
      </c>
      <c r="D125" s="4829" t="s">
        <v>2812</v>
      </c>
      <c r="E125" s="4829" t="s">
        <v>2813</v>
      </c>
      <c r="F125" s="4829" t="s">
        <v>2576</v>
      </c>
      <c r="G125" s="4829" t="s">
        <v>2814</v>
      </c>
      <c r="H125" s="4829" t="s">
        <v>22</v>
      </c>
      <c r="I125" s="4829" t="s">
        <v>803</v>
      </c>
    </row>
    <row customHeight="1" ht="11.25">
      <c r="A126" s="4829" t="s">
        <v>2375</v>
      </c>
      <c r="B126" s="4829" t="s">
        <v>16</v>
      </c>
      <c r="C126" s="4829" t="s">
        <v>2815</v>
      </c>
      <c r="D126" s="4829" t="s">
        <v>2816</v>
      </c>
      <c r="E126" s="4829" t="s">
        <v>2817</v>
      </c>
      <c r="F126" s="4829" t="s">
        <v>2818</v>
      </c>
      <c r="G126" s="4829" t="s">
        <v>2819</v>
      </c>
      <c r="H126" s="4829" t="s">
        <v>22</v>
      </c>
      <c r="I126" s="4829" t="s">
        <v>803</v>
      </c>
    </row>
    <row customHeight="1" ht="11.25">
      <c r="A127" s="4829" t="s">
        <v>2375</v>
      </c>
      <c r="B127" s="4829" t="s">
        <v>16</v>
      </c>
      <c r="C127" s="4829" t="s">
        <v>2820</v>
      </c>
      <c r="D127" s="4829" t="s">
        <v>2821</v>
      </c>
      <c r="E127" s="4829" t="s">
        <v>2822</v>
      </c>
      <c r="F127" s="4829" t="s">
        <v>2526</v>
      </c>
      <c r="G127" s="4829" t="s">
        <v>22</v>
      </c>
      <c r="H127" s="4829" t="s">
        <v>22</v>
      </c>
      <c r="I127" s="4829" t="s">
        <v>803</v>
      </c>
    </row>
    <row customHeight="1" ht="11.25">
      <c r="A128" s="4829" t="s">
        <v>2375</v>
      </c>
      <c r="B128" s="4829" t="s">
        <v>16</v>
      </c>
      <c r="C128" s="4829" t="s">
        <v>2823</v>
      </c>
      <c r="D128" s="4829" t="s">
        <v>2824</v>
      </c>
      <c r="E128" s="4829" t="s">
        <v>2825</v>
      </c>
      <c r="F128" s="4829" t="s">
        <v>2427</v>
      </c>
      <c r="G128" s="4829" t="s">
        <v>2826</v>
      </c>
      <c r="H128" s="4829" t="s">
        <v>22</v>
      </c>
      <c r="I128" s="4829" t="s">
        <v>803</v>
      </c>
    </row>
    <row customHeight="1" ht="11.25">
      <c r="A129" s="4829" t="s">
        <v>2375</v>
      </c>
      <c r="B129" s="4829" t="s">
        <v>16</v>
      </c>
      <c r="C129" s="4829" t="s">
        <v>2827</v>
      </c>
      <c r="D129" s="4829" t="s">
        <v>2828</v>
      </c>
      <c r="E129" s="4829" t="s">
        <v>2829</v>
      </c>
      <c r="F129" s="4829" t="s">
        <v>2534</v>
      </c>
      <c r="G129" s="4829" t="s">
        <v>22</v>
      </c>
      <c r="H129" s="4829" t="s">
        <v>22</v>
      </c>
      <c r="I129" s="4829" t="s">
        <v>803</v>
      </c>
    </row>
    <row customHeight="1" ht="11.25">
      <c r="A130" s="4829" t="s">
        <v>2375</v>
      </c>
      <c r="B130" s="4829" t="s">
        <v>16</v>
      </c>
      <c r="C130" s="4829" t="s">
        <v>2830</v>
      </c>
      <c r="D130" s="4829" t="s">
        <v>2831</v>
      </c>
      <c r="E130" s="4829" t="s">
        <v>2832</v>
      </c>
      <c r="F130" s="4829" t="s">
        <v>2479</v>
      </c>
      <c r="G130" s="4829" t="s">
        <v>22</v>
      </c>
      <c r="H130" s="4829" t="s">
        <v>22</v>
      </c>
      <c r="I130" s="4829" t="s">
        <v>803</v>
      </c>
    </row>
    <row customHeight="1" ht="11.25">
      <c r="A131" s="4829" t="s">
        <v>2375</v>
      </c>
      <c r="B131" s="4829" t="s">
        <v>16</v>
      </c>
      <c r="C131" s="4829" t="s">
        <v>2833</v>
      </c>
      <c r="D131" s="4829" t="s">
        <v>2834</v>
      </c>
      <c r="E131" s="4829" t="s">
        <v>2835</v>
      </c>
      <c r="F131" s="4829" t="s">
        <v>2785</v>
      </c>
      <c r="G131" s="4829" t="s">
        <v>22</v>
      </c>
      <c r="H131" s="4829" t="s">
        <v>22</v>
      </c>
      <c r="I131" s="4829" t="s">
        <v>803</v>
      </c>
    </row>
    <row customHeight="1" ht="11.25">
      <c r="A132" s="4829" t="s">
        <v>2375</v>
      </c>
      <c r="B132" s="4829" t="s">
        <v>16</v>
      </c>
      <c r="C132" s="4829" t="s">
        <v>2836</v>
      </c>
      <c r="D132" s="4829" t="s">
        <v>2837</v>
      </c>
      <c r="E132" s="4829" t="s">
        <v>2838</v>
      </c>
      <c r="F132" s="4829" t="s">
        <v>2493</v>
      </c>
      <c r="G132" s="4829" t="s">
        <v>2839</v>
      </c>
      <c r="H132" s="4829" t="s">
        <v>22</v>
      </c>
      <c r="I132" s="4829" t="s">
        <v>803</v>
      </c>
    </row>
    <row customHeight="1" ht="11.25">
      <c r="A133" s="4829" t="s">
        <v>2375</v>
      </c>
      <c r="B133" s="4829" t="s">
        <v>16</v>
      </c>
      <c r="C133" s="4829" t="s">
        <v>2840</v>
      </c>
      <c r="D133" s="4829" t="s">
        <v>2841</v>
      </c>
      <c r="E133" s="4829" t="s">
        <v>2842</v>
      </c>
      <c r="F133" s="4829" t="s">
        <v>2427</v>
      </c>
      <c r="G133" s="4829" t="s">
        <v>2843</v>
      </c>
      <c r="H133" s="4829" t="s">
        <v>22</v>
      </c>
      <c r="I133" s="4829" t="s">
        <v>803</v>
      </c>
    </row>
    <row customHeight="1" ht="11.25">
      <c r="A134" s="4829" t="s">
        <v>2375</v>
      </c>
      <c r="B134" s="4829" t="s">
        <v>16</v>
      </c>
      <c r="C134" s="4829" t="s">
        <v>2844</v>
      </c>
      <c r="D134" s="4829" t="s">
        <v>2845</v>
      </c>
      <c r="E134" s="4829" t="s">
        <v>2846</v>
      </c>
      <c r="F134" s="4829" t="s">
        <v>2709</v>
      </c>
      <c r="G134" s="4829" t="s">
        <v>2847</v>
      </c>
      <c r="H134" s="4829" t="s">
        <v>22</v>
      </c>
      <c r="I134" s="4829" t="s">
        <v>803</v>
      </c>
    </row>
    <row customHeight="1" ht="11.25">
      <c r="A135" s="4829" t="s">
        <v>2375</v>
      </c>
      <c r="B135" s="4829" t="s">
        <v>16</v>
      </c>
      <c r="C135" s="4829" t="s">
        <v>2848</v>
      </c>
      <c r="D135" s="4829" t="s">
        <v>2849</v>
      </c>
      <c r="E135" s="4829" t="s">
        <v>2850</v>
      </c>
      <c r="F135" s="4829" t="s">
        <v>2427</v>
      </c>
      <c r="G135" s="4829" t="s">
        <v>2851</v>
      </c>
      <c r="H135" s="4829" t="s">
        <v>22</v>
      </c>
      <c r="I135" s="4829" t="s">
        <v>803</v>
      </c>
    </row>
    <row customHeight="1" ht="11.25">
      <c r="A136" s="4829" t="s">
        <v>2375</v>
      </c>
      <c r="B136" s="4829" t="s">
        <v>16</v>
      </c>
      <c r="C136" s="4829" t="s">
        <v>2852</v>
      </c>
      <c r="D136" s="4829" t="s">
        <v>2853</v>
      </c>
      <c r="E136" s="4829" t="s">
        <v>2854</v>
      </c>
      <c r="F136" s="4829" t="s">
        <v>2709</v>
      </c>
      <c r="G136" s="4829" t="s">
        <v>2855</v>
      </c>
      <c r="H136" s="4829" t="s">
        <v>22</v>
      </c>
      <c r="I136" s="4829" t="s">
        <v>803</v>
      </c>
    </row>
    <row customHeight="1" ht="11.25">
      <c r="A137" s="4829" t="s">
        <v>2375</v>
      </c>
      <c r="B137" s="4829" t="s">
        <v>16</v>
      </c>
      <c r="C137" s="4829" t="s">
        <v>2856</v>
      </c>
      <c r="D137" s="4829" t="s">
        <v>2857</v>
      </c>
      <c r="E137" s="4829" t="s">
        <v>2858</v>
      </c>
      <c r="F137" s="4829" t="s">
        <v>2497</v>
      </c>
      <c r="G137" s="4829" t="s">
        <v>2859</v>
      </c>
      <c r="H137" s="4829" t="s">
        <v>22</v>
      </c>
      <c r="I137" s="4829" t="s">
        <v>803</v>
      </c>
    </row>
    <row customHeight="1" ht="11.25">
      <c r="A138" s="4829" t="s">
        <v>2375</v>
      </c>
      <c r="B138" s="4829" t="s">
        <v>16</v>
      </c>
      <c r="C138" s="4829" t="s">
        <v>2860</v>
      </c>
      <c r="D138" s="4829" t="s">
        <v>2861</v>
      </c>
      <c r="E138" s="4829" t="s">
        <v>2862</v>
      </c>
      <c r="F138" s="4829" t="s">
        <v>2737</v>
      </c>
      <c r="G138" s="4829" t="s">
        <v>22</v>
      </c>
      <c r="H138" s="4829" t="s">
        <v>22</v>
      </c>
      <c r="I138" s="4829" t="s">
        <v>803</v>
      </c>
    </row>
    <row customHeight="1" ht="11.25">
      <c r="A139" s="4829" t="s">
        <v>2375</v>
      </c>
      <c r="B139" s="4829" t="s">
        <v>16</v>
      </c>
      <c r="C139" s="4829" t="s">
        <v>2863</v>
      </c>
      <c r="D139" s="4829" t="s">
        <v>2864</v>
      </c>
      <c r="E139" s="4829" t="s">
        <v>2865</v>
      </c>
      <c r="F139" s="4829" t="s">
        <v>2737</v>
      </c>
      <c r="G139" s="4829" t="s">
        <v>22</v>
      </c>
      <c r="H139" s="4829" t="s">
        <v>22</v>
      </c>
      <c r="I139" s="4829" t="s">
        <v>803</v>
      </c>
    </row>
    <row customHeight="1" ht="11.25">
      <c r="A140" s="4829" t="s">
        <v>2375</v>
      </c>
      <c r="B140" s="4829" t="s">
        <v>16</v>
      </c>
      <c r="C140" s="4829" t="s">
        <v>2866</v>
      </c>
      <c r="D140" s="4829" t="s">
        <v>2867</v>
      </c>
      <c r="E140" s="4829" t="s">
        <v>2868</v>
      </c>
      <c r="F140" s="4829" t="s">
        <v>2458</v>
      </c>
      <c r="G140" s="4829" t="s">
        <v>2869</v>
      </c>
      <c r="H140" s="4829" t="s">
        <v>22</v>
      </c>
      <c r="I140" s="4829" t="s">
        <v>803</v>
      </c>
    </row>
    <row customHeight="1" ht="11.25">
      <c r="A141" s="4829" t="s">
        <v>2375</v>
      </c>
      <c r="B141" s="4829" t="s">
        <v>16</v>
      </c>
      <c r="C141" s="4829" t="s">
        <v>2870</v>
      </c>
      <c r="D141" s="4829" t="s">
        <v>2871</v>
      </c>
      <c r="E141" s="4829" t="s">
        <v>2872</v>
      </c>
      <c r="F141" s="4829" t="s">
        <v>2508</v>
      </c>
      <c r="G141" s="4829" t="s">
        <v>22</v>
      </c>
      <c r="H141" s="4829" t="s">
        <v>22</v>
      </c>
      <c r="I141" s="4829" t="s">
        <v>803</v>
      </c>
    </row>
    <row customHeight="1" ht="11.25">
      <c r="A142" s="4829" t="s">
        <v>2375</v>
      </c>
      <c r="B142" s="4829" t="s">
        <v>16</v>
      </c>
      <c r="C142" s="4829" t="s">
        <v>2873</v>
      </c>
      <c r="D142" s="4829" t="s">
        <v>2874</v>
      </c>
      <c r="E142" s="4829" t="s">
        <v>2875</v>
      </c>
      <c r="F142" s="4829" t="s">
        <v>2508</v>
      </c>
      <c r="G142" s="4829" t="s">
        <v>22</v>
      </c>
      <c r="H142" s="4829" t="s">
        <v>22</v>
      </c>
      <c r="I142" s="4829" t="s">
        <v>803</v>
      </c>
    </row>
    <row customHeight="1" ht="11.25">
      <c r="A143" s="4829" t="s">
        <v>2375</v>
      </c>
      <c r="B143" s="4829" t="s">
        <v>16</v>
      </c>
      <c r="C143" s="4829" t="s">
        <v>2876</v>
      </c>
      <c r="D143" s="4829" t="s">
        <v>2877</v>
      </c>
      <c r="E143" s="4829" t="s">
        <v>2878</v>
      </c>
      <c r="F143" s="4829" t="s">
        <v>2534</v>
      </c>
      <c r="G143" s="4829" t="s">
        <v>2879</v>
      </c>
      <c r="H143" s="4829" t="s">
        <v>22</v>
      </c>
      <c r="I143" s="4829" t="s">
        <v>803</v>
      </c>
    </row>
    <row customHeight="1" ht="11.25">
      <c r="A144" s="4829" t="s">
        <v>2375</v>
      </c>
      <c r="B144" s="4829" t="s">
        <v>16</v>
      </c>
      <c r="C144" s="4829" t="s">
        <v>2880</v>
      </c>
      <c r="D144" s="4829" t="s">
        <v>2881</v>
      </c>
      <c r="E144" s="4829" t="s">
        <v>2882</v>
      </c>
      <c r="F144" s="4829" t="s">
        <v>50</v>
      </c>
      <c r="G144" s="4829" t="s">
        <v>22</v>
      </c>
      <c r="H144" s="4829" t="s">
        <v>22</v>
      </c>
      <c r="I144" s="4829" t="s">
        <v>803</v>
      </c>
    </row>
    <row customHeight="1" ht="11.25">
      <c r="A145" s="4829" t="s">
        <v>2375</v>
      </c>
      <c r="B145" s="4829" t="s">
        <v>16</v>
      </c>
      <c r="C145" s="4829" t="s">
        <v>2883</v>
      </c>
      <c r="D145" s="4829" t="s">
        <v>2884</v>
      </c>
      <c r="E145" s="4829" t="s">
        <v>2885</v>
      </c>
      <c r="F145" s="4829" t="s">
        <v>2554</v>
      </c>
      <c r="G145" s="4829" t="s">
        <v>2886</v>
      </c>
      <c r="H145" s="4829" t="s">
        <v>22</v>
      </c>
      <c r="I145" s="4829" t="s">
        <v>803</v>
      </c>
    </row>
    <row customHeight="1" ht="11.25">
      <c r="A146" s="4829" t="s">
        <v>2375</v>
      </c>
      <c r="B146" s="4829" t="s">
        <v>16</v>
      </c>
      <c r="C146" s="4829" t="s">
        <v>2887</v>
      </c>
      <c r="D146" s="4829" t="s">
        <v>2888</v>
      </c>
      <c r="E146" s="4829" t="s">
        <v>2889</v>
      </c>
      <c r="F146" s="4829" t="s">
        <v>2488</v>
      </c>
      <c r="G146" s="4829" t="s">
        <v>2890</v>
      </c>
      <c r="H146" s="4829" t="s">
        <v>22</v>
      </c>
      <c r="I146" s="4829" t="s">
        <v>803</v>
      </c>
    </row>
    <row customHeight="1" ht="11.25">
      <c r="A147" s="4829" t="s">
        <v>2375</v>
      </c>
      <c r="B147" s="4829" t="s">
        <v>16</v>
      </c>
      <c r="C147" s="4829" t="s">
        <v>2891</v>
      </c>
      <c r="D147" s="4829" t="s">
        <v>2892</v>
      </c>
      <c r="E147" s="4829" t="s">
        <v>2893</v>
      </c>
      <c r="F147" s="4829" t="s">
        <v>2534</v>
      </c>
      <c r="G147" s="4829" t="s">
        <v>2716</v>
      </c>
      <c r="H147" s="4829" t="s">
        <v>22</v>
      </c>
      <c r="I147" s="4829" t="s">
        <v>803</v>
      </c>
    </row>
    <row customHeight="1" ht="11.25">
      <c r="A148" s="4829" t="s">
        <v>2375</v>
      </c>
      <c r="B148" s="4829" t="s">
        <v>16</v>
      </c>
      <c r="C148" s="4829" t="s">
        <v>2894</v>
      </c>
      <c r="D148" s="4829" t="s">
        <v>2895</v>
      </c>
      <c r="E148" s="4829" t="s">
        <v>2896</v>
      </c>
      <c r="F148" s="4829" t="s">
        <v>2737</v>
      </c>
      <c r="G148" s="4829" t="s">
        <v>22</v>
      </c>
      <c r="H148" s="4829" t="s">
        <v>22</v>
      </c>
      <c r="I148" s="4829" t="s">
        <v>803</v>
      </c>
    </row>
    <row customHeight="1" ht="11.25">
      <c r="A149" s="4829" t="s">
        <v>2375</v>
      </c>
      <c r="B149" s="4829" t="s">
        <v>16</v>
      </c>
      <c r="C149" s="4829" t="s">
        <v>2897</v>
      </c>
      <c r="D149" s="4829" t="s">
        <v>2898</v>
      </c>
      <c r="E149" s="4829" t="s">
        <v>2899</v>
      </c>
      <c r="F149" s="4829" t="s">
        <v>2484</v>
      </c>
      <c r="G149" s="4829" t="s">
        <v>22</v>
      </c>
      <c r="H149" s="4829" t="s">
        <v>22</v>
      </c>
      <c r="I149" s="4829" t="s">
        <v>803</v>
      </c>
    </row>
    <row customHeight="1" ht="11.25">
      <c r="A150" s="4829" t="s">
        <v>2375</v>
      </c>
      <c r="B150" s="4829" t="s">
        <v>16</v>
      </c>
      <c r="C150" s="4829" t="s">
        <v>2900</v>
      </c>
      <c r="D150" s="4829" t="s">
        <v>2901</v>
      </c>
      <c r="E150" s="4829" t="s">
        <v>2902</v>
      </c>
      <c r="F150" s="4829" t="s">
        <v>2667</v>
      </c>
      <c r="G150" s="4829" t="s">
        <v>2903</v>
      </c>
      <c r="H150" s="4829" t="s">
        <v>22</v>
      </c>
      <c r="I150" s="4829" t="s">
        <v>803</v>
      </c>
    </row>
    <row customHeight="1" ht="11.25">
      <c r="A151" s="4829" t="s">
        <v>2375</v>
      </c>
      <c r="B151" s="4829" t="s">
        <v>16</v>
      </c>
      <c r="C151" s="4829" t="s">
        <v>2904</v>
      </c>
      <c r="D151" s="4829" t="s">
        <v>2905</v>
      </c>
      <c r="E151" s="4829" t="s">
        <v>2906</v>
      </c>
      <c r="F151" s="4829" t="s">
        <v>2497</v>
      </c>
      <c r="G151" s="4829" t="s">
        <v>2447</v>
      </c>
      <c r="H151" s="4829" t="s">
        <v>22</v>
      </c>
      <c r="I151" s="4829" t="s">
        <v>803</v>
      </c>
    </row>
    <row customHeight="1" ht="11.25">
      <c r="A152" s="4829" t="s">
        <v>2375</v>
      </c>
      <c r="B152" s="4829" t="s">
        <v>16</v>
      </c>
      <c r="C152" s="4829" t="s">
        <v>2907</v>
      </c>
      <c r="D152" s="4829" t="s">
        <v>2908</v>
      </c>
      <c r="E152" s="4829" t="s">
        <v>2909</v>
      </c>
      <c r="F152" s="4829" t="s">
        <v>2737</v>
      </c>
      <c r="G152" s="4829" t="s">
        <v>22</v>
      </c>
      <c r="H152" s="4829" t="s">
        <v>22</v>
      </c>
      <c r="I152" s="4829" t="s">
        <v>803</v>
      </c>
    </row>
    <row customHeight="1" ht="11.25">
      <c r="A153" s="4829" t="s">
        <v>2375</v>
      </c>
      <c r="B153" s="4829" t="s">
        <v>16</v>
      </c>
      <c r="C153" s="4829" t="s">
        <v>2910</v>
      </c>
      <c r="D153" s="4829" t="s">
        <v>2911</v>
      </c>
      <c r="E153" s="4829" t="s">
        <v>2912</v>
      </c>
      <c r="F153" s="4829" t="s">
        <v>50</v>
      </c>
      <c r="G153" s="4829" t="s">
        <v>2630</v>
      </c>
      <c r="H153" s="4829" t="s">
        <v>22</v>
      </c>
      <c r="I153" s="4829" t="s">
        <v>803</v>
      </c>
    </row>
    <row customHeight="1" ht="11.25">
      <c r="A154" s="4829" t="s">
        <v>2375</v>
      </c>
      <c r="B154" s="4829" t="s">
        <v>16</v>
      </c>
      <c r="C154" s="4829" t="s">
        <v>2913</v>
      </c>
      <c r="D154" s="4829" t="s">
        <v>2914</v>
      </c>
      <c r="E154" s="4829" t="s">
        <v>2915</v>
      </c>
      <c r="F154" s="4829" t="s">
        <v>50</v>
      </c>
      <c r="G154" s="4829" t="s">
        <v>2916</v>
      </c>
      <c r="H154" s="4829" t="s">
        <v>22</v>
      </c>
      <c r="I154" s="4829" t="s">
        <v>803</v>
      </c>
    </row>
    <row customHeight="1" ht="11.25">
      <c r="A155" s="4829" t="s">
        <v>2375</v>
      </c>
      <c r="B155" s="4829" t="s">
        <v>16</v>
      </c>
      <c r="C155" s="4829" t="s">
        <v>2917</v>
      </c>
      <c r="D155" s="4829" t="s">
        <v>2918</v>
      </c>
      <c r="E155" s="4829" t="s">
        <v>2919</v>
      </c>
      <c r="F155" s="4829" t="s">
        <v>2785</v>
      </c>
      <c r="G155" s="4829" t="s">
        <v>2920</v>
      </c>
      <c r="H155" s="4829" t="s">
        <v>22</v>
      </c>
      <c r="I155" s="4829" t="s">
        <v>803</v>
      </c>
    </row>
    <row customHeight="1" ht="11.25">
      <c r="A156" s="4829" t="s">
        <v>2375</v>
      </c>
      <c r="B156" s="4829" t="s">
        <v>16</v>
      </c>
      <c r="C156" s="4829" t="s">
        <v>2921</v>
      </c>
      <c r="D156" s="4829" t="s">
        <v>2922</v>
      </c>
      <c r="E156" s="4829" t="s">
        <v>2923</v>
      </c>
      <c r="F156" s="4829" t="s">
        <v>2526</v>
      </c>
      <c r="G156" s="4829" t="s">
        <v>22</v>
      </c>
      <c r="H156" s="4829" t="s">
        <v>22</v>
      </c>
      <c r="I156" s="4829" t="s">
        <v>803</v>
      </c>
    </row>
    <row customHeight="1" ht="11.25">
      <c r="A157" s="4829" t="s">
        <v>2375</v>
      </c>
      <c r="B157" s="4829" t="s">
        <v>16</v>
      </c>
      <c r="C157" s="4829" t="s">
        <v>2924</v>
      </c>
      <c r="D157" s="4829" t="s">
        <v>2925</v>
      </c>
      <c r="E157" s="4829" t="s">
        <v>2926</v>
      </c>
      <c r="F157" s="4829" t="s">
        <v>2927</v>
      </c>
      <c r="G157" s="4829" t="s">
        <v>2928</v>
      </c>
      <c r="H157" s="4829" t="s">
        <v>22</v>
      </c>
      <c r="I157" s="4829" t="s">
        <v>803</v>
      </c>
    </row>
    <row customHeight="1" ht="11.25">
      <c r="A158" s="4829" t="s">
        <v>2375</v>
      </c>
      <c r="B158" s="4829" t="s">
        <v>16</v>
      </c>
      <c r="C158" s="4829" t="s">
        <v>2929</v>
      </c>
      <c r="D158" s="4829" t="s">
        <v>2930</v>
      </c>
      <c r="E158" s="4829" t="s">
        <v>2931</v>
      </c>
      <c r="F158" s="4829" t="s">
        <v>2576</v>
      </c>
      <c r="G158" s="4829" t="s">
        <v>22</v>
      </c>
      <c r="H158" s="4829" t="s">
        <v>22</v>
      </c>
      <c r="I158" s="4829" t="s">
        <v>803</v>
      </c>
    </row>
    <row customHeight="1" ht="11.25">
      <c r="A159" s="4829" t="s">
        <v>2375</v>
      </c>
      <c r="B159" s="4829" t="s">
        <v>16</v>
      </c>
      <c r="C159" s="4829" t="s">
        <v>2932</v>
      </c>
      <c r="D159" s="4829" t="s">
        <v>2933</v>
      </c>
      <c r="E159" s="4829" t="s">
        <v>2934</v>
      </c>
      <c r="F159" s="4829" t="s">
        <v>2526</v>
      </c>
      <c r="G159" s="4829" t="s">
        <v>22</v>
      </c>
      <c r="H159" s="4829" t="s">
        <v>22</v>
      </c>
      <c r="I159" s="4829" t="s">
        <v>803</v>
      </c>
    </row>
    <row customHeight="1" ht="11.25">
      <c r="A160" s="4829" t="s">
        <v>2375</v>
      </c>
      <c r="B160" s="4829" t="s">
        <v>16</v>
      </c>
      <c r="C160" s="4829" t="s">
        <v>2935</v>
      </c>
      <c r="D160" s="4829" t="s">
        <v>2936</v>
      </c>
      <c r="E160" s="4829" t="s">
        <v>2937</v>
      </c>
      <c r="F160" s="4829" t="s">
        <v>50</v>
      </c>
      <c r="G160" s="4829" t="s">
        <v>22</v>
      </c>
      <c r="H160" s="4829" t="s">
        <v>22</v>
      </c>
      <c r="I160" s="4829" t="s">
        <v>803</v>
      </c>
    </row>
    <row customHeight="1" ht="11.25">
      <c r="A161" s="4829" t="s">
        <v>2375</v>
      </c>
      <c r="B161" s="4829" t="s">
        <v>16</v>
      </c>
      <c r="C161" s="4829" t="s">
        <v>2938</v>
      </c>
      <c r="D161" s="4829" t="s">
        <v>2939</v>
      </c>
      <c r="E161" s="4829" t="s">
        <v>2940</v>
      </c>
      <c r="F161" s="4829" t="s">
        <v>2440</v>
      </c>
      <c r="G161" s="4829" t="s">
        <v>2941</v>
      </c>
      <c r="H161" s="4829" t="s">
        <v>22</v>
      </c>
      <c r="I161" s="4829" t="s">
        <v>803</v>
      </c>
    </row>
    <row customHeight="1" ht="11.25">
      <c r="A162" s="4829" t="s">
        <v>2375</v>
      </c>
      <c r="B162" s="4829" t="s">
        <v>16</v>
      </c>
      <c r="C162" s="4829" t="s">
        <v>2942</v>
      </c>
      <c r="D162" s="4829" t="s">
        <v>2943</v>
      </c>
      <c r="E162" s="4829" t="s">
        <v>2944</v>
      </c>
      <c r="F162" s="4829" t="s">
        <v>50</v>
      </c>
      <c r="G162" s="4829" t="s">
        <v>22</v>
      </c>
      <c r="H162" s="4829" t="s">
        <v>22</v>
      </c>
      <c r="I162" s="4829" t="s">
        <v>803</v>
      </c>
    </row>
    <row customHeight="1" ht="11.25">
      <c r="A163" s="4829" t="s">
        <v>2375</v>
      </c>
      <c r="B163" s="4829" t="s">
        <v>16</v>
      </c>
      <c r="C163" s="4829" t="s">
        <v>2945</v>
      </c>
      <c r="D163" s="4829" t="s">
        <v>2946</v>
      </c>
      <c r="E163" s="4829" t="s">
        <v>2947</v>
      </c>
      <c r="F163" s="4829" t="s">
        <v>2948</v>
      </c>
      <c r="G163" s="4829" t="s">
        <v>22</v>
      </c>
      <c r="H163" s="4829" t="s">
        <v>22</v>
      </c>
      <c r="I163" s="4829" t="s">
        <v>803</v>
      </c>
    </row>
    <row customHeight="1" ht="11.25">
      <c r="A164" s="4829" t="s">
        <v>2375</v>
      </c>
      <c r="B164" s="4829" t="s">
        <v>16</v>
      </c>
      <c r="C164" s="4829" t="s">
        <v>2949</v>
      </c>
      <c r="D164" s="4829" t="s">
        <v>2950</v>
      </c>
      <c r="E164" s="4829" t="s">
        <v>2951</v>
      </c>
      <c r="F164" s="4829" t="s">
        <v>2479</v>
      </c>
      <c r="G164" s="4829" t="s">
        <v>22</v>
      </c>
      <c r="H164" s="4829" t="s">
        <v>22</v>
      </c>
      <c r="I164" s="4829" t="s">
        <v>803</v>
      </c>
    </row>
    <row customHeight="1" ht="11.25">
      <c r="A165" s="4829" t="s">
        <v>2375</v>
      </c>
      <c r="B165" s="4829" t="s">
        <v>16</v>
      </c>
      <c r="C165" s="4829" t="s">
        <v>2952</v>
      </c>
      <c r="D165" s="4829" t="s">
        <v>2953</v>
      </c>
      <c r="E165" s="4829" t="s">
        <v>2954</v>
      </c>
      <c r="F165" s="4829" t="s">
        <v>2955</v>
      </c>
      <c r="G165" s="4829" t="s">
        <v>22</v>
      </c>
      <c r="H165" s="4829" t="s">
        <v>22</v>
      </c>
      <c r="I165" s="4829" t="s">
        <v>803</v>
      </c>
    </row>
    <row customHeight="1" ht="11.25">
      <c r="A166" s="4829" t="s">
        <v>2375</v>
      </c>
      <c r="B166" s="4829" t="s">
        <v>16</v>
      </c>
      <c r="C166" s="4829" t="s">
        <v>2956</v>
      </c>
      <c r="D166" s="4829" t="s">
        <v>2957</v>
      </c>
      <c r="E166" s="4829" t="s">
        <v>2958</v>
      </c>
      <c r="F166" s="4829" t="s">
        <v>2959</v>
      </c>
      <c r="G166" s="4829" t="s">
        <v>2960</v>
      </c>
      <c r="H166" s="4829" t="s">
        <v>22</v>
      </c>
      <c r="I166" s="4829" t="s">
        <v>803</v>
      </c>
    </row>
    <row customHeight="1" ht="11.25">
      <c r="A167" s="4829" t="s">
        <v>2375</v>
      </c>
      <c r="B167" s="4829" t="s">
        <v>16</v>
      </c>
      <c r="C167" s="4829" t="s">
        <v>2961</v>
      </c>
      <c r="D167" s="4829" t="s">
        <v>2962</v>
      </c>
      <c r="E167" s="4829" t="s">
        <v>2461</v>
      </c>
      <c r="F167" s="4829" t="s">
        <v>2963</v>
      </c>
      <c r="G167" s="4829" t="s">
        <v>2964</v>
      </c>
      <c r="H167" s="4829" t="s">
        <v>22</v>
      </c>
      <c r="I167" s="4829" t="s">
        <v>803</v>
      </c>
    </row>
    <row customHeight="1" ht="11.25">
      <c r="A168" s="4829" t="s">
        <v>2375</v>
      </c>
      <c r="B168" s="4829" t="s">
        <v>16</v>
      </c>
      <c r="C168" s="4829" t="s">
        <v>2965</v>
      </c>
      <c r="D168" s="4829" t="s">
        <v>2966</v>
      </c>
      <c r="E168" s="4829" t="s">
        <v>2967</v>
      </c>
      <c r="F168" s="4829" t="s">
        <v>2534</v>
      </c>
      <c r="G168" s="4829" t="s">
        <v>22</v>
      </c>
      <c r="H168" s="4829" t="s">
        <v>22</v>
      </c>
      <c r="I168" s="4829" t="s">
        <v>803</v>
      </c>
    </row>
    <row customHeight="1" ht="11.25">
      <c r="A169" s="4829" t="s">
        <v>2375</v>
      </c>
      <c r="B169" s="4829" t="s">
        <v>16</v>
      </c>
      <c r="C169" s="4829" t="s">
        <v>2376</v>
      </c>
      <c r="D169" s="4829" t="s">
        <v>2377</v>
      </c>
      <c r="E169" s="4829" t="s">
        <v>2378</v>
      </c>
      <c r="F169" s="4829" t="s">
        <v>2379</v>
      </c>
      <c r="G169" s="4829" t="s">
        <v>2380</v>
      </c>
      <c r="H169" s="4829" t="s">
        <v>22</v>
      </c>
      <c r="I169" s="4829" t="s">
        <v>889</v>
      </c>
    </row>
    <row customHeight="1" ht="11.25">
      <c r="A170" s="4829" t="s">
        <v>2375</v>
      </c>
      <c r="B170" s="4829" t="s">
        <v>16</v>
      </c>
      <c r="C170" s="4829" t="s">
        <v>13</v>
      </c>
      <c r="D170" s="4829" t="s">
        <v>45</v>
      </c>
      <c r="E170" s="4829" t="s">
        <v>48</v>
      </c>
      <c r="F170" s="4829" t="s">
        <v>50</v>
      </c>
      <c r="G170" s="4829" t="s">
        <v>2385</v>
      </c>
      <c r="H170" s="4829" t="s">
        <v>22</v>
      </c>
      <c r="I170" s="4829" t="s">
        <v>889</v>
      </c>
    </row>
    <row customHeight="1" ht="11.25">
      <c r="A171" s="4829" t="s">
        <v>2375</v>
      </c>
      <c r="B171" s="4829" t="s">
        <v>16</v>
      </c>
      <c r="C171" s="4829" t="s">
        <v>2388</v>
      </c>
      <c r="D171" s="4829" t="s">
        <v>2389</v>
      </c>
      <c r="E171" s="4829" t="s">
        <v>48</v>
      </c>
      <c r="F171" s="4829" t="s">
        <v>2390</v>
      </c>
      <c r="G171" s="4829" t="s">
        <v>22</v>
      </c>
      <c r="H171" s="4829" t="s">
        <v>22</v>
      </c>
      <c r="I171" s="4829" t="s">
        <v>889</v>
      </c>
    </row>
    <row customHeight="1" ht="11.25">
      <c r="A172" s="4829" t="s">
        <v>2375</v>
      </c>
      <c r="B172" s="4829" t="s">
        <v>16</v>
      </c>
      <c r="C172" s="4829" t="s">
        <v>2424</v>
      </c>
      <c r="D172" s="4829" t="s">
        <v>2425</v>
      </c>
      <c r="E172" s="4829" t="s">
        <v>2426</v>
      </c>
      <c r="F172" s="4829" t="s">
        <v>2427</v>
      </c>
      <c r="G172" s="4829" t="s">
        <v>2428</v>
      </c>
      <c r="H172" s="4829" t="s">
        <v>22</v>
      </c>
      <c r="I172" s="4829" t="s">
        <v>889</v>
      </c>
    </row>
    <row customHeight="1" ht="11.25">
      <c r="A173" s="4829" t="s">
        <v>2375</v>
      </c>
      <c r="B173" s="4829" t="s">
        <v>16</v>
      </c>
      <c r="C173" s="4829" t="s">
        <v>2429</v>
      </c>
      <c r="D173" s="4829" t="s">
        <v>2430</v>
      </c>
      <c r="E173" s="4829" t="s">
        <v>2431</v>
      </c>
      <c r="F173" s="4829" t="s">
        <v>2427</v>
      </c>
      <c r="G173" s="4829" t="s">
        <v>2432</v>
      </c>
      <c r="H173" s="4829" t="s">
        <v>22</v>
      </c>
      <c r="I173" s="4829" t="s">
        <v>889</v>
      </c>
    </row>
    <row customHeight="1" ht="11.25">
      <c r="A174" s="4829" t="s">
        <v>2375</v>
      </c>
      <c r="B174" s="4829" t="s">
        <v>16</v>
      </c>
      <c r="C174" s="4829" t="s">
        <v>2437</v>
      </c>
      <c r="D174" s="4829" t="s">
        <v>2438</v>
      </c>
      <c r="E174" s="4829" t="s">
        <v>2439</v>
      </c>
      <c r="F174" s="4829" t="s">
        <v>2440</v>
      </c>
      <c r="G174" s="4829" t="s">
        <v>22</v>
      </c>
      <c r="H174" s="4829" t="s">
        <v>22</v>
      </c>
      <c r="I174" s="4829" t="s">
        <v>889</v>
      </c>
    </row>
    <row customHeight="1" ht="11.25">
      <c r="A175" s="4829" t="s">
        <v>2375</v>
      </c>
      <c r="B175" s="4829" t="s">
        <v>16</v>
      </c>
      <c r="C175" s="4829" t="s">
        <v>2444</v>
      </c>
      <c r="D175" s="4829" t="s">
        <v>2445</v>
      </c>
      <c r="E175" s="4829" t="s">
        <v>2446</v>
      </c>
      <c r="F175" s="4829" t="s">
        <v>50</v>
      </c>
      <c r="G175" s="4829" t="s">
        <v>2447</v>
      </c>
      <c r="H175" s="4829" t="s">
        <v>22</v>
      </c>
      <c r="I175" s="4829" t="s">
        <v>889</v>
      </c>
    </row>
    <row customHeight="1" ht="11.25">
      <c r="A176" s="4829" t="s">
        <v>2375</v>
      </c>
      <c r="B176" s="4829" t="s">
        <v>16</v>
      </c>
      <c r="C176" s="4829" t="s">
        <v>2448</v>
      </c>
      <c r="D176" s="4829" t="s">
        <v>2449</v>
      </c>
      <c r="E176" s="4829" t="s">
        <v>2439</v>
      </c>
      <c r="F176" s="4829" t="s">
        <v>2450</v>
      </c>
      <c r="G176" s="4829" t="s">
        <v>22</v>
      </c>
      <c r="H176" s="4829" t="s">
        <v>22</v>
      </c>
      <c r="I176" s="4829" t="s">
        <v>889</v>
      </c>
    </row>
    <row customHeight="1" ht="11.25">
      <c r="A177" s="4829" t="s">
        <v>2375</v>
      </c>
      <c r="B177" s="4829" t="s">
        <v>16</v>
      </c>
      <c r="C177" s="4829" t="s">
        <v>2451</v>
      </c>
      <c r="D177" s="4829" t="s">
        <v>2452</v>
      </c>
      <c r="E177" s="4829" t="s">
        <v>2453</v>
      </c>
      <c r="F177" s="4829" t="s">
        <v>2454</v>
      </c>
      <c r="G177" s="4829" t="s">
        <v>22</v>
      </c>
      <c r="H177" s="4829" t="s">
        <v>22</v>
      </c>
      <c r="I177" s="4829" t="s">
        <v>889</v>
      </c>
    </row>
    <row customHeight="1" ht="11.25">
      <c r="A178" s="4829" t="s">
        <v>2375</v>
      </c>
      <c r="B178" s="4829" t="s">
        <v>16</v>
      </c>
      <c r="C178" s="4829" t="s">
        <v>2459</v>
      </c>
      <c r="D178" s="4829" t="s">
        <v>2460</v>
      </c>
      <c r="E178" s="4829" t="s">
        <v>2461</v>
      </c>
      <c r="F178" s="4829" t="s">
        <v>2462</v>
      </c>
      <c r="G178" s="4829" t="s">
        <v>22</v>
      </c>
      <c r="H178" s="4829" t="s">
        <v>22</v>
      </c>
      <c r="I178" s="4829" t="s">
        <v>889</v>
      </c>
    </row>
    <row customHeight="1" ht="11.25">
      <c r="A179" s="4829" t="s">
        <v>2375</v>
      </c>
      <c r="B179" s="4829" t="s">
        <v>16</v>
      </c>
      <c r="C179" s="4829" t="s">
        <v>2467</v>
      </c>
      <c r="D179" s="4829" t="s">
        <v>2468</v>
      </c>
      <c r="E179" s="4829" t="s">
        <v>2461</v>
      </c>
      <c r="F179" s="4829" t="s">
        <v>2469</v>
      </c>
      <c r="G179" s="4829" t="s">
        <v>22</v>
      </c>
      <c r="H179" s="4829" t="s">
        <v>22</v>
      </c>
      <c r="I179" s="4829" t="s">
        <v>889</v>
      </c>
    </row>
    <row customHeight="1" ht="11.25">
      <c r="A180" s="4829" t="s">
        <v>2375</v>
      </c>
      <c r="B180" s="4829" t="s">
        <v>16</v>
      </c>
      <c r="C180" s="4829" t="s">
        <v>2470</v>
      </c>
      <c r="D180" s="4829" t="s">
        <v>2471</v>
      </c>
      <c r="E180" s="4829" t="s">
        <v>2472</v>
      </c>
      <c r="F180" s="4829" t="s">
        <v>50</v>
      </c>
      <c r="G180" s="4829" t="s">
        <v>2473</v>
      </c>
      <c r="H180" s="4829" t="s">
        <v>22</v>
      </c>
      <c r="I180" s="4829" t="s">
        <v>889</v>
      </c>
    </row>
    <row customHeight="1" ht="11.25">
      <c r="A181" s="4829" t="s">
        <v>2375</v>
      </c>
      <c r="B181" s="4829" t="s">
        <v>16</v>
      </c>
      <c r="C181" s="4829" t="s">
        <v>22</v>
      </c>
      <c r="D181" s="4829" t="s">
        <v>2474</v>
      </c>
      <c r="E181" s="4829" t="s">
        <v>2475</v>
      </c>
      <c r="F181" s="4829" t="s">
        <v>50</v>
      </c>
      <c r="G181" s="4829" t="s">
        <v>22</v>
      </c>
      <c r="H181" s="4829" t="s">
        <v>22</v>
      </c>
      <c r="I181" s="4829" t="s">
        <v>889</v>
      </c>
    </row>
    <row customHeight="1" ht="11.25">
      <c r="A182" s="4829" t="s">
        <v>2375</v>
      </c>
      <c r="B182" s="4829" t="s">
        <v>16</v>
      </c>
      <c r="C182" s="4829" t="s">
        <v>2494</v>
      </c>
      <c r="D182" s="4829" t="s">
        <v>2495</v>
      </c>
      <c r="E182" s="4829" t="s">
        <v>2496</v>
      </c>
      <c r="F182" s="4829" t="s">
        <v>2497</v>
      </c>
      <c r="G182" s="4829" t="s">
        <v>2498</v>
      </c>
      <c r="H182" s="4829" t="s">
        <v>22</v>
      </c>
      <c r="I182" s="4829" t="s">
        <v>889</v>
      </c>
    </row>
    <row customHeight="1" ht="11.25">
      <c r="A183" s="4829" t="s">
        <v>2375</v>
      </c>
      <c r="B183" s="4829" t="s">
        <v>16</v>
      </c>
      <c r="C183" s="4829" t="s">
        <v>2499</v>
      </c>
      <c r="D183" s="4829" t="s">
        <v>2500</v>
      </c>
      <c r="E183" s="4829" t="s">
        <v>2501</v>
      </c>
      <c r="F183" s="4829" t="s">
        <v>2436</v>
      </c>
      <c r="G183" s="4829" t="s">
        <v>22</v>
      </c>
      <c r="H183" s="4829" t="s">
        <v>22</v>
      </c>
      <c r="I183" s="4829" t="s">
        <v>889</v>
      </c>
    </row>
    <row customHeight="1" ht="11.25">
      <c r="A184" s="4829" t="s">
        <v>2375</v>
      </c>
      <c r="B184" s="4829" t="s">
        <v>16</v>
      </c>
      <c r="C184" s="4829" t="s">
        <v>2509</v>
      </c>
      <c r="D184" s="4829" t="s">
        <v>2510</v>
      </c>
      <c r="E184" s="4829" t="s">
        <v>2511</v>
      </c>
      <c r="F184" s="4829" t="s">
        <v>2454</v>
      </c>
      <c r="G184" s="4829" t="s">
        <v>2512</v>
      </c>
      <c r="H184" s="4829" t="s">
        <v>22</v>
      </c>
      <c r="I184" s="4829" t="s">
        <v>889</v>
      </c>
    </row>
    <row customHeight="1" ht="11.25">
      <c r="A185" s="4829" t="s">
        <v>2375</v>
      </c>
      <c r="B185" s="4829" t="s">
        <v>16</v>
      </c>
      <c r="C185" s="4829" t="s">
        <v>2531</v>
      </c>
      <c r="D185" s="4829" t="s">
        <v>2532</v>
      </c>
      <c r="E185" s="4829" t="s">
        <v>2533</v>
      </c>
      <c r="F185" s="4829" t="s">
        <v>2534</v>
      </c>
      <c r="G185" s="4829" t="s">
        <v>22</v>
      </c>
      <c r="H185" s="4829" t="s">
        <v>22</v>
      </c>
      <c r="I185" s="4829" t="s">
        <v>889</v>
      </c>
    </row>
    <row customHeight="1" ht="11.25">
      <c r="A186" s="4829" t="s">
        <v>2375</v>
      </c>
      <c r="B186" s="4829" t="s">
        <v>16</v>
      </c>
      <c r="C186" s="4829" t="s">
        <v>2542</v>
      </c>
      <c r="D186" s="4829" t="s">
        <v>2543</v>
      </c>
      <c r="E186" s="4829" t="s">
        <v>2544</v>
      </c>
      <c r="F186" s="4829" t="s">
        <v>2545</v>
      </c>
      <c r="G186" s="4829" t="s">
        <v>2546</v>
      </c>
      <c r="H186" s="4829" t="s">
        <v>22</v>
      </c>
      <c r="I186" s="4829" t="s">
        <v>889</v>
      </c>
    </row>
    <row customHeight="1" ht="11.25">
      <c r="A187" s="4829" t="s">
        <v>2375</v>
      </c>
      <c r="B187" s="4829" t="s">
        <v>16</v>
      </c>
      <c r="C187" s="4829" t="s">
        <v>2547</v>
      </c>
      <c r="D187" s="4829" t="s">
        <v>2548</v>
      </c>
      <c r="E187" s="4829" t="s">
        <v>2549</v>
      </c>
      <c r="F187" s="4829" t="s">
        <v>2545</v>
      </c>
      <c r="G187" s="4829" t="s">
        <v>2550</v>
      </c>
      <c r="H187" s="4829" t="s">
        <v>22</v>
      </c>
      <c r="I187" s="4829" t="s">
        <v>889</v>
      </c>
    </row>
    <row customHeight="1" ht="11.25">
      <c r="A188" s="4829" t="s">
        <v>2375</v>
      </c>
      <c r="B188" s="4829" t="s">
        <v>16</v>
      </c>
      <c r="C188" s="4829" t="s">
        <v>2555</v>
      </c>
      <c r="D188" s="4829" t="s">
        <v>2556</v>
      </c>
      <c r="E188" s="4829" t="s">
        <v>2557</v>
      </c>
      <c r="F188" s="4829" t="s">
        <v>2545</v>
      </c>
      <c r="G188" s="4829" t="s">
        <v>2558</v>
      </c>
      <c r="H188" s="4829" t="s">
        <v>22</v>
      </c>
      <c r="I188" s="4829" t="s">
        <v>889</v>
      </c>
    </row>
    <row customHeight="1" ht="11.25">
      <c r="A189" s="4829" t="s">
        <v>2375</v>
      </c>
      <c r="B189" s="4829" t="s">
        <v>16</v>
      </c>
      <c r="C189" s="4829" t="s">
        <v>2559</v>
      </c>
      <c r="D189" s="4829" t="s">
        <v>2560</v>
      </c>
      <c r="E189" s="4829" t="s">
        <v>2561</v>
      </c>
      <c r="F189" s="4829" t="s">
        <v>2545</v>
      </c>
      <c r="G189" s="4829" t="s">
        <v>2562</v>
      </c>
      <c r="H189" s="4829" t="s">
        <v>22</v>
      </c>
      <c r="I189" s="4829" t="s">
        <v>889</v>
      </c>
    </row>
    <row customHeight="1" ht="11.25">
      <c r="A190" s="4829" t="s">
        <v>2375</v>
      </c>
      <c r="B190" s="4829" t="s">
        <v>16</v>
      </c>
      <c r="C190" s="4829" t="s">
        <v>2563</v>
      </c>
      <c r="D190" s="4829" t="s">
        <v>2564</v>
      </c>
      <c r="E190" s="4829" t="s">
        <v>2565</v>
      </c>
      <c r="F190" s="4829" t="s">
        <v>2534</v>
      </c>
      <c r="G190" s="4829" t="s">
        <v>2566</v>
      </c>
      <c r="H190" s="4829" t="s">
        <v>22</v>
      </c>
      <c r="I190" s="4829" t="s">
        <v>889</v>
      </c>
    </row>
    <row customHeight="1" ht="11.25">
      <c r="A191" s="4829" t="s">
        <v>2375</v>
      </c>
      <c r="B191" s="4829" t="s">
        <v>16</v>
      </c>
      <c r="C191" s="4829" t="s">
        <v>2567</v>
      </c>
      <c r="D191" s="4829" t="s">
        <v>2568</v>
      </c>
      <c r="E191" s="4829" t="s">
        <v>2569</v>
      </c>
      <c r="F191" s="4829" t="s">
        <v>2534</v>
      </c>
      <c r="G191" s="4829" t="s">
        <v>22</v>
      </c>
      <c r="H191" s="4829" t="s">
        <v>22</v>
      </c>
      <c r="I191" s="4829" t="s">
        <v>889</v>
      </c>
    </row>
    <row customHeight="1" ht="11.25">
      <c r="A192" s="4829" t="s">
        <v>2375</v>
      </c>
      <c r="B192" s="4829" t="s">
        <v>16</v>
      </c>
      <c r="C192" s="4829" t="s">
        <v>2577</v>
      </c>
      <c r="D192" s="4829" t="s">
        <v>2578</v>
      </c>
      <c r="E192" s="4829" t="s">
        <v>2579</v>
      </c>
      <c r="F192" s="4829" t="s">
        <v>2497</v>
      </c>
      <c r="G192" s="4829" t="s">
        <v>2580</v>
      </c>
      <c r="H192" s="4829" t="s">
        <v>22</v>
      </c>
      <c r="I192" s="4829" t="s">
        <v>889</v>
      </c>
    </row>
    <row customHeight="1" ht="11.25">
      <c r="A193" s="4829" t="s">
        <v>2375</v>
      </c>
      <c r="B193" s="4829" t="s">
        <v>16</v>
      </c>
      <c r="C193" s="4829" t="s">
        <v>2591</v>
      </c>
      <c r="D193" s="4829" t="s">
        <v>2592</v>
      </c>
      <c r="E193" s="4829" t="s">
        <v>2593</v>
      </c>
      <c r="F193" s="4829" t="s">
        <v>2576</v>
      </c>
      <c r="G193" s="4829" t="s">
        <v>22</v>
      </c>
      <c r="H193" s="4829" t="s">
        <v>22</v>
      </c>
      <c r="I193" s="4829" t="s">
        <v>889</v>
      </c>
    </row>
    <row customHeight="1" ht="11.25">
      <c r="A194" s="4829" t="s">
        <v>2375</v>
      </c>
      <c r="B194" s="4829" t="s">
        <v>16</v>
      </c>
      <c r="C194" s="4829" t="s">
        <v>2594</v>
      </c>
      <c r="D194" s="4829" t="s">
        <v>2595</v>
      </c>
      <c r="E194" s="4829" t="s">
        <v>2596</v>
      </c>
      <c r="F194" s="4829" t="s">
        <v>2534</v>
      </c>
      <c r="G194" s="4829" t="s">
        <v>2597</v>
      </c>
      <c r="H194" s="4829" t="s">
        <v>22</v>
      </c>
      <c r="I194" s="4829" t="s">
        <v>889</v>
      </c>
    </row>
    <row customHeight="1" ht="11.25">
      <c r="A195" s="4829" t="s">
        <v>2375</v>
      </c>
      <c r="B195" s="4829" t="s">
        <v>16</v>
      </c>
      <c r="C195" s="4829" t="s">
        <v>2598</v>
      </c>
      <c r="D195" s="4829" t="s">
        <v>2599</v>
      </c>
      <c r="E195" s="4829" t="s">
        <v>2600</v>
      </c>
      <c r="F195" s="4829" t="s">
        <v>2508</v>
      </c>
      <c r="G195" s="4829" t="s">
        <v>2601</v>
      </c>
      <c r="H195" s="4829" t="s">
        <v>22</v>
      </c>
      <c r="I195" s="4829" t="s">
        <v>889</v>
      </c>
    </row>
    <row customHeight="1" ht="11.25">
      <c r="A196" s="4829" t="s">
        <v>2375</v>
      </c>
      <c r="B196" s="4829" t="s">
        <v>16</v>
      </c>
      <c r="C196" s="4829" t="s">
        <v>2602</v>
      </c>
      <c r="D196" s="4829" t="s">
        <v>2603</v>
      </c>
      <c r="E196" s="4829" t="s">
        <v>2604</v>
      </c>
      <c r="F196" s="4829" t="s">
        <v>2545</v>
      </c>
      <c r="G196" s="4829" t="s">
        <v>2605</v>
      </c>
      <c r="H196" s="4829" t="s">
        <v>22</v>
      </c>
      <c r="I196" s="4829" t="s">
        <v>889</v>
      </c>
    </row>
    <row customHeight="1" ht="11.25">
      <c r="A197" s="4829" t="s">
        <v>2375</v>
      </c>
      <c r="B197" s="4829" t="s">
        <v>16</v>
      </c>
      <c r="C197" s="4829" t="s">
        <v>2606</v>
      </c>
      <c r="D197" s="4829" t="s">
        <v>2603</v>
      </c>
      <c r="E197" s="4829" t="s">
        <v>2607</v>
      </c>
      <c r="F197" s="4829" t="s">
        <v>2436</v>
      </c>
      <c r="G197" s="4829" t="s">
        <v>2608</v>
      </c>
      <c r="H197" s="4829" t="s">
        <v>22</v>
      </c>
      <c r="I197" s="4829" t="s">
        <v>889</v>
      </c>
    </row>
    <row customHeight="1" ht="11.25">
      <c r="A198" s="4829" t="s">
        <v>2375</v>
      </c>
      <c r="B198" s="4829" t="s">
        <v>16</v>
      </c>
      <c r="C198" s="4829" t="s">
        <v>2609</v>
      </c>
      <c r="D198" s="4829" t="s">
        <v>2610</v>
      </c>
      <c r="E198" s="4829" t="s">
        <v>2611</v>
      </c>
      <c r="F198" s="4829" t="s">
        <v>2526</v>
      </c>
      <c r="G198" s="4829" t="s">
        <v>22</v>
      </c>
      <c r="H198" s="4829" t="s">
        <v>22</v>
      </c>
      <c r="I198" s="4829" t="s">
        <v>889</v>
      </c>
    </row>
    <row customHeight="1" ht="11.25">
      <c r="A199" s="4829" t="s">
        <v>2375</v>
      </c>
      <c r="B199" s="4829" t="s">
        <v>16</v>
      </c>
      <c r="C199" s="4829" t="s">
        <v>2612</v>
      </c>
      <c r="D199" s="4829" t="s">
        <v>2613</v>
      </c>
      <c r="E199" s="4829" t="s">
        <v>2614</v>
      </c>
      <c r="F199" s="4829" t="s">
        <v>2526</v>
      </c>
      <c r="G199" s="4829" t="s">
        <v>2615</v>
      </c>
      <c r="H199" s="4829" t="s">
        <v>22</v>
      </c>
      <c r="I199" s="4829" t="s">
        <v>889</v>
      </c>
    </row>
    <row customHeight="1" ht="11.25">
      <c r="A200" s="4829" t="s">
        <v>2375</v>
      </c>
      <c r="B200" s="4829" t="s">
        <v>16</v>
      </c>
      <c r="C200" s="4829" t="s">
        <v>2631</v>
      </c>
      <c r="D200" s="4829" t="s">
        <v>2632</v>
      </c>
      <c r="E200" s="4829" t="s">
        <v>2633</v>
      </c>
      <c r="F200" s="4829" t="s">
        <v>2508</v>
      </c>
      <c r="G200" s="4829" t="s">
        <v>2634</v>
      </c>
      <c r="H200" s="4829" t="s">
        <v>22</v>
      </c>
      <c r="I200" s="4829" t="s">
        <v>889</v>
      </c>
    </row>
    <row customHeight="1" ht="11.25">
      <c r="A201" s="4829" t="s">
        <v>2375</v>
      </c>
      <c r="B201" s="4829" t="s">
        <v>16</v>
      </c>
      <c r="C201" s="4829" t="s">
        <v>2635</v>
      </c>
      <c r="D201" s="4829" t="s">
        <v>2636</v>
      </c>
      <c r="E201" s="4829" t="s">
        <v>2637</v>
      </c>
      <c r="F201" s="4829" t="s">
        <v>2384</v>
      </c>
      <c r="G201" s="4829" t="s">
        <v>22</v>
      </c>
      <c r="H201" s="4829" t="s">
        <v>22</v>
      </c>
      <c r="I201" s="4829" t="s">
        <v>889</v>
      </c>
    </row>
    <row customHeight="1" ht="11.25">
      <c r="A202" s="4829" t="s">
        <v>2375</v>
      </c>
      <c r="B202" s="4829" t="s">
        <v>16</v>
      </c>
      <c r="C202" s="4829" t="s">
        <v>2641</v>
      </c>
      <c r="D202" s="4829" t="s">
        <v>2642</v>
      </c>
      <c r="E202" s="4829" t="s">
        <v>2643</v>
      </c>
      <c r="F202" s="4829" t="s">
        <v>2508</v>
      </c>
      <c r="G202" s="4829" t="s">
        <v>22</v>
      </c>
      <c r="H202" s="4829" t="s">
        <v>22</v>
      </c>
      <c r="I202" s="4829" t="s">
        <v>889</v>
      </c>
    </row>
    <row customHeight="1" ht="11.25">
      <c r="A203" s="4829" t="s">
        <v>2375</v>
      </c>
      <c r="B203" s="4829" t="s">
        <v>16</v>
      </c>
      <c r="C203" s="4829" t="s">
        <v>2648</v>
      </c>
      <c r="D203" s="4829" t="s">
        <v>2649</v>
      </c>
      <c r="E203" s="4829" t="s">
        <v>2650</v>
      </c>
      <c r="F203" s="4829" t="s">
        <v>2488</v>
      </c>
      <c r="G203" s="4829" t="s">
        <v>22</v>
      </c>
      <c r="H203" s="4829" t="s">
        <v>22</v>
      </c>
      <c r="I203" s="4829" t="s">
        <v>889</v>
      </c>
    </row>
    <row customHeight="1" ht="11.25">
      <c r="A204" s="4829" t="s">
        <v>2375</v>
      </c>
      <c r="B204" s="4829" t="s">
        <v>16</v>
      </c>
      <c r="C204" s="4829" t="s">
        <v>2651</v>
      </c>
      <c r="D204" s="4829" t="s">
        <v>2652</v>
      </c>
      <c r="E204" s="4829" t="s">
        <v>2653</v>
      </c>
      <c r="F204" s="4829" t="s">
        <v>2534</v>
      </c>
      <c r="G204" s="4829" t="s">
        <v>22</v>
      </c>
      <c r="H204" s="4829" t="s">
        <v>22</v>
      </c>
      <c r="I204" s="4829" t="s">
        <v>889</v>
      </c>
    </row>
    <row customHeight="1" ht="11.25">
      <c r="A205" s="4829" t="s">
        <v>2375</v>
      </c>
      <c r="B205" s="4829" t="s">
        <v>16</v>
      </c>
      <c r="C205" s="4829" t="s">
        <v>2657</v>
      </c>
      <c r="D205" s="4829" t="s">
        <v>2658</v>
      </c>
      <c r="E205" s="4829" t="s">
        <v>2461</v>
      </c>
      <c r="F205" s="4829" t="s">
        <v>2659</v>
      </c>
      <c r="G205" s="4829" t="s">
        <v>22</v>
      </c>
      <c r="H205" s="4829" t="s">
        <v>22</v>
      </c>
      <c r="I205" s="4829" t="s">
        <v>889</v>
      </c>
    </row>
    <row customHeight="1" ht="11.25">
      <c r="A206" s="4829" t="s">
        <v>2375</v>
      </c>
      <c r="B206" s="4829" t="s">
        <v>16</v>
      </c>
      <c r="C206" s="4829" t="s">
        <v>2664</v>
      </c>
      <c r="D206" s="4829" t="s">
        <v>2665</v>
      </c>
      <c r="E206" s="4829" t="s">
        <v>2666</v>
      </c>
      <c r="F206" s="4829" t="s">
        <v>2667</v>
      </c>
      <c r="G206" s="4829" t="s">
        <v>2668</v>
      </c>
      <c r="H206" s="4829" t="s">
        <v>22</v>
      </c>
      <c r="I206" s="4829" t="s">
        <v>889</v>
      </c>
    </row>
    <row customHeight="1" ht="11.25">
      <c r="A207" s="4829" t="s">
        <v>2375</v>
      </c>
      <c r="B207" s="4829" t="s">
        <v>16</v>
      </c>
      <c r="C207" s="4829" t="s">
        <v>2672</v>
      </c>
      <c r="D207" s="4829" t="s">
        <v>2673</v>
      </c>
      <c r="E207" s="4829" t="s">
        <v>2674</v>
      </c>
      <c r="F207" s="4829" t="s">
        <v>2488</v>
      </c>
      <c r="G207" s="4829" t="s">
        <v>22</v>
      </c>
      <c r="H207" s="4829" t="s">
        <v>22</v>
      </c>
      <c r="I207" s="4829" t="s">
        <v>889</v>
      </c>
    </row>
    <row customHeight="1" ht="11.25">
      <c r="A208" s="4829" t="s">
        <v>2375</v>
      </c>
      <c r="B208" s="4829" t="s">
        <v>16</v>
      </c>
      <c r="C208" s="4829" t="s">
        <v>2706</v>
      </c>
      <c r="D208" s="4829" t="s">
        <v>2707</v>
      </c>
      <c r="E208" s="4829" t="s">
        <v>2708</v>
      </c>
      <c r="F208" s="4829" t="s">
        <v>2709</v>
      </c>
      <c r="G208" s="4829" t="s">
        <v>22</v>
      </c>
      <c r="H208" s="4829" t="s">
        <v>22</v>
      </c>
      <c r="I208" s="4829" t="s">
        <v>889</v>
      </c>
    </row>
    <row customHeight="1" ht="11.25">
      <c r="A209" s="4829" t="s">
        <v>2375</v>
      </c>
      <c r="B209" s="4829" t="s">
        <v>16</v>
      </c>
      <c r="C209" s="4829" t="s">
        <v>2713</v>
      </c>
      <c r="D209" s="4829" t="s">
        <v>2714</v>
      </c>
      <c r="E209" s="4829" t="s">
        <v>2715</v>
      </c>
      <c r="F209" s="4829" t="s">
        <v>2534</v>
      </c>
      <c r="G209" s="4829" t="s">
        <v>2716</v>
      </c>
      <c r="H209" s="4829" t="s">
        <v>22</v>
      </c>
      <c r="I209" s="4829" t="s">
        <v>889</v>
      </c>
    </row>
    <row customHeight="1" ht="11.25">
      <c r="A210" s="4829" t="s">
        <v>2375</v>
      </c>
      <c r="B210" s="4829" t="s">
        <v>16</v>
      </c>
      <c r="C210" s="4829" t="s">
        <v>2721</v>
      </c>
      <c r="D210" s="4829" t="s">
        <v>2722</v>
      </c>
      <c r="E210" s="4829" t="s">
        <v>2723</v>
      </c>
      <c r="F210" s="4829" t="s">
        <v>2479</v>
      </c>
      <c r="G210" s="4829" t="s">
        <v>22</v>
      </c>
      <c r="H210" s="4829" t="s">
        <v>22</v>
      </c>
      <c r="I210" s="4829" t="s">
        <v>889</v>
      </c>
    </row>
    <row customHeight="1" ht="11.25">
      <c r="A211" s="4829" t="s">
        <v>2375</v>
      </c>
      <c r="B211" s="4829" t="s">
        <v>16</v>
      </c>
      <c r="C211" s="4829" t="s">
        <v>2724</v>
      </c>
      <c r="D211" s="4829" t="s">
        <v>2725</v>
      </c>
      <c r="E211" s="4829" t="s">
        <v>2726</v>
      </c>
      <c r="F211" s="4829" t="s">
        <v>2479</v>
      </c>
      <c r="G211" s="4829" t="s">
        <v>22</v>
      </c>
      <c r="H211" s="4829" t="s">
        <v>22</v>
      </c>
      <c r="I211" s="4829" t="s">
        <v>889</v>
      </c>
    </row>
    <row customHeight="1" ht="11.25">
      <c r="A212" s="4829" t="s">
        <v>2375</v>
      </c>
      <c r="B212" s="4829" t="s">
        <v>16</v>
      </c>
      <c r="C212" s="4829" t="s">
        <v>2731</v>
      </c>
      <c r="D212" s="4829" t="s">
        <v>2732</v>
      </c>
      <c r="E212" s="4829" t="s">
        <v>2733</v>
      </c>
      <c r="F212" s="4829" t="s">
        <v>2384</v>
      </c>
      <c r="G212" s="4829" t="s">
        <v>22</v>
      </c>
      <c r="H212" s="4829" t="s">
        <v>22</v>
      </c>
      <c r="I212" s="4829" t="s">
        <v>889</v>
      </c>
    </row>
    <row customHeight="1" ht="11.25">
      <c r="A213" s="4829" t="s">
        <v>2375</v>
      </c>
      <c r="B213" s="4829" t="s">
        <v>16</v>
      </c>
      <c r="C213" s="4829" t="s">
        <v>2734</v>
      </c>
      <c r="D213" s="4829" t="s">
        <v>2735</v>
      </c>
      <c r="E213" s="4829" t="s">
        <v>2736</v>
      </c>
      <c r="F213" s="4829" t="s">
        <v>2737</v>
      </c>
      <c r="G213" s="4829" t="s">
        <v>22</v>
      </c>
      <c r="H213" s="4829" t="s">
        <v>22</v>
      </c>
      <c r="I213" s="4829" t="s">
        <v>889</v>
      </c>
    </row>
    <row customHeight="1" ht="11.25">
      <c r="A214" s="4829" t="s">
        <v>2375</v>
      </c>
      <c r="B214" s="4829" t="s">
        <v>16</v>
      </c>
      <c r="C214" s="4829" t="s">
        <v>2738</v>
      </c>
      <c r="D214" s="4829" t="s">
        <v>2739</v>
      </c>
      <c r="E214" s="4829" t="s">
        <v>2740</v>
      </c>
      <c r="F214" s="4829" t="s">
        <v>2737</v>
      </c>
      <c r="G214" s="4829" t="s">
        <v>22</v>
      </c>
      <c r="H214" s="4829" t="s">
        <v>22</v>
      </c>
      <c r="I214" s="4829" t="s">
        <v>889</v>
      </c>
    </row>
    <row customHeight="1" ht="11.25">
      <c r="A215" s="4829" t="s">
        <v>2375</v>
      </c>
      <c r="B215" s="4829" t="s">
        <v>16</v>
      </c>
      <c r="C215" s="4829" t="s">
        <v>2748</v>
      </c>
      <c r="D215" s="4829" t="s">
        <v>2749</v>
      </c>
      <c r="E215" s="4829" t="s">
        <v>2750</v>
      </c>
      <c r="F215" s="4829" t="s">
        <v>2526</v>
      </c>
      <c r="G215" s="4829" t="s">
        <v>2751</v>
      </c>
      <c r="H215" s="4829" t="s">
        <v>22</v>
      </c>
      <c r="I215" s="4829" t="s">
        <v>889</v>
      </c>
    </row>
    <row customHeight="1" ht="11.25">
      <c r="A216" s="4829" t="s">
        <v>2375</v>
      </c>
      <c r="B216" s="4829" t="s">
        <v>16</v>
      </c>
      <c r="C216" s="4829" t="s">
        <v>2752</v>
      </c>
      <c r="D216" s="4829" t="s">
        <v>2753</v>
      </c>
      <c r="E216" s="4829" t="s">
        <v>2754</v>
      </c>
      <c r="F216" s="4829" t="s">
        <v>2737</v>
      </c>
      <c r="G216" s="4829" t="s">
        <v>2755</v>
      </c>
      <c r="H216" s="4829" t="s">
        <v>22</v>
      </c>
      <c r="I216" s="4829" t="s">
        <v>889</v>
      </c>
    </row>
    <row customHeight="1" ht="11.25">
      <c r="A217" s="4829" t="s">
        <v>2375</v>
      </c>
      <c r="B217" s="4829" t="s">
        <v>16</v>
      </c>
      <c r="C217" s="4829" t="s">
        <v>2756</v>
      </c>
      <c r="D217" s="4829" t="s">
        <v>2757</v>
      </c>
      <c r="E217" s="4829" t="s">
        <v>2758</v>
      </c>
      <c r="F217" s="4829" t="s">
        <v>2534</v>
      </c>
      <c r="G217" s="4829" t="s">
        <v>22</v>
      </c>
      <c r="H217" s="4829" t="s">
        <v>22</v>
      </c>
      <c r="I217" s="4829" t="s">
        <v>889</v>
      </c>
    </row>
    <row customHeight="1" ht="11.25">
      <c r="A218" s="4829" t="s">
        <v>2375</v>
      </c>
      <c r="B218" s="4829" t="s">
        <v>16</v>
      </c>
      <c r="C218" s="4829" t="s">
        <v>2769</v>
      </c>
      <c r="D218" s="4829" t="s">
        <v>2770</v>
      </c>
      <c r="E218" s="4829" t="s">
        <v>2771</v>
      </c>
      <c r="F218" s="4829" t="s">
        <v>2545</v>
      </c>
      <c r="G218" s="4829" t="s">
        <v>2772</v>
      </c>
      <c r="H218" s="4829" t="s">
        <v>22</v>
      </c>
      <c r="I218" s="4829" t="s">
        <v>889</v>
      </c>
    </row>
    <row customHeight="1" ht="11.25">
      <c r="A219" s="4829" t="s">
        <v>2375</v>
      </c>
      <c r="B219" s="4829" t="s">
        <v>16</v>
      </c>
      <c r="C219" s="4829" t="s">
        <v>2968</v>
      </c>
      <c r="D219" s="4829" t="s">
        <v>2969</v>
      </c>
      <c r="E219" s="4829" t="s">
        <v>2970</v>
      </c>
      <c r="F219" s="4829" t="s">
        <v>2436</v>
      </c>
      <c r="G219" s="4829" t="s">
        <v>22</v>
      </c>
      <c r="H219" s="4829" t="s">
        <v>22</v>
      </c>
      <c r="I219" s="4829" t="s">
        <v>889</v>
      </c>
    </row>
    <row customHeight="1" ht="11.25">
      <c r="A220" s="4829" t="s">
        <v>2375</v>
      </c>
      <c r="B220" s="4829" t="s">
        <v>16</v>
      </c>
      <c r="C220" s="4829" t="s">
        <v>2776</v>
      </c>
      <c r="D220" s="4829" t="s">
        <v>2777</v>
      </c>
      <c r="E220" s="4829" t="s">
        <v>2778</v>
      </c>
      <c r="F220" s="4829" t="s">
        <v>2709</v>
      </c>
      <c r="G220" s="4829" t="s">
        <v>22</v>
      </c>
      <c r="H220" s="4829" t="s">
        <v>22</v>
      </c>
      <c r="I220" s="4829" t="s">
        <v>889</v>
      </c>
    </row>
    <row customHeight="1" ht="11.25">
      <c r="A221" s="4829" t="s">
        <v>2375</v>
      </c>
      <c r="B221" s="4829" t="s">
        <v>16</v>
      </c>
      <c r="C221" s="4829" t="s">
        <v>2793</v>
      </c>
      <c r="D221" s="4829" t="s">
        <v>2794</v>
      </c>
      <c r="E221" s="4829" t="s">
        <v>2795</v>
      </c>
      <c r="F221" s="4829" t="s">
        <v>2534</v>
      </c>
      <c r="G221" s="4829" t="s">
        <v>22</v>
      </c>
      <c r="H221" s="4829" t="s">
        <v>22</v>
      </c>
      <c r="I221" s="4829" t="s">
        <v>889</v>
      </c>
    </row>
    <row customHeight="1" ht="11.25">
      <c r="A222" s="4829" t="s">
        <v>2375</v>
      </c>
      <c r="B222" s="4829" t="s">
        <v>16</v>
      </c>
      <c r="C222" s="4829" t="s">
        <v>2804</v>
      </c>
      <c r="D222" s="4829" t="s">
        <v>2805</v>
      </c>
      <c r="E222" s="4829" t="s">
        <v>2806</v>
      </c>
      <c r="F222" s="4829" t="s">
        <v>2534</v>
      </c>
      <c r="G222" s="4829" t="s">
        <v>22</v>
      </c>
      <c r="H222" s="4829" t="s">
        <v>22</v>
      </c>
      <c r="I222" s="4829" t="s">
        <v>889</v>
      </c>
    </row>
    <row customHeight="1" ht="11.25">
      <c r="A223" s="4829" t="s">
        <v>2375</v>
      </c>
      <c r="B223" s="4829" t="s">
        <v>16</v>
      </c>
      <c r="C223" s="4829" t="s">
        <v>2823</v>
      </c>
      <c r="D223" s="4829" t="s">
        <v>2824</v>
      </c>
      <c r="E223" s="4829" t="s">
        <v>2825</v>
      </c>
      <c r="F223" s="4829" t="s">
        <v>2427</v>
      </c>
      <c r="G223" s="4829" t="s">
        <v>2826</v>
      </c>
      <c r="H223" s="4829" t="s">
        <v>22</v>
      </c>
      <c r="I223" s="4829" t="s">
        <v>889</v>
      </c>
    </row>
    <row customHeight="1" ht="11.25">
      <c r="A224" s="4829" t="s">
        <v>2375</v>
      </c>
      <c r="B224" s="4829" t="s">
        <v>16</v>
      </c>
      <c r="C224" s="4829" t="s">
        <v>2836</v>
      </c>
      <c r="D224" s="4829" t="s">
        <v>2837</v>
      </c>
      <c r="E224" s="4829" t="s">
        <v>2838</v>
      </c>
      <c r="F224" s="4829" t="s">
        <v>2493</v>
      </c>
      <c r="G224" s="4829" t="s">
        <v>2839</v>
      </c>
      <c r="H224" s="4829" t="s">
        <v>22</v>
      </c>
      <c r="I224" s="4829" t="s">
        <v>889</v>
      </c>
    </row>
    <row customHeight="1" ht="11.25">
      <c r="A225" s="4829" t="s">
        <v>2375</v>
      </c>
      <c r="B225" s="4829" t="s">
        <v>16</v>
      </c>
      <c r="C225" s="4829" t="s">
        <v>2844</v>
      </c>
      <c r="D225" s="4829" t="s">
        <v>2845</v>
      </c>
      <c r="E225" s="4829" t="s">
        <v>2846</v>
      </c>
      <c r="F225" s="4829" t="s">
        <v>2709</v>
      </c>
      <c r="G225" s="4829" t="s">
        <v>2847</v>
      </c>
      <c r="H225" s="4829" t="s">
        <v>22</v>
      </c>
      <c r="I225" s="4829" t="s">
        <v>889</v>
      </c>
    </row>
    <row customHeight="1" ht="11.25">
      <c r="A226" s="4829" t="s">
        <v>2375</v>
      </c>
      <c r="B226" s="4829" t="s">
        <v>16</v>
      </c>
      <c r="C226" s="4829" t="s">
        <v>2860</v>
      </c>
      <c r="D226" s="4829" t="s">
        <v>2861</v>
      </c>
      <c r="E226" s="4829" t="s">
        <v>2862</v>
      </c>
      <c r="F226" s="4829" t="s">
        <v>2737</v>
      </c>
      <c r="G226" s="4829" t="s">
        <v>22</v>
      </c>
      <c r="H226" s="4829" t="s">
        <v>22</v>
      </c>
      <c r="I226" s="4829" t="s">
        <v>889</v>
      </c>
    </row>
    <row customHeight="1" ht="11.25">
      <c r="A227" s="4829" t="s">
        <v>2375</v>
      </c>
      <c r="B227" s="4829" t="s">
        <v>16</v>
      </c>
      <c r="C227" s="4829" t="s">
        <v>2863</v>
      </c>
      <c r="D227" s="4829" t="s">
        <v>2864</v>
      </c>
      <c r="E227" s="4829" t="s">
        <v>2865</v>
      </c>
      <c r="F227" s="4829" t="s">
        <v>2737</v>
      </c>
      <c r="G227" s="4829" t="s">
        <v>22</v>
      </c>
      <c r="H227" s="4829" t="s">
        <v>22</v>
      </c>
      <c r="I227" s="4829" t="s">
        <v>889</v>
      </c>
    </row>
    <row customHeight="1" ht="11.25">
      <c r="A228" s="4829" t="s">
        <v>2375</v>
      </c>
      <c r="B228" s="4829" t="s">
        <v>16</v>
      </c>
      <c r="C228" s="4829" t="s">
        <v>2866</v>
      </c>
      <c r="D228" s="4829" t="s">
        <v>2867</v>
      </c>
      <c r="E228" s="4829" t="s">
        <v>2868</v>
      </c>
      <c r="F228" s="4829" t="s">
        <v>2458</v>
      </c>
      <c r="G228" s="4829" t="s">
        <v>2869</v>
      </c>
      <c r="H228" s="4829" t="s">
        <v>22</v>
      </c>
      <c r="I228" s="4829" t="s">
        <v>889</v>
      </c>
    </row>
    <row customHeight="1" ht="11.25">
      <c r="A229" s="4829" t="s">
        <v>2375</v>
      </c>
      <c r="B229" s="4829" t="s">
        <v>16</v>
      </c>
      <c r="C229" s="4829" t="s">
        <v>2873</v>
      </c>
      <c r="D229" s="4829" t="s">
        <v>2874</v>
      </c>
      <c r="E229" s="4829" t="s">
        <v>2875</v>
      </c>
      <c r="F229" s="4829" t="s">
        <v>2508</v>
      </c>
      <c r="G229" s="4829" t="s">
        <v>22</v>
      </c>
      <c r="H229" s="4829" t="s">
        <v>22</v>
      </c>
      <c r="I229" s="4829" t="s">
        <v>889</v>
      </c>
    </row>
    <row customHeight="1" ht="11.25">
      <c r="A230" s="4829" t="s">
        <v>2375</v>
      </c>
      <c r="B230" s="4829" t="s">
        <v>16</v>
      </c>
      <c r="C230" s="4829" t="s">
        <v>2891</v>
      </c>
      <c r="D230" s="4829" t="s">
        <v>2892</v>
      </c>
      <c r="E230" s="4829" t="s">
        <v>2893</v>
      </c>
      <c r="F230" s="4829" t="s">
        <v>2534</v>
      </c>
      <c r="G230" s="4829" t="s">
        <v>2716</v>
      </c>
      <c r="H230" s="4829" t="s">
        <v>22</v>
      </c>
      <c r="I230" s="4829" t="s">
        <v>889</v>
      </c>
    </row>
    <row customHeight="1" ht="11.25">
      <c r="A231" s="4829" t="s">
        <v>2375</v>
      </c>
      <c r="B231" s="4829" t="s">
        <v>16</v>
      </c>
      <c r="C231" s="4829" t="s">
        <v>2897</v>
      </c>
      <c r="D231" s="4829" t="s">
        <v>2898</v>
      </c>
      <c r="E231" s="4829" t="s">
        <v>2899</v>
      </c>
      <c r="F231" s="4829" t="s">
        <v>2484</v>
      </c>
      <c r="G231" s="4829" t="s">
        <v>22</v>
      </c>
      <c r="H231" s="4829" t="s">
        <v>22</v>
      </c>
      <c r="I231" s="4829" t="s">
        <v>889</v>
      </c>
    </row>
    <row customHeight="1" ht="11.25">
      <c r="A232" s="4829" t="s">
        <v>2375</v>
      </c>
      <c r="B232" s="4829" t="s">
        <v>16</v>
      </c>
      <c r="C232" s="4829" t="s">
        <v>2904</v>
      </c>
      <c r="D232" s="4829" t="s">
        <v>2905</v>
      </c>
      <c r="E232" s="4829" t="s">
        <v>2906</v>
      </c>
      <c r="F232" s="4829" t="s">
        <v>2497</v>
      </c>
      <c r="G232" s="4829" t="s">
        <v>2447</v>
      </c>
      <c r="H232" s="4829" t="s">
        <v>22</v>
      </c>
      <c r="I232" s="4829" t="s">
        <v>889</v>
      </c>
    </row>
    <row customHeight="1" ht="11.25">
      <c r="A233" s="4829" t="s">
        <v>2375</v>
      </c>
      <c r="B233" s="4829" t="s">
        <v>16</v>
      </c>
      <c r="C233" s="4829" t="s">
        <v>2907</v>
      </c>
      <c r="D233" s="4829" t="s">
        <v>2908</v>
      </c>
      <c r="E233" s="4829" t="s">
        <v>2909</v>
      </c>
      <c r="F233" s="4829" t="s">
        <v>2737</v>
      </c>
      <c r="G233" s="4829" t="s">
        <v>22</v>
      </c>
      <c r="H233" s="4829" t="s">
        <v>22</v>
      </c>
      <c r="I233" s="4829" t="s">
        <v>889</v>
      </c>
    </row>
    <row customHeight="1" ht="11.25">
      <c r="A234" s="4829" t="s">
        <v>2375</v>
      </c>
      <c r="B234" s="4829" t="s">
        <v>16</v>
      </c>
      <c r="C234" s="4829" t="s">
        <v>2910</v>
      </c>
      <c r="D234" s="4829" t="s">
        <v>2911</v>
      </c>
      <c r="E234" s="4829" t="s">
        <v>2912</v>
      </c>
      <c r="F234" s="4829" t="s">
        <v>50</v>
      </c>
      <c r="G234" s="4829" t="s">
        <v>2630</v>
      </c>
      <c r="H234" s="4829" t="s">
        <v>22</v>
      </c>
      <c r="I234" s="4829" t="s">
        <v>889</v>
      </c>
    </row>
    <row customHeight="1" ht="11.25">
      <c r="A235" s="4829" t="s">
        <v>2375</v>
      </c>
      <c r="B235" s="4829" t="s">
        <v>16</v>
      </c>
      <c r="C235" s="4829" t="s">
        <v>2929</v>
      </c>
      <c r="D235" s="4829" t="s">
        <v>2930</v>
      </c>
      <c r="E235" s="4829" t="s">
        <v>2931</v>
      </c>
      <c r="F235" s="4829" t="s">
        <v>2576</v>
      </c>
      <c r="G235" s="4829" t="s">
        <v>22</v>
      </c>
      <c r="H235" s="4829" t="s">
        <v>22</v>
      </c>
      <c r="I235" s="4829" t="s">
        <v>889</v>
      </c>
    </row>
    <row customHeight="1" ht="11.25">
      <c r="A236" s="4829" t="s">
        <v>2375</v>
      </c>
      <c r="B236" s="4829" t="s">
        <v>16</v>
      </c>
      <c r="C236" s="4829" t="s">
        <v>2935</v>
      </c>
      <c r="D236" s="4829" t="s">
        <v>2936</v>
      </c>
      <c r="E236" s="4829" t="s">
        <v>2937</v>
      </c>
      <c r="F236" s="4829" t="s">
        <v>50</v>
      </c>
      <c r="G236" s="4829" t="s">
        <v>22</v>
      </c>
      <c r="H236" s="4829" t="s">
        <v>22</v>
      </c>
      <c r="I236" s="4829" t="s">
        <v>889</v>
      </c>
    </row>
    <row customHeight="1" ht="11.25">
      <c r="A237" s="4829" t="s">
        <v>2375</v>
      </c>
      <c r="B237" s="4829" t="s">
        <v>16</v>
      </c>
      <c r="C237" s="4829" t="s">
        <v>2938</v>
      </c>
      <c r="D237" s="4829" t="s">
        <v>2939</v>
      </c>
      <c r="E237" s="4829" t="s">
        <v>2940</v>
      </c>
      <c r="F237" s="4829" t="s">
        <v>2440</v>
      </c>
      <c r="G237" s="4829" t="s">
        <v>2941</v>
      </c>
      <c r="H237" s="4829" t="s">
        <v>22</v>
      </c>
      <c r="I237" s="4829" t="s">
        <v>889</v>
      </c>
    </row>
    <row customHeight="1" ht="11.25">
      <c r="A238" s="4829" t="s">
        <v>2375</v>
      </c>
      <c r="B238" s="4829" t="s">
        <v>16</v>
      </c>
      <c r="C238" s="4829" t="s">
        <v>2942</v>
      </c>
      <c r="D238" s="4829" t="s">
        <v>2943</v>
      </c>
      <c r="E238" s="4829" t="s">
        <v>2944</v>
      </c>
      <c r="F238" s="4829" t="s">
        <v>50</v>
      </c>
      <c r="G238" s="4829" t="s">
        <v>22</v>
      </c>
      <c r="H238" s="4829" t="s">
        <v>22</v>
      </c>
      <c r="I238" s="4829" t="s">
        <v>889</v>
      </c>
    </row>
    <row customHeight="1" ht="11.25">
      <c r="A239" s="4829" t="s">
        <v>2375</v>
      </c>
      <c r="B239" s="4829" t="s">
        <v>16</v>
      </c>
      <c r="C239" s="4829" t="s">
        <v>2952</v>
      </c>
      <c r="D239" s="4829" t="s">
        <v>2953</v>
      </c>
      <c r="E239" s="4829" t="s">
        <v>2954</v>
      </c>
      <c r="F239" s="4829" t="s">
        <v>2955</v>
      </c>
      <c r="G239" s="4829" t="s">
        <v>22</v>
      </c>
      <c r="H239" s="4829" t="s">
        <v>22</v>
      </c>
      <c r="I239" s="4829" t="s">
        <v>889</v>
      </c>
    </row>
    <row customHeight="1" ht="11.25">
      <c r="A240" s="4829" t="s">
        <v>2375</v>
      </c>
      <c r="B240" s="4829" t="s">
        <v>16</v>
      </c>
      <c r="C240" s="4829" t="s">
        <v>2956</v>
      </c>
      <c r="D240" s="4829" t="s">
        <v>2957</v>
      </c>
      <c r="E240" s="4829" t="s">
        <v>2958</v>
      </c>
      <c r="F240" s="4829" t="s">
        <v>2959</v>
      </c>
      <c r="G240" s="4829" t="s">
        <v>2960</v>
      </c>
      <c r="H240" s="4829" t="s">
        <v>22</v>
      </c>
      <c r="I240" s="4829" t="s">
        <v>889</v>
      </c>
    </row>
    <row customHeight="1" ht="11.25">
      <c r="A241" s="4829" t="s">
        <v>2375</v>
      </c>
      <c r="B241" s="4829" t="s">
        <v>16</v>
      </c>
      <c r="C241" s="4829" t="s">
        <v>2971</v>
      </c>
      <c r="D241" s="4829" t="s">
        <v>2972</v>
      </c>
      <c r="E241" s="4829" t="s">
        <v>2973</v>
      </c>
      <c r="F241" s="4829" t="s">
        <v>2709</v>
      </c>
      <c r="G241" s="4829" t="s">
        <v>2803</v>
      </c>
      <c r="H241" s="4829" t="s">
        <v>22</v>
      </c>
      <c r="I241" s="4829" t="s">
        <v>849</v>
      </c>
    </row>
    <row customHeight="1" ht="11.25">
      <c r="A242" s="4829" t="s">
        <v>2375</v>
      </c>
      <c r="B242" s="4829" t="s">
        <v>16</v>
      </c>
      <c r="C242" s="4829" t="s">
        <v>2974</v>
      </c>
      <c r="D242" s="4829" t="s">
        <v>2975</v>
      </c>
      <c r="E242" s="4829" t="s">
        <v>2976</v>
      </c>
      <c r="F242" s="4829" t="s">
        <v>2977</v>
      </c>
      <c r="G242" s="4829" t="s">
        <v>22</v>
      </c>
      <c r="H242" s="4829" t="s">
        <v>22</v>
      </c>
      <c r="I242" s="4829" t="s">
        <v>849</v>
      </c>
    </row>
    <row customHeight="1" ht="11.25">
      <c r="A243" s="4829" t="s">
        <v>2375</v>
      </c>
      <c r="B243" s="4829" t="s">
        <v>16</v>
      </c>
      <c r="C243" s="4829" t="s">
        <v>2978</v>
      </c>
      <c r="D243" s="4829" t="s">
        <v>2979</v>
      </c>
      <c r="E243" s="4829" t="s">
        <v>2980</v>
      </c>
      <c r="F243" s="4829" t="s">
        <v>2981</v>
      </c>
      <c r="G243" s="4829" t="s">
        <v>22</v>
      </c>
      <c r="H243" s="4829" t="s">
        <v>22</v>
      </c>
      <c r="I243" s="4829" t="s">
        <v>849</v>
      </c>
    </row>
    <row customHeight="1" ht="11.25">
      <c r="A244" s="4829" t="s">
        <v>2375</v>
      </c>
      <c r="B244" s="4829" t="s">
        <v>16</v>
      </c>
      <c r="C244" s="4829" t="s">
        <v>2376</v>
      </c>
      <c r="D244" s="4829" t="s">
        <v>2377</v>
      </c>
      <c r="E244" s="4829" t="s">
        <v>2378</v>
      </c>
      <c r="F244" s="4829" t="s">
        <v>2379</v>
      </c>
      <c r="G244" s="4829" t="s">
        <v>2380</v>
      </c>
      <c r="H244" s="4829" t="s">
        <v>22</v>
      </c>
      <c r="I244" s="4829" t="s">
        <v>849</v>
      </c>
    </row>
    <row customHeight="1" ht="11.25">
      <c r="A245" s="4829" t="s">
        <v>2375</v>
      </c>
      <c r="B245" s="4829" t="s">
        <v>16</v>
      </c>
      <c r="C245" s="4829" t="s">
        <v>13</v>
      </c>
      <c r="D245" s="4829" t="s">
        <v>45</v>
      </c>
      <c r="E245" s="4829" t="s">
        <v>48</v>
      </c>
      <c r="F245" s="4829" t="s">
        <v>50</v>
      </c>
      <c r="G245" s="4829" t="s">
        <v>2385</v>
      </c>
      <c r="H245" s="4829" t="s">
        <v>22</v>
      </c>
      <c r="I245" s="4829" t="s">
        <v>849</v>
      </c>
    </row>
    <row customHeight="1" ht="11.25">
      <c r="A246" s="4829" t="s">
        <v>2375</v>
      </c>
      <c r="B246" s="4829" t="s">
        <v>16</v>
      </c>
      <c r="C246" s="4829" t="s">
        <v>2418</v>
      </c>
      <c r="D246" s="4829" t="s">
        <v>2419</v>
      </c>
      <c r="E246" s="4829" t="s">
        <v>48</v>
      </c>
      <c r="F246" s="4829" t="s">
        <v>2420</v>
      </c>
      <c r="G246" s="4829" t="s">
        <v>22</v>
      </c>
      <c r="H246" s="4829" t="s">
        <v>22</v>
      </c>
      <c r="I246" s="4829" t="s">
        <v>849</v>
      </c>
    </row>
    <row customHeight="1" ht="11.25">
      <c r="A247" s="4829" t="s">
        <v>2375</v>
      </c>
      <c r="B247" s="4829" t="s">
        <v>16</v>
      </c>
      <c r="C247" s="4829" t="s">
        <v>2982</v>
      </c>
      <c r="D247" s="4829" t="s">
        <v>2983</v>
      </c>
      <c r="E247" s="4829" t="s">
        <v>2984</v>
      </c>
      <c r="F247" s="4829" t="s">
        <v>2737</v>
      </c>
      <c r="G247" s="4829" t="s">
        <v>22</v>
      </c>
      <c r="H247" s="4829" t="s">
        <v>22</v>
      </c>
      <c r="I247" s="4829" t="s">
        <v>849</v>
      </c>
    </row>
    <row customHeight="1" ht="11.25">
      <c r="A248" s="4829" t="s">
        <v>2375</v>
      </c>
      <c r="B248" s="4829" t="s">
        <v>16</v>
      </c>
      <c r="C248" s="4829" t="s">
        <v>2421</v>
      </c>
      <c r="D248" s="4829" t="s">
        <v>2422</v>
      </c>
      <c r="E248" s="4829" t="s">
        <v>2423</v>
      </c>
      <c r="F248" s="4829" t="s">
        <v>2384</v>
      </c>
      <c r="G248" s="4829" t="s">
        <v>22</v>
      </c>
      <c r="H248" s="4829" t="s">
        <v>22</v>
      </c>
      <c r="I248" s="4829" t="s">
        <v>849</v>
      </c>
    </row>
    <row customHeight="1" ht="11.25">
      <c r="A249" s="4829" t="s">
        <v>2375</v>
      </c>
      <c r="B249" s="4829" t="s">
        <v>16</v>
      </c>
      <c r="C249" s="4829" t="s">
        <v>2424</v>
      </c>
      <c r="D249" s="4829" t="s">
        <v>2425</v>
      </c>
      <c r="E249" s="4829" t="s">
        <v>2426</v>
      </c>
      <c r="F249" s="4829" t="s">
        <v>2427</v>
      </c>
      <c r="G249" s="4829" t="s">
        <v>2428</v>
      </c>
      <c r="H249" s="4829" t="s">
        <v>22</v>
      </c>
      <c r="I249" s="4829" t="s">
        <v>849</v>
      </c>
    </row>
    <row customHeight="1" ht="11.25">
      <c r="A250" s="4829" t="s">
        <v>2375</v>
      </c>
      <c r="B250" s="4829" t="s">
        <v>16</v>
      </c>
      <c r="C250" s="4829" t="s">
        <v>2433</v>
      </c>
      <c r="D250" s="4829" t="s">
        <v>2434</v>
      </c>
      <c r="E250" s="4829" t="s">
        <v>2435</v>
      </c>
      <c r="F250" s="4829" t="s">
        <v>2436</v>
      </c>
      <c r="G250" s="4829" t="s">
        <v>22</v>
      </c>
      <c r="H250" s="4829" t="s">
        <v>22</v>
      </c>
      <c r="I250" s="4829" t="s">
        <v>849</v>
      </c>
    </row>
    <row customHeight="1" ht="11.25">
      <c r="A251" s="4829" t="s">
        <v>2375</v>
      </c>
      <c r="B251" s="4829" t="s">
        <v>16</v>
      </c>
      <c r="C251" s="4829" t="s">
        <v>2441</v>
      </c>
      <c r="D251" s="4829" t="s">
        <v>2442</v>
      </c>
      <c r="E251" s="4829" t="s">
        <v>2443</v>
      </c>
      <c r="F251" s="4829" t="s">
        <v>2427</v>
      </c>
      <c r="G251" s="4829" t="s">
        <v>22</v>
      </c>
      <c r="H251" s="4829" t="s">
        <v>22</v>
      </c>
      <c r="I251" s="4829" t="s">
        <v>849</v>
      </c>
    </row>
    <row customHeight="1" ht="11.25">
      <c r="A252" s="4829" t="s">
        <v>2375</v>
      </c>
      <c r="B252" s="4829" t="s">
        <v>16</v>
      </c>
      <c r="C252" s="4829" t="s">
        <v>2985</v>
      </c>
      <c r="D252" s="4829" t="s">
        <v>2986</v>
      </c>
      <c r="E252" s="4829" t="s">
        <v>2987</v>
      </c>
      <c r="F252" s="4829" t="s">
        <v>2534</v>
      </c>
      <c r="G252" s="4829" t="s">
        <v>22</v>
      </c>
      <c r="H252" s="4829" t="s">
        <v>22</v>
      </c>
      <c r="I252" s="4829" t="s">
        <v>849</v>
      </c>
    </row>
    <row customHeight="1" ht="11.25">
      <c r="A253" s="4829" t="s">
        <v>2375</v>
      </c>
      <c r="B253" s="4829" t="s">
        <v>16</v>
      </c>
      <c r="C253" s="4829" t="s">
        <v>2455</v>
      </c>
      <c r="D253" s="4829" t="s">
        <v>2456</v>
      </c>
      <c r="E253" s="4829" t="s">
        <v>2457</v>
      </c>
      <c r="F253" s="4829" t="s">
        <v>2458</v>
      </c>
      <c r="G253" s="4829" t="s">
        <v>22</v>
      </c>
      <c r="H253" s="4829" t="s">
        <v>22</v>
      </c>
      <c r="I253" s="4829" t="s">
        <v>849</v>
      </c>
    </row>
    <row customHeight="1" ht="11.25">
      <c r="A254" s="4829" t="s">
        <v>2375</v>
      </c>
      <c r="B254" s="4829" t="s">
        <v>16</v>
      </c>
      <c r="C254" s="4829" t="s">
        <v>2459</v>
      </c>
      <c r="D254" s="4829" t="s">
        <v>2460</v>
      </c>
      <c r="E254" s="4829" t="s">
        <v>2461</v>
      </c>
      <c r="F254" s="4829" t="s">
        <v>2462</v>
      </c>
      <c r="G254" s="4829" t="s">
        <v>22</v>
      </c>
      <c r="H254" s="4829" t="s">
        <v>22</v>
      </c>
      <c r="I254" s="4829" t="s">
        <v>849</v>
      </c>
    </row>
    <row customHeight="1" ht="11.25">
      <c r="A255" s="4829" t="s">
        <v>2375</v>
      </c>
      <c r="B255" s="4829" t="s">
        <v>16</v>
      </c>
      <c r="C255" s="4829" t="s">
        <v>2988</v>
      </c>
      <c r="D255" s="4829" t="s">
        <v>2989</v>
      </c>
      <c r="E255" s="4829" t="s">
        <v>2990</v>
      </c>
      <c r="F255" s="4829" t="s">
        <v>570</v>
      </c>
      <c r="G255" s="4829" t="s">
        <v>2991</v>
      </c>
      <c r="H255" s="4829" t="s">
        <v>22</v>
      </c>
      <c r="I255" s="4829" t="s">
        <v>849</v>
      </c>
    </row>
    <row customHeight="1" ht="11.25">
      <c r="A256" s="4829" t="s">
        <v>2375</v>
      </c>
      <c r="B256" s="4829" t="s">
        <v>16</v>
      </c>
      <c r="C256" s="4829" t="s">
        <v>2992</v>
      </c>
      <c r="D256" s="4829" t="s">
        <v>2993</v>
      </c>
      <c r="E256" s="4829" t="s">
        <v>2994</v>
      </c>
      <c r="F256" s="4829" t="s">
        <v>570</v>
      </c>
      <c r="G256" s="4829" t="s">
        <v>2995</v>
      </c>
      <c r="H256" s="4829" t="s">
        <v>22</v>
      </c>
      <c r="I256" s="4829" t="s">
        <v>849</v>
      </c>
    </row>
    <row customHeight="1" ht="11.25">
      <c r="A257" s="4829" t="s">
        <v>2375</v>
      </c>
      <c r="B257" s="4829" t="s">
        <v>16</v>
      </c>
      <c r="C257" s="4829" t="s">
        <v>2996</v>
      </c>
      <c r="D257" s="4829" t="s">
        <v>2997</v>
      </c>
      <c r="E257" s="4829" t="s">
        <v>2998</v>
      </c>
      <c r="F257" s="4829" t="s">
        <v>570</v>
      </c>
      <c r="G257" s="4829" t="s">
        <v>22</v>
      </c>
      <c r="H257" s="4829" t="s">
        <v>22</v>
      </c>
      <c r="I257" s="4829" t="s">
        <v>849</v>
      </c>
    </row>
    <row customHeight="1" ht="11.25">
      <c r="A258" s="4829" t="s">
        <v>2375</v>
      </c>
      <c r="B258" s="4829" t="s">
        <v>16</v>
      </c>
      <c r="C258" s="4829" t="s">
        <v>2999</v>
      </c>
      <c r="D258" s="4829" t="s">
        <v>3000</v>
      </c>
      <c r="E258" s="4829" t="s">
        <v>3001</v>
      </c>
      <c r="F258" s="4829" t="s">
        <v>570</v>
      </c>
      <c r="G258" s="4829" t="s">
        <v>22</v>
      </c>
      <c r="H258" s="4829" t="s">
        <v>22</v>
      </c>
      <c r="I258" s="4829" t="s">
        <v>849</v>
      </c>
    </row>
    <row customHeight="1" ht="11.25">
      <c r="A259" s="4829" t="s">
        <v>2375</v>
      </c>
      <c r="B259" s="4829" t="s">
        <v>16</v>
      </c>
      <c r="C259" s="4829" t="s">
        <v>2470</v>
      </c>
      <c r="D259" s="4829" t="s">
        <v>2471</v>
      </c>
      <c r="E259" s="4829" t="s">
        <v>2472</v>
      </c>
      <c r="F259" s="4829" t="s">
        <v>50</v>
      </c>
      <c r="G259" s="4829" t="s">
        <v>2473</v>
      </c>
      <c r="H259" s="4829" t="s">
        <v>22</v>
      </c>
      <c r="I259" s="4829" t="s">
        <v>849</v>
      </c>
    </row>
    <row customHeight="1" ht="11.25">
      <c r="A260" s="4829" t="s">
        <v>2375</v>
      </c>
      <c r="B260" s="4829" t="s">
        <v>16</v>
      </c>
      <c r="C260" s="4829" t="s">
        <v>22</v>
      </c>
      <c r="D260" s="4829" t="s">
        <v>2474</v>
      </c>
      <c r="E260" s="4829" t="s">
        <v>2475</v>
      </c>
      <c r="F260" s="4829" t="s">
        <v>50</v>
      </c>
      <c r="G260" s="4829" t="s">
        <v>22</v>
      </c>
      <c r="H260" s="4829" t="s">
        <v>22</v>
      </c>
      <c r="I260" s="4829" t="s">
        <v>849</v>
      </c>
    </row>
    <row customHeight="1" ht="11.25">
      <c r="A261" s="4829" t="s">
        <v>2375</v>
      </c>
      <c r="B261" s="4829" t="s">
        <v>16</v>
      </c>
      <c r="C261" s="4829" t="s">
        <v>3002</v>
      </c>
      <c r="D261" s="4829" t="s">
        <v>3003</v>
      </c>
      <c r="E261" s="4829" t="s">
        <v>3004</v>
      </c>
      <c r="F261" s="4829" t="s">
        <v>2497</v>
      </c>
      <c r="G261" s="4829" t="s">
        <v>3005</v>
      </c>
      <c r="H261" s="4829" t="s">
        <v>22</v>
      </c>
      <c r="I261" s="4829" t="s">
        <v>849</v>
      </c>
    </row>
    <row customHeight="1" ht="11.25">
      <c r="A262" s="4829" t="s">
        <v>2375</v>
      </c>
      <c r="B262" s="4829" t="s">
        <v>16</v>
      </c>
      <c r="C262" s="4829" t="s">
        <v>2476</v>
      </c>
      <c r="D262" s="4829" t="s">
        <v>2477</v>
      </c>
      <c r="E262" s="4829" t="s">
        <v>2478</v>
      </c>
      <c r="F262" s="4829" t="s">
        <v>2479</v>
      </c>
      <c r="G262" s="4829" t="s">
        <v>2480</v>
      </c>
      <c r="H262" s="4829" t="s">
        <v>22</v>
      </c>
      <c r="I262" s="4829" t="s">
        <v>849</v>
      </c>
    </row>
    <row customHeight="1" ht="11.25">
      <c r="A263" s="4829" t="s">
        <v>2375</v>
      </c>
      <c r="B263" s="4829" t="s">
        <v>16</v>
      </c>
      <c r="C263" s="4829" t="s">
        <v>3006</v>
      </c>
      <c r="D263" s="4829" t="s">
        <v>3007</v>
      </c>
      <c r="E263" s="4829" t="s">
        <v>3008</v>
      </c>
      <c r="F263" s="4829" t="s">
        <v>2526</v>
      </c>
      <c r="G263" s="4829" t="s">
        <v>3009</v>
      </c>
      <c r="H263" s="4829" t="s">
        <v>22</v>
      </c>
      <c r="I263" s="4829" t="s">
        <v>849</v>
      </c>
    </row>
    <row customHeight="1" ht="11.25">
      <c r="A264" s="4829" t="s">
        <v>2375</v>
      </c>
      <c r="B264" s="4829" t="s">
        <v>16</v>
      </c>
      <c r="C264" s="4829" t="s">
        <v>2481</v>
      </c>
      <c r="D264" s="4829" t="s">
        <v>2482</v>
      </c>
      <c r="E264" s="4829" t="s">
        <v>2483</v>
      </c>
      <c r="F264" s="4829" t="s">
        <v>2484</v>
      </c>
      <c r="G264" s="4829" t="s">
        <v>22</v>
      </c>
      <c r="H264" s="4829" t="s">
        <v>22</v>
      </c>
      <c r="I264" s="4829" t="s">
        <v>849</v>
      </c>
    </row>
    <row customHeight="1" ht="11.25">
      <c r="A265" s="4829" t="s">
        <v>2375</v>
      </c>
      <c r="B265" s="4829" t="s">
        <v>16</v>
      </c>
      <c r="C265" s="4829" t="s">
        <v>2485</v>
      </c>
      <c r="D265" s="4829" t="s">
        <v>2486</v>
      </c>
      <c r="E265" s="4829" t="s">
        <v>2487</v>
      </c>
      <c r="F265" s="4829" t="s">
        <v>2488</v>
      </c>
      <c r="G265" s="4829" t="s">
        <v>2489</v>
      </c>
      <c r="H265" s="4829" t="s">
        <v>22</v>
      </c>
      <c r="I265" s="4829" t="s">
        <v>849</v>
      </c>
    </row>
    <row customHeight="1" ht="11.25">
      <c r="A266" s="4829" t="s">
        <v>2375</v>
      </c>
      <c r="B266" s="4829" t="s">
        <v>16</v>
      </c>
      <c r="C266" s="4829" t="s">
        <v>3010</v>
      </c>
      <c r="D266" s="4829" t="s">
        <v>3011</v>
      </c>
      <c r="E266" s="4829" t="s">
        <v>3012</v>
      </c>
      <c r="F266" s="4829" t="s">
        <v>2488</v>
      </c>
      <c r="G266" s="4829" t="s">
        <v>3013</v>
      </c>
      <c r="H266" s="4829" t="s">
        <v>22</v>
      </c>
      <c r="I266" s="4829" t="s">
        <v>849</v>
      </c>
    </row>
    <row customHeight="1" ht="11.25">
      <c r="A267" s="4829" t="s">
        <v>2375</v>
      </c>
      <c r="B267" s="4829" t="s">
        <v>16</v>
      </c>
      <c r="C267" s="4829" t="s">
        <v>2494</v>
      </c>
      <c r="D267" s="4829" t="s">
        <v>2495</v>
      </c>
      <c r="E267" s="4829" t="s">
        <v>2496</v>
      </c>
      <c r="F267" s="4829" t="s">
        <v>2497</v>
      </c>
      <c r="G267" s="4829" t="s">
        <v>2498</v>
      </c>
      <c r="H267" s="4829" t="s">
        <v>22</v>
      </c>
      <c r="I267" s="4829" t="s">
        <v>849</v>
      </c>
    </row>
    <row customHeight="1" ht="11.25">
      <c r="A268" s="4829" t="s">
        <v>2375</v>
      </c>
      <c r="B268" s="4829" t="s">
        <v>16</v>
      </c>
      <c r="C268" s="4829" t="s">
        <v>2499</v>
      </c>
      <c r="D268" s="4829" t="s">
        <v>2500</v>
      </c>
      <c r="E268" s="4829" t="s">
        <v>2501</v>
      </c>
      <c r="F268" s="4829" t="s">
        <v>2436</v>
      </c>
      <c r="G268" s="4829" t="s">
        <v>22</v>
      </c>
      <c r="H268" s="4829" t="s">
        <v>22</v>
      </c>
      <c r="I268" s="4829" t="s">
        <v>849</v>
      </c>
    </row>
    <row customHeight="1" ht="11.25">
      <c r="A269" s="4829" t="s">
        <v>2375</v>
      </c>
      <c r="B269" s="4829" t="s">
        <v>16</v>
      </c>
      <c r="C269" s="4829" t="s">
        <v>2502</v>
      </c>
      <c r="D269" s="4829" t="s">
        <v>2500</v>
      </c>
      <c r="E269" s="4829" t="s">
        <v>2503</v>
      </c>
      <c r="F269" s="4829" t="s">
        <v>2458</v>
      </c>
      <c r="G269" s="4829" t="s">
        <v>2504</v>
      </c>
      <c r="H269" s="4829" t="s">
        <v>22</v>
      </c>
      <c r="I269" s="4829" t="s">
        <v>849</v>
      </c>
    </row>
    <row customHeight="1" ht="11.25">
      <c r="A270" s="4829" t="s">
        <v>2375</v>
      </c>
      <c r="B270" s="4829" t="s">
        <v>16</v>
      </c>
      <c r="C270" s="4829" t="s">
        <v>3014</v>
      </c>
      <c r="D270" s="4829" t="s">
        <v>3015</v>
      </c>
      <c r="E270" s="4829" t="s">
        <v>3016</v>
      </c>
      <c r="F270" s="4829" t="s">
        <v>2534</v>
      </c>
      <c r="G270" s="4829" t="s">
        <v>3017</v>
      </c>
      <c r="H270" s="4829" t="s">
        <v>22</v>
      </c>
      <c r="I270" s="4829" t="s">
        <v>849</v>
      </c>
    </row>
    <row customHeight="1" ht="11.25">
      <c r="A271" s="4829" t="s">
        <v>2375</v>
      </c>
      <c r="B271" s="4829" t="s">
        <v>16</v>
      </c>
      <c r="C271" s="4829" t="s">
        <v>3018</v>
      </c>
      <c r="D271" s="4829" t="s">
        <v>3019</v>
      </c>
      <c r="E271" s="4829" t="s">
        <v>3020</v>
      </c>
      <c r="F271" s="4829" t="s">
        <v>2508</v>
      </c>
      <c r="G271" s="4829" t="s">
        <v>22</v>
      </c>
      <c r="H271" s="4829" t="s">
        <v>22</v>
      </c>
      <c r="I271" s="4829" t="s">
        <v>849</v>
      </c>
    </row>
    <row customHeight="1" ht="11.25">
      <c r="A272" s="4829" t="s">
        <v>2375</v>
      </c>
      <c r="B272" s="4829" t="s">
        <v>16</v>
      </c>
      <c r="C272" s="4829" t="s">
        <v>3021</v>
      </c>
      <c r="D272" s="4829" t="s">
        <v>3022</v>
      </c>
      <c r="E272" s="4829" t="s">
        <v>3023</v>
      </c>
      <c r="F272" s="4829" t="s">
        <v>2576</v>
      </c>
      <c r="G272" s="4829" t="s">
        <v>22</v>
      </c>
      <c r="H272" s="4829" t="s">
        <v>22</v>
      </c>
      <c r="I272" s="4829" t="s">
        <v>849</v>
      </c>
    </row>
    <row customHeight="1" ht="11.25">
      <c r="A273" s="4829" t="s">
        <v>2375</v>
      </c>
      <c r="B273" s="4829" t="s">
        <v>16</v>
      </c>
      <c r="C273" s="4829" t="s">
        <v>2509</v>
      </c>
      <c r="D273" s="4829" t="s">
        <v>2510</v>
      </c>
      <c r="E273" s="4829" t="s">
        <v>2511</v>
      </c>
      <c r="F273" s="4829" t="s">
        <v>2454</v>
      </c>
      <c r="G273" s="4829" t="s">
        <v>2512</v>
      </c>
      <c r="H273" s="4829" t="s">
        <v>22</v>
      </c>
      <c r="I273" s="4829" t="s">
        <v>849</v>
      </c>
    </row>
    <row customHeight="1" ht="11.25">
      <c r="A274" s="4829" t="s">
        <v>2375</v>
      </c>
      <c r="B274" s="4829" t="s">
        <v>16</v>
      </c>
      <c r="C274" s="4829" t="s">
        <v>2513</v>
      </c>
      <c r="D274" s="4829" t="s">
        <v>2514</v>
      </c>
      <c r="E274" s="4829" t="s">
        <v>2515</v>
      </c>
      <c r="F274" s="4829" t="s">
        <v>2497</v>
      </c>
      <c r="G274" s="4829" t="s">
        <v>22</v>
      </c>
      <c r="H274" s="4829" t="s">
        <v>22</v>
      </c>
      <c r="I274" s="4829" t="s">
        <v>849</v>
      </c>
    </row>
    <row customHeight="1" ht="11.25">
      <c r="A275" s="4829" t="s">
        <v>2375</v>
      </c>
      <c r="B275" s="4829" t="s">
        <v>16</v>
      </c>
      <c r="C275" s="4829" t="s">
        <v>2520</v>
      </c>
      <c r="D275" s="4829" t="s">
        <v>2521</v>
      </c>
      <c r="E275" s="4829" t="s">
        <v>2522</v>
      </c>
      <c r="F275" s="4829" t="s">
        <v>2479</v>
      </c>
      <c r="G275" s="4829" t="s">
        <v>22</v>
      </c>
      <c r="H275" s="4829" t="s">
        <v>22</v>
      </c>
      <c r="I275" s="4829" t="s">
        <v>849</v>
      </c>
    </row>
    <row customHeight="1" ht="11.25">
      <c r="A276" s="4829" t="s">
        <v>2375</v>
      </c>
      <c r="B276" s="4829" t="s">
        <v>16</v>
      </c>
      <c r="C276" s="4829" t="s">
        <v>2523</v>
      </c>
      <c r="D276" s="4829" t="s">
        <v>2524</v>
      </c>
      <c r="E276" s="4829" t="s">
        <v>2525</v>
      </c>
      <c r="F276" s="4829" t="s">
        <v>2526</v>
      </c>
      <c r="G276" s="4829" t="s">
        <v>22</v>
      </c>
      <c r="H276" s="4829" t="s">
        <v>22</v>
      </c>
      <c r="I276" s="4829" t="s">
        <v>849</v>
      </c>
    </row>
    <row customHeight="1" ht="11.25">
      <c r="A277" s="4829" t="s">
        <v>2375</v>
      </c>
      <c r="B277" s="4829" t="s">
        <v>16</v>
      </c>
      <c r="C277" s="4829" t="s">
        <v>2527</v>
      </c>
      <c r="D277" s="4829" t="s">
        <v>2528</v>
      </c>
      <c r="E277" s="4829" t="s">
        <v>2529</v>
      </c>
      <c r="F277" s="4829" t="s">
        <v>2508</v>
      </c>
      <c r="G277" s="4829" t="s">
        <v>2530</v>
      </c>
      <c r="H277" s="4829" t="s">
        <v>22</v>
      </c>
      <c r="I277" s="4829" t="s">
        <v>849</v>
      </c>
    </row>
    <row customHeight="1" ht="11.25">
      <c r="A278" s="4829" t="s">
        <v>2375</v>
      </c>
      <c r="B278" s="4829" t="s">
        <v>16</v>
      </c>
      <c r="C278" s="4829" t="s">
        <v>2531</v>
      </c>
      <c r="D278" s="4829" t="s">
        <v>2532</v>
      </c>
      <c r="E278" s="4829" t="s">
        <v>2533</v>
      </c>
      <c r="F278" s="4829" t="s">
        <v>2534</v>
      </c>
      <c r="G278" s="4829" t="s">
        <v>22</v>
      </c>
      <c r="H278" s="4829" t="s">
        <v>22</v>
      </c>
      <c r="I278" s="4829" t="s">
        <v>849</v>
      </c>
    </row>
    <row customHeight="1" ht="11.25">
      <c r="A279" s="4829" t="s">
        <v>2375</v>
      </c>
      <c r="B279" s="4829" t="s">
        <v>16</v>
      </c>
      <c r="C279" s="4829" t="s">
        <v>2535</v>
      </c>
      <c r="D279" s="4829" t="s">
        <v>2536</v>
      </c>
      <c r="E279" s="4829" t="s">
        <v>2537</v>
      </c>
      <c r="F279" s="4829" t="s">
        <v>2534</v>
      </c>
      <c r="G279" s="4829" t="s">
        <v>2538</v>
      </c>
      <c r="H279" s="4829" t="s">
        <v>22</v>
      </c>
      <c r="I279" s="4829" t="s">
        <v>849</v>
      </c>
    </row>
    <row customHeight="1" ht="11.25">
      <c r="A280" s="4829" t="s">
        <v>2375</v>
      </c>
      <c r="B280" s="4829" t="s">
        <v>16</v>
      </c>
      <c r="C280" s="4829" t="s">
        <v>2539</v>
      </c>
      <c r="D280" s="4829" t="s">
        <v>2540</v>
      </c>
      <c r="E280" s="4829" t="s">
        <v>2541</v>
      </c>
      <c r="F280" s="4829" t="s">
        <v>2508</v>
      </c>
      <c r="G280" s="4829" t="s">
        <v>22</v>
      </c>
      <c r="H280" s="4829" t="s">
        <v>22</v>
      </c>
      <c r="I280" s="4829" t="s">
        <v>849</v>
      </c>
    </row>
    <row customHeight="1" ht="11.25">
      <c r="A281" s="4829" t="s">
        <v>2375</v>
      </c>
      <c r="B281" s="4829" t="s">
        <v>16</v>
      </c>
      <c r="C281" s="4829" t="s">
        <v>2542</v>
      </c>
      <c r="D281" s="4829" t="s">
        <v>2543</v>
      </c>
      <c r="E281" s="4829" t="s">
        <v>2544</v>
      </c>
      <c r="F281" s="4829" t="s">
        <v>2545</v>
      </c>
      <c r="G281" s="4829" t="s">
        <v>2546</v>
      </c>
      <c r="H281" s="4829" t="s">
        <v>22</v>
      </c>
      <c r="I281" s="4829" t="s">
        <v>849</v>
      </c>
    </row>
    <row customHeight="1" ht="11.25">
      <c r="A282" s="4829" t="s">
        <v>2375</v>
      </c>
      <c r="B282" s="4829" t="s">
        <v>16</v>
      </c>
      <c r="C282" s="4829" t="s">
        <v>3024</v>
      </c>
      <c r="D282" s="4829" t="s">
        <v>3025</v>
      </c>
      <c r="E282" s="4829" t="s">
        <v>3026</v>
      </c>
      <c r="F282" s="4829" t="s">
        <v>2508</v>
      </c>
      <c r="G282" s="4829" t="s">
        <v>3027</v>
      </c>
      <c r="H282" s="4829" t="s">
        <v>22</v>
      </c>
      <c r="I282" s="4829" t="s">
        <v>849</v>
      </c>
    </row>
    <row customHeight="1" ht="11.25">
      <c r="A283" s="4829" t="s">
        <v>2375</v>
      </c>
      <c r="B283" s="4829" t="s">
        <v>16</v>
      </c>
      <c r="C283" s="4829" t="s">
        <v>3028</v>
      </c>
      <c r="D283" s="4829" t="s">
        <v>3029</v>
      </c>
      <c r="E283" s="4829" t="s">
        <v>3030</v>
      </c>
      <c r="F283" s="4829" t="s">
        <v>2545</v>
      </c>
      <c r="G283" s="4829" t="s">
        <v>3031</v>
      </c>
      <c r="H283" s="4829" t="s">
        <v>22</v>
      </c>
      <c r="I283" s="4829" t="s">
        <v>849</v>
      </c>
    </row>
    <row customHeight="1" ht="11.25">
      <c r="A284" s="4829" t="s">
        <v>2375</v>
      </c>
      <c r="B284" s="4829" t="s">
        <v>16</v>
      </c>
      <c r="C284" s="4829" t="s">
        <v>2551</v>
      </c>
      <c r="D284" s="4829" t="s">
        <v>2552</v>
      </c>
      <c r="E284" s="4829" t="s">
        <v>2553</v>
      </c>
      <c r="F284" s="4829" t="s">
        <v>2554</v>
      </c>
      <c r="G284" s="4829" t="s">
        <v>22</v>
      </c>
      <c r="H284" s="4829" t="s">
        <v>22</v>
      </c>
      <c r="I284" s="4829" t="s">
        <v>849</v>
      </c>
    </row>
    <row customHeight="1" ht="11.25">
      <c r="A285" s="4829" t="s">
        <v>2375</v>
      </c>
      <c r="B285" s="4829" t="s">
        <v>16</v>
      </c>
      <c r="C285" s="4829" t="s">
        <v>3032</v>
      </c>
      <c r="D285" s="4829" t="s">
        <v>3033</v>
      </c>
      <c r="E285" s="4829" t="s">
        <v>3034</v>
      </c>
      <c r="F285" s="4829" t="s">
        <v>2545</v>
      </c>
      <c r="G285" s="4829" t="s">
        <v>22</v>
      </c>
      <c r="H285" s="4829" t="s">
        <v>22</v>
      </c>
      <c r="I285" s="4829" t="s">
        <v>849</v>
      </c>
    </row>
    <row customHeight="1" ht="11.25">
      <c r="A286" s="4829" t="s">
        <v>2375</v>
      </c>
      <c r="B286" s="4829" t="s">
        <v>16</v>
      </c>
      <c r="C286" s="4829" t="s">
        <v>2559</v>
      </c>
      <c r="D286" s="4829" t="s">
        <v>2560</v>
      </c>
      <c r="E286" s="4829" t="s">
        <v>2561</v>
      </c>
      <c r="F286" s="4829" t="s">
        <v>2545</v>
      </c>
      <c r="G286" s="4829" t="s">
        <v>2562</v>
      </c>
      <c r="H286" s="4829" t="s">
        <v>22</v>
      </c>
      <c r="I286" s="4829" t="s">
        <v>849</v>
      </c>
    </row>
    <row customHeight="1" ht="11.25">
      <c r="A287" s="4829" t="s">
        <v>2375</v>
      </c>
      <c r="B287" s="4829" t="s">
        <v>16</v>
      </c>
      <c r="C287" s="4829" t="s">
        <v>2563</v>
      </c>
      <c r="D287" s="4829" t="s">
        <v>2564</v>
      </c>
      <c r="E287" s="4829" t="s">
        <v>2565</v>
      </c>
      <c r="F287" s="4829" t="s">
        <v>2534</v>
      </c>
      <c r="G287" s="4829" t="s">
        <v>2566</v>
      </c>
      <c r="H287" s="4829" t="s">
        <v>22</v>
      </c>
      <c r="I287" s="4829" t="s">
        <v>849</v>
      </c>
    </row>
    <row customHeight="1" ht="11.25">
      <c r="A288" s="4829" t="s">
        <v>2375</v>
      </c>
      <c r="B288" s="4829" t="s">
        <v>16</v>
      </c>
      <c r="C288" s="4829" t="s">
        <v>2567</v>
      </c>
      <c r="D288" s="4829" t="s">
        <v>2568</v>
      </c>
      <c r="E288" s="4829" t="s">
        <v>2569</v>
      </c>
      <c r="F288" s="4829" t="s">
        <v>2534</v>
      </c>
      <c r="G288" s="4829" t="s">
        <v>22</v>
      </c>
      <c r="H288" s="4829" t="s">
        <v>22</v>
      </c>
      <c r="I288" s="4829" t="s">
        <v>849</v>
      </c>
    </row>
    <row customHeight="1" ht="11.25">
      <c r="A289" s="4829" t="s">
        <v>2375</v>
      </c>
      <c r="B289" s="4829" t="s">
        <v>16</v>
      </c>
      <c r="C289" s="4829" t="s">
        <v>3035</v>
      </c>
      <c r="D289" s="4829" t="s">
        <v>3036</v>
      </c>
      <c r="E289" s="4829" t="s">
        <v>3037</v>
      </c>
      <c r="F289" s="4829" t="s">
        <v>2497</v>
      </c>
      <c r="G289" s="4829" t="s">
        <v>3038</v>
      </c>
      <c r="H289" s="4829" t="s">
        <v>22</v>
      </c>
      <c r="I289" s="4829" t="s">
        <v>849</v>
      </c>
    </row>
    <row customHeight="1" ht="11.25">
      <c r="A290" s="4829" t="s">
        <v>2375</v>
      </c>
      <c r="B290" s="4829" t="s">
        <v>16</v>
      </c>
      <c r="C290" s="4829" t="s">
        <v>2570</v>
      </c>
      <c r="D290" s="4829" t="s">
        <v>2571</v>
      </c>
      <c r="E290" s="4829" t="s">
        <v>2572</v>
      </c>
      <c r="F290" s="4829" t="s">
        <v>2458</v>
      </c>
      <c r="G290" s="4829" t="s">
        <v>22</v>
      </c>
      <c r="H290" s="4829" t="s">
        <v>22</v>
      </c>
      <c r="I290" s="4829" t="s">
        <v>849</v>
      </c>
    </row>
    <row customHeight="1" ht="11.25">
      <c r="A291" s="4829" t="s">
        <v>2375</v>
      </c>
      <c r="B291" s="4829" t="s">
        <v>16</v>
      </c>
      <c r="C291" s="4829" t="s">
        <v>2577</v>
      </c>
      <c r="D291" s="4829" t="s">
        <v>2578</v>
      </c>
      <c r="E291" s="4829" t="s">
        <v>2579</v>
      </c>
      <c r="F291" s="4829" t="s">
        <v>2497</v>
      </c>
      <c r="G291" s="4829" t="s">
        <v>2580</v>
      </c>
      <c r="H291" s="4829" t="s">
        <v>22</v>
      </c>
      <c r="I291" s="4829" t="s">
        <v>849</v>
      </c>
    </row>
    <row customHeight="1" ht="11.25">
      <c r="A292" s="4829" t="s">
        <v>2375</v>
      </c>
      <c r="B292" s="4829" t="s">
        <v>16</v>
      </c>
      <c r="C292" s="4829" t="s">
        <v>2581</v>
      </c>
      <c r="D292" s="4829" t="s">
        <v>2582</v>
      </c>
      <c r="E292" s="4829" t="s">
        <v>2583</v>
      </c>
      <c r="F292" s="4829" t="s">
        <v>2534</v>
      </c>
      <c r="G292" s="4829" t="s">
        <v>2584</v>
      </c>
      <c r="H292" s="4829" t="s">
        <v>22</v>
      </c>
      <c r="I292" s="4829" t="s">
        <v>849</v>
      </c>
    </row>
    <row customHeight="1" ht="11.25">
      <c r="A293" s="4829" t="s">
        <v>2375</v>
      </c>
      <c r="B293" s="4829" t="s">
        <v>16</v>
      </c>
      <c r="C293" s="4829" t="s">
        <v>2588</v>
      </c>
      <c r="D293" s="4829" t="s">
        <v>2589</v>
      </c>
      <c r="E293" s="4829" t="s">
        <v>2590</v>
      </c>
      <c r="F293" s="4829" t="s">
        <v>2545</v>
      </c>
      <c r="G293" s="4829" t="s">
        <v>22</v>
      </c>
      <c r="H293" s="4829" t="s">
        <v>22</v>
      </c>
      <c r="I293" s="4829" t="s">
        <v>849</v>
      </c>
    </row>
    <row customHeight="1" ht="11.25">
      <c r="A294" s="4829" t="s">
        <v>2375</v>
      </c>
      <c r="B294" s="4829" t="s">
        <v>16</v>
      </c>
      <c r="C294" s="4829" t="s">
        <v>2591</v>
      </c>
      <c r="D294" s="4829" t="s">
        <v>2592</v>
      </c>
      <c r="E294" s="4829" t="s">
        <v>2593</v>
      </c>
      <c r="F294" s="4829" t="s">
        <v>2576</v>
      </c>
      <c r="G294" s="4829" t="s">
        <v>22</v>
      </c>
      <c r="H294" s="4829" t="s">
        <v>22</v>
      </c>
      <c r="I294" s="4829" t="s">
        <v>849</v>
      </c>
    </row>
    <row customHeight="1" ht="11.25">
      <c r="A295" s="4829" t="s">
        <v>2375</v>
      </c>
      <c r="B295" s="4829" t="s">
        <v>16</v>
      </c>
      <c r="C295" s="4829" t="s">
        <v>2594</v>
      </c>
      <c r="D295" s="4829" t="s">
        <v>2595</v>
      </c>
      <c r="E295" s="4829" t="s">
        <v>2596</v>
      </c>
      <c r="F295" s="4829" t="s">
        <v>2534</v>
      </c>
      <c r="G295" s="4829" t="s">
        <v>2597</v>
      </c>
      <c r="H295" s="4829" t="s">
        <v>22</v>
      </c>
      <c r="I295" s="4829" t="s">
        <v>849</v>
      </c>
    </row>
    <row customHeight="1" ht="11.25">
      <c r="A296" s="4829" t="s">
        <v>2375</v>
      </c>
      <c r="B296" s="4829" t="s">
        <v>16</v>
      </c>
      <c r="C296" s="4829" t="s">
        <v>2602</v>
      </c>
      <c r="D296" s="4829" t="s">
        <v>2603</v>
      </c>
      <c r="E296" s="4829" t="s">
        <v>2604</v>
      </c>
      <c r="F296" s="4829" t="s">
        <v>2545</v>
      </c>
      <c r="G296" s="4829" t="s">
        <v>2605</v>
      </c>
      <c r="H296" s="4829" t="s">
        <v>22</v>
      </c>
      <c r="I296" s="4829" t="s">
        <v>849</v>
      </c>
    </row>
    <row customHeight="1" ht="11.25">
      <c r="A297" s="4829" t="s">
        <v>2375</v>
      </c>
      <c r="B297" s="4829" t="s">
        <v>16</v>
      </c>
      <c r="C297" s="4829" t="s">
        <v>2606</v>
      </c>
      <c r="D297" s="4829" t="s">
        <v>2603</v>
      </c>
      <c r="E297" s="4829" t="s">
        <v>2607</v>
      </c>
      <c r="F297" s="4829" t="s">
        <v>2436</v>
      </c>
      <c r="G297" s="4829" t="s">
        <v>2608</v>
      </c>
      <c r="H297" s="4829" t="s">
        <v>22</v>
      </c>
      <c r="I297" s="4829" t="s">
        <v>849</v>
      </c>
    </row>
    <row customHeight="1" ht="11.25">
      <c r="A298" s="4829" t="s">
        <v>2375</v>
      </c>
      <c r="B298" s="4829" t="s">
        <v>16</v>
      </c>
      <c r="C298" s="4829" t="s">
        <v>2609</v>
      </c>
      <c r="D298" s="4829" t="s">
        <v>2610</v>
      </c>
      <c r="E298" s="4829" t="s">
        <v>2611</v>
      </c>
      <c r="F298" s="4829" t="s">
        <v>2526</v>
      </c>
      <c r="G298" s="4829" t="s">
        <v>22</v>
      </c>
      <c r="H298" s="4829" t="s">
        <v>22</v>
      </c>
      <c r="I298" s="4829" t="s">
        <v>849</v>
      </c>
    </row>
    <row customHeight="1" ht="11.25">
      <c r="A299" s="4829" t="s">
        <v>2375</v>
      </c>
      <c r="B299" s="4829" t="s">
        <v>16</v>
      </c>
      <c r="C299" s="4829" t="s">
        <v>2612</v>
      </c>
      <c r="D299" s="4829" t="s">
        <v>2613</v>
      </c>
      <c r="E299" s="4829" t="s">
        <v>2614</v>
      </c>
      <c r="F299" s="4829" t="s">
        <v>2526</v>
      </c>
      <c r="G299" s="4829" t="s">
        <v>2615</v>
      </c>
      <c r="H299" s="4829" t="s">
        <v>22</v>
      </c>
      <c r="I299" s="4829" t="s">
        <v>849</v>
      </c>
    </row>
    <row customHeight="1" ht="11.25">
      <c r="A300" s="4829" t="s">
        <v>2375</v>
      </c>
      <c r="B300" s="4829" t="s">
        <v>16</v>
      </c>
      <c r="C300" s="4829" t="s">
        <v>2616</v>
      </c>
      <c r="D300" s="4829" t="s">
        <v>2617</v>
      </c>
      <c r="E300" s="4829" t="s">
        <v>2618</v>
      </c>
      <c r="F300" s="4829" t="s">
        <v>2488</v>
      </c>
      <c r="G300" s="4829" t="s">
        <v>22</v>
      </c>
      <c r="H300" s="4829" t="s">
        <v>22</v>
      </c>
      <c r="I300" s="4829" t="s">
        <v>849</v>
      </c>
    </row>
    <row customHeight="1" ht="11.25">
      <c r="A301" s="4829" t="s">
        <v>2375</v>
      </c>
      <c r="B301" s="4829" t="s">
        <v>16</v>
      </c>
      <c r="C301" s="4829" t="s">
        <v>2619</v>
      </c>
      <c r="D301" s="4829" t="s">
        <v>2620</v>
      </c>
      <c r="E301" s="4829" t="s">
        <v>2621</v>
      </c>
      <c r="F301" s="4829" t="s">
        <v>2497</v>
      </c>
      <c r="G301" s="4829" t="s">
        <v>2622</v>
      </c>
      <c r="H301" s="4829" t="s">
        <v>22</v>
      </c>
      <c r="I301" s="4829" t="s">
        <v>849</v>
      </c>
    </row>
    <row customHeight="1" ht="11.25">
      <c r="A302" s="4829" t="s">
        <v>2375</v>
      </c>
      <c r="B302" s="4829" t="s">
        <v>16</v>
      </c>
      <c r="C302" s="4829" t="s">
        <v>2623</v>
      </c>
      <c r="D302" s="4829" t="s">
        <v>2624</v>
      </c>
      <c r="E302" s="4829" t="s">
        <v>2625</v>
      </c>
      <c r="F302" s="4829" t="s">
        <v>2497</v>
      </c>
      <c r="G302" s="4829" t="s">
        <v>2626</v>
      </c>
      <c r="H302" s="4829" t="s">
        <v>22</v>
      </c>
      <c r="I302" s="4829" t="s">
        <v>849</v>
      </c>
    </row>
    <row customHeight="1" ht="11.25">
      <c r="A303" s="4829" t="s">
        <v>2375</v>
      </c>
      <c r="B303" s="4829" t="s">
        <v>16</v>
      </c>
      <c r="C303" s="4829" t="s">
        <v>2627</v>
      </c>
      <c r="D303" s="4829" t="s">
        <v>2628</v>
      </c>
      <c r="E303" s="4829" t="s">
        <v>2629</v>
      </c>
      <c r="F303" s="4829" t="s">
        <v>2488</v>
      </c>
      <c r="G303" s="4829" t="s">
        <v>2630</v>
      </c>
      <c r="H303" s="4829" t="s">
        <v>22</v>
      </c>
      <c r="I303" s="4829" t="s">
        <v>849</v>
      </c>
    </row>
    <row customHeight="1" ht="11.25">
      <c r="A304" s="4829" t="s">
        <v>2375</v>
      </c>
      <c r="B304" s="4829" t="s">
        <v>16</v>
      </c>
      <c r="C304" s="4829" t="s">
        <v>2631</v>
      </c>
      <c r="D304" s="4829" t="s">
        <v>2632</v>
      </c>
      <c r="E304" s="4829" t="s">
        <v>2633</v>
      </c>
      <c r="F304" s="4829" t="s">
        <v>2508</v>
      </c>
      <c r="G304" s="4829" t="s">
        <v>2634</v>
      </c>
      <c r="H304" s="4829" t="s">
        <v>22</v>
      </c>
      <c r="I304" s="4829" t="s">
        <v>849</v>
      </c>
    </row>
    <row customHeight="1" ht="11.25">
      <c r="A305" s="4829" t="s">
        <v>2375</v>
      </c>
      <c r="B305" s="4829" t="s">
        <v>16</v>
      </c>
      <c r="C305" s="4829" t="s">
        <v>3039</v>
      </c>
      <c r="D305" s="4829" t="s">
        <v>3040</v>
      </c>
      <c r="E305" s="4829" t="s">
        <v>3041</v>
      </c>
      <c r="F305" s="4829" t="s">
        <v>50</v>
      </c>
      <c r="G305" s="4829" t="s">
        <v>22</v>
      </c>
      <c r="H305" s="4829" t="s">
        <v>22</v>
      </c>
      <c r="I305" s="4829" t="s">
        <v>849</v>
      </c>
    </row>
    <row customHeight="1" ht="11.25">
      <c r="A306" s="4829" t="s">
        <v>2375</v>
      </c>
      <c r="B306" s="4829" t="s">
        <v>16</v>
      </c>
      <c r="C306" s="4829" t="s">
        <v>2638</v>
      </c>
      <c r="D306" s="4829" t="s">
        <v>2639</v>
      </c>
      <c r="E306" s="4829" t="s">
        <v>2640</v>
      </c>
      <c r="F306" s="4829" t="s">
        <v>2554</v>
      </c>
      <c r="G306" s="4829" t="s">
        <v>22</v>
      </c>
      <c r="H306" s="4829" t="s">
        <v>22</v>
      </c>
      <c r="I306" s="4829" t="s">
        <v>849</v>
      </c>
    </row>
    <row customHeight="1" ht="11.25">
      <c r="A307" s="4829" t="s">
        <v>2375</v>
      </c>
      <c r="B307" s="4829" t="s">
        <v>16</v>
      </c>
      <c r="C307" s="4829" t="s">
        <v>2644</v>
      </c>
      <c r="D307" s="4829" t="s">
        <v>2645</v>
      </c>
      <c r="E307" s="4829" t="s">
        <v>2646</v>
      </c>
      <c r="F307" s="4829" t="s">
        <v>2436</v>
      </c>
      <c r="G307" s="4829" t="s">
        <v>2647</v>
      </c>
      <c r="H307" s="4829" t="s">
        <v>22</v>
      </c>
      <c r="I307" s="4829" t="s">
        <v>849</v>
      </c>
    </row>
    <row customHeight="1" ht="11.25">
      <c r="A308" s="4829" t="s">
        <v>2375</v>
      </c>
      <c r="B308" s="4829" t="s">
        <v>16</v>
      </c>
      <c r="C308" s="4829" t="s">
        <v>2648</v>
      </c>
      <c r="D308" s="4829" t="s">
        <v>2649</v>
      </c>
      <c r="E308" s="4829" t="s">
        <v>2650</v>
      </c>
      <c r="F308" s="4829" t="s">
        <v>2488</v>
      </c>
      <c r="G308" s="4829" t="s">
        <v>22</v>
      </c>
      <c r="H308" s="4829" t="s">
        <v>22</v>
      </c>
      <c r="I308" s="4829" t="s">
        <v>849</v>
      </c>
    </row>
    <row customHeight="1" ht="11.25">
      <c r="A309" s="4829" t="s">
        <v>2375</v>
      </c>
      <c r="B309" s="4829" t="s">
        <v>16</v>
      </c>
      <c r="C309" s="4829" t="s">
        <v>2651</v>
      </c>
      <c r="D309" s="4829" t="s">
        <v>2652</v>
      </c>
      <c r="E309" s="4829" t="s">
        <v>2653</v>
      </c>
      <c r="F309" s="4829" t="s">
        <v>2534</v>
      </c>
      <c r="G309" s="4829" t="s">
        <v>22</v>
      </c>
      <c r="H309" s="4829" t="s">
        <v>22</v>
      </c>
      <c r="I309" s="4829" t="s">
        <v>849</v>
      </c>
    </row>
    <row customHeight="1" ht="11.25">
      <c r="A310" s="4829" t="s">
        <v>2375</v>
      </c>
      <c r="B310" s="4829" t="s">
        <v>16</v>
      </c>
      <c r="C310" s="4829" t="s">
        <v>2657</v>
      </c>
      <c r="D310" s="4829" t="s">
        <v>2658</v>
      </c>
      <c r="E310" s="4829" t="s">
        <v>2461</v>
      </c>
      <c r="F310" s="4829" t="s">
        <v>2659</v>
      </c>
      <c r="G310" s="4829" t="s">
        <v>22</v>
      </c>
      <c r="H310" s="4829" t="s">
        <v>22</v>
      </c>
      <c r="I310" s="4829" t="s">
        <v>849</v>
      </c>
    </row>
    <row customHeight="1" ht="11.25">
      <c r="A311" s="4829" t="s">
        <v>2375</v>
      </c>
      <c r="B311" s="4829" t="s">
        <v>16</v>
      </c>
      <c r="C311" s="4829" t="s">
        <v>2664</v>
      </c>
      <c r="D311" s="4829" t="s">
        <v>2665</v>
      </c>
      <c r="E311" s="4829" t="s">
        <v>2666</v>
      </c>
      <c r="F311" s="4829" t="s">
        <v>2667</v>
      </c>
      <c r="G311" s="4829" t="s">
        <v>2668</v>
      </c>
      <c r="H311" s="4829" t="s">
        <v>22</v>
      </c>
      <c r="I311" s="4829" t="s">
        <v>849</v>
      </c>
    </row>
    <row customHeight="1" ht="11.25">
      <c r="A312" s="4829" t="s">
        <v>2375</v>
      </c>
      <c r="B312" s="4829" t="s">
        <v>16</v>
      </c>
      <c r="C312" s="4829" t="s">
        <v>2669</v>
      </c>
      <c r="D312" s="4829" t="s">
        <v>2670</v>
      </c>
      <c r="E312" s="4829" t="s">
        <v>2671</v>
      </c>
      <c r="F312" s="4829" t="s">
        <v>2436</v>
      </c>
      <c r="G312" s="4829" t="s">
        <v>22</v>
      </c>
      <c r="H312" s="4829" t="s">
        <v>22</v>
      </c>
      <c r="I312" s="4829" t="s">
        <v>849</v>
      </c>
    </row>
    <row customHeight="1" ht="11.25">
      <c r="A313" s="4829" t="s">
        <v>2375</v>
      </c>
      <c r="B313" s="4829" t="s">
        <v>16</v>
      </c>
      <c r="C313" s="4829" t="s">
        <v>2672</v>
      </c>
      <c r="D313" s="4829" t="s">
        <v>2673</v>
      </c>
      <c r="E313" s="4829" t="s">
        <v>2674</v>
      </c>
      <c r="F313" s="4829" t="s">
        <v>2488</v>
      </c>
      <c r="G313" s="4829" t="s">
        <v>22</v>
      </c>
      <c r="H313" s="4829" t="s">
        <v>22</v>
      </c>
      <c r="I313" s="4829" t="s">
        <v>849</v>
      </c>
    </row>
    <row customHeight="1" ht="11.25">
      <c r="A314" s="4829" t="s">
        <v>2375</v>
      </c>
      <c r="B314" s="4829" t="s">
        <v>16</v>
      </c>
      <c r="C314" s="4829" t="s">
        <v>2675</v>
      </c>
      <c r="D314" s="4829" t="s">
        <v>2676</v>
      </c>
      <c r="E314" s="4829" t="s">
        <v>2677</v>
      </c>
      <c r="F314" s="4829" t="s">
        <v>2488</v>
      </c>
      <c r="G314" s="4829" t="s">
        <v>22</v>
      </c>
      <c r="H314" s="4829" t="s">
        <v>22</v>
      </c>
      <c r="I314" s="4829" t="s">
        <v>849</v>
      </c>
    </row>
    <row customHeight="1" ht="11.25">
      <c r="A315" s="4829" t="s">
        <v>2375</v>
      </c>
      <c r="B315" s="4829" t="s">
        <v>16</v>
      </c>
      <c r="C315" s="4829" t="s">
        <v>3042</v>
      </c>
      <c r="D315" s="4829" t="s">
        <v>3043</v>
      </c>
      <c r="E315" s="4829" t="s">
        <v>3044</v>
      </c>
      <c r="F315" s="4829" t="s">
        <v>2709</v>
      </c>
      <c r="G315" s="4829" t="s">
        <v>22</v>
      </c>
      <c r="H315" s="4829" t="s">
        <v>22</v>
      </c>
      <c r="I315" s="4829" t="s">
        <v>849</v>
      </c>
    </row>
    <row customHeight="1" ht="11.25">
      <c r="A316" s="4829" t="s">
        <v>2375</v>
      </c>
      <c r="B316" s="4829" t="s">
        <v>16</v>
      </c>
      <c r="C316" s="4829" t="s">
        <v>3045</v>
      </c>
      <c r="D316" s="4829" t="s">
        <v>3046</v>
      </c>
      <c r="E316" s="4829" t="s">
        <v>3047</v>
      </c>
      <c r="F316" s="4829" t="s">
        <v>50</v>
      </c>
      <c r="G316" s="4829" t="s">
        <v>3048</v>
      </c>
      <c r="H316" s="4829" t="s">
        <v>22</v>
      </c>
      <c r="I316" s="4829" t="s">
        <v>849</v>
      </c>
    </row>
    <row customHeight="1" ht="11.25">
      <c r="A317" s="4829" t="s">
        <v>2375</v>
      </c>
      <c r="B317" s="4829" t="s">
        <v>16</v>
      </c>
      <c r="C317" s="4829" t="s">
        <v>3049</v>
      </c>
      <c r="D317" s="4829" t="s">
        <v>3050</v>
      </c>
      <c r="E317" s="4829" t="s">
        <v>3051</v>
      </c>
      <c r="F317" s="4829" t="s">
        <v>2709</v>
      </c>
      <c r="G317" s="4829" t="s">
        <v>22</v>
      </c>
      <c r="H317" s="4829" t="s">
        <v>22</v>
      </c>
      <c r="I317" s="4829" t="s">
        <v>849</v>
      </c>
    </row>
    <row customHeight="1" ht="11.25">
      <c r="A318" s="4829" t="s">
        <v>2375</v>
      </c>
      <c r="B318" s="4829" t="s">
        <v>16</v>
      </c>
      <c r="C318" s="4829" t="s">
        <v>3052</v>
      </c>
      <c r="D318" s="4829" t="s">
        <v>3050</v>
      </c>
      <c r="E318" s="4829" t="s">
        <v>3053</v>
      </c>
      <c r="F318" s="4829" t="s">
        <v>2458</v>
      </c>
      <c r="G318" s="4829" t="s">
        <v>22</v>
      </c>
      <c r="H318" s="4829" t="s">
        <v>22</v>
      </c>
      <c r="I318" s="4829" t="s">
        <v>849</v>
      </c>
    </row>
    <row customHeight="1" ht="11.25">
      <c r="A319" s="4829" t="s">
        <v>2375</v>
      </c>
      <c r="B319" s="4829" t="s">
        <v>16</v>
      </c>
      <c r="C319" s="4829" t="s">
        <v>3054</v>
      </c>
      <c r="D319" s="4829" t="s">
        <v>3055</v>
      </c>
      <c r="E319" s="4829" t="s">
        <v>3056</v>
      </c>
      <c r="F319" s="4829" t="s">
        <v>2454</v>
      </c>
      <c r="G319" s="4829" t="s">
        <v>22</v>
      </c>
      <c r="H319" s="4829" t="s">
        <v>22</v>
      </c>
      <c r="I319" s="4829" t="s">
        <v>849</v>
      </c>
    </row>
    <row customHeight="1" ht="11.25">
      <c r="A320" s="4829" t="s">
        <v>2375</v>
      </c>
      <c r="B320" s="4829" t="s">
        <v>16</v>
      </c>
      <c r="C320" s="4829" t="s">
        <v>3057</v>
      </c>
      <c r="D320" s="4829" t="s">
        <v>3058</v>
      </c>
      <c r="E320" s="4829" t="s">
        <v>3059</v>
      </c>
      <c r="F320" s="4829" t="s">
        <v>2709</v>
      </c>
      <c r="G320" s="4829" t="s">
        <v>3060</v>
      </c>
      <c r="H320" s="4829" t="s">
        <v>22</v>
      </c>
      <c r="I320" s="4829" t="s">
        <v>849</v>
      </c>
    </row>
    <row customHeight="1" ht="11.25">
      <c r="A321" s="4829" t="s">
        <v>2375</v>
      </c>
      <c r="B321" s="4829" t="s">
        <v>16</v>
      </c>
      <c r="C321" s="4829" t="s">
        <v>3061</v>
      </c>
      <c r="D321" s="4829" t="s">
        <v>3062</v>
      </c>
      <c r="E321" s="4829" t="s">
        <v>3063</v>
      </c>
      <c r="F321" s="4829" t="s">
        <v>2488</v>
      </c>
      <c r="G321" s="4829" t="s">
        <v>3064</v>
      </c>
      <c r="H321" s="4829" t="s">
        <v>22</v>
      </c>
      <c r="I321" s="4829" t="s">
        <v>849</v>
      </c>
    </row>
    <row customHeight="1" ht="11.25">
      <c r="A322" s="4829" t="s">
        <v>2375</v>
      </c>
      <c r="B322" s="4829" t="s">
        <v>16</v>
      </c>
      <c r="C322" s="4829" t="s">
        <v>2703</v>
      </c>
      <c r="D322" s="4829" t="s">
        <v>2704</v>
      </c>
      <c r="E322" s="4829" t="s">
        <v>2705</v>
      </c>
      <c r="F322" s="4829" t="s">
        <v>2534</v>
      </c>
      <c r="G322" s="4829" t="s">
        <v>22</v>
      </c>
      <c r="H322" s="4829" t="s">
        <v>22</v>
      </c>
      <c r="I322" s="4829" t="s">
        <v>849</v>
      </c>
    </row>
    <row customHeight="1" ht="11.25">
      <c r="A323" s="4829" t="s">
        <v>2375</v>
      </c>
      <c r="B323" s="4829" t="s">
        <v>16</v>
      </c>
      <c r="C323" s="4829" t="s">
        <v>2706</v>
      </c>
      <c r="D323" s="4829" t="s">
        <v>2707</v>
      </c>
      <c r="E323" s="4829" t="s">
        <v>2708</v>
      </c>
      <c r="F323" s="4829" t="s">
        <v>2709</v>
      </c>
      <c r="G323" s="4829" t="s">
        <v>22</v>
      </c>
      <c r="H323" s="4829" t="s">
        <v>22</v>
      </c>
      <c r="I323" s="4829" t="s">
        <v>849</v>
      </c>
    </row>
    <row customHeight="1" ht="11.25">
      <c r="A324" s="4829" t="s">
        <v>2375</v>
      </c>
      <c r="B324" s="4829" t="s">
        <v>16</v>
      </c>
      <c r="C324" s="4829" t="s">
        <v>3065</v>
      </c>
      <c r="D324" s="4829" t="s">
        <v>3066</v>
      </c>
      <c r="E324" s="4829" t="s">
        <v>3067</v>
      </c>
      <c r="F324" s="4829" t="s">
        <v>2545</v>
      </c>
      <c r="G324" s="4829" t="s">
        <v>3068</v>
      </c>
      <c r="H324" s="4829" t="s">
        <v>22</v>
      </c>
      <c r="I324" s="4829" t="s">
        <v>849</v>
      </c>
    </row>
    <row customHeight="1" ht="11.25">
      <c r="A325" s="4829" t="s">
        <v>2375</v>
      </c>
      <c r="B325" s="4829" t="s">
        <v>16</v>
      </c>
      <c r="C325" s="4829" t="s">
        <v>2734</v>
      </c>
      <c r="D325" s="4829" t="s">
        <v>2735</v>
      </c>
      <c r="E325" s="4829" t="s">
        <v>2736</v>
      </c>
      <c r="F325" s="4829" t="s">
        <v>2737</v>
      </c>
      <c r="G325" s="4829" t="s">
        <v>22</v>
      </c>
      <c r="H325" s="4829" t="s">
        <v>22</v>
      </c>
      <c r="I325" s="4829" t="s">
        <v>849</v>
      </c>
    </row>
    <row customHeight="1" ht="11.25">
      <c r="A326" s="4829" t="s">
        <v>2375</v>
      </c>
      <c r="B326" s="4829" t="s">
        <v>16</v>
      </c>
      <c r="C326" s="4829" t="s">
        <v>2738</v>
      </c>
      <c r="D326" s="4829" t="s">
        <v>2739</v>
      </c>
      <c r="E326" s="4829" t="s">
        <v>2740</v>
      </c>
      <c r="F326" s="4829" t="s">
        <v>2737</v>
      </c>
      <c r="G326" s="4829" t="s">
        <v>22</v>
      </c>
      <c r="H326" s="4829" t="s">
        <v>22</v>
      </c>
      <c r="I326" s="4829" t="s">
        <v>849</v>
      </c>
    </row>
    <row customHeight="1" ht="11.25">
      <c r="A327" s="4829" t="s">
        <v>2375</v>
      </c>
      <c r="B327" s="4829" t="s">
        <v>16</v>
      </c>
      <c r="C327" s="4829" t="s">
        <v>3069</v>
      </c>
      <c r="D327" s="4829" t="s">
        <v>3070</v>
      </c>
      <c r="E327" s="4829" t="s">
        <v>3071</v>
      </c>
      <c r="F327" s="4829" t="s">
        <v>2493</v>
      </c>
      <c r="G327" s="4829" t="s">
        <v>22</v>
      </c>
      <c r="H327" s="4829" t="s">
        <v>22</v>
      </c>
      <c r="I327" s="4829" t="s">
        <v>849</v>
      </c>
    </row>
    <row customHeight="1" ht="11.25">
      <c r="A328" s="4829" t="s">
        <v>2375</v>
      </c>
      <c r="B328" s="4829" t="s">
        <v>16</v>
      </c>
      <c r="C328" s="4829" t="s">
        <v>2752</v>
      </c>
      <c r="D328" s="4829" t="s">
        <v>2753</v>
      </c>
      <c r="E328" s="4829" t="s">
        <v>2754</v>
      </c>
      <c r="F328" s="4829" t="s">
        <v>2737</v>
      </c>
      <c r="G328" s="4829" t="s">
        <v>2755</v>
      </c>
      <c r="H328" s="4829" t="s">
        <v>22</v>
      </c>
      <c r="I328" s="4829" t="s">
        <v>849</v>
      </c>
    </row>
    <row customHeight="1" ht="11.25">
      <c r="A329" s="4829" t="s">
        <v>2375</v>
      </c>
      <c r="B329" s="4829" t="s">
        <v>16</v>
      </c>
      <c r="C329" s="4829" t="s">
        <v>2756</v>
      </c>
      <c r="D329" s="4829" t="s">
        <v>2757</v>
      </c>
      <c r="E329" s="4829" t="s">
        <v>2758</v>
      </c>
      <c r="F329" s="4829" t="s">
        <v>2534</v>
      </c>
      <c r="G329" s="4829" t="s">
        <v>22</v>
      </c>
      <c r="H329" s="4829" t="s">
        <v>22</v>
      </c>
      <c r="I329" s="4829" t="s">
        <v>849</v>
      </c>
    </row>
    <row customHeight="1" ht="11.25">
      <c r="A330" s="4829" t="s">
        <v>2375</v>
      </c>
      <c r="B330" s="4829" t="s">
        <v>16</v>
      </c>
      <c r="C330" s="4829" t="s">
        <v>2759</v>
      </c>
      <c r="D330" s="4829" t="s">
        <v>2760</v>
      </c>
      <c r="E330" s="4829" t="s">
        <v>2761</v>
      </c>
      <c r="F330" s="4829" t="s">
        <v>2534</v>
      </c>
      <c r="G330" s="4829" t="s">
        <v>2762</v>
      </c>
      <c r="H330" s="4829" t="s">
        <v>22</v>
      </c>
      <c r="I330" s="4829" t="s">
        <v>849</v>
      </c>
    </row>
    <row customHeight="1" ht="11.25">
      <c r="A331" s="4829" t="s">
        <v>2375</v>
      </c>
      <c r="B331" s="4829" t="s">
        <v>16</v>
      </c>
      <c r="C331" s="4829" t="s">
        <v>2763</v>
      </c>
      <c r="D331" s="4829" t="s">
        <v>2764</v>
      </c>
      <c r="E331" s="4829" t="s">
        <v>2765</v>
      </c>
      <c r="F331" s="4829" t="s">
        <v>2534</v>
      </c>
      <c r="G331" s="4829" t="s">
        <v>22</v>
      </c>
      <c r="H331" s="4829" t="s">
        <v>22</v>
      </c>
      <c r="I331" s="4829" t="s">
        <v>849</v>
      </c>
    </row>
    <row customHeight="1" ht="11.25">
      <c r="A332" s="4829" t="s">
        <v>2375</v>
      </c>
      <c r="B332" s="4829" t="s">
        <v>16</v>
      </c>
      <c r="C332" s="4829" t="s">
        <v>2769</v>
      </c>
      <c r="D332" s="4829" t="s">
        <v>2770</v>
      </c>
      <c r="E332" s="4829" t="s">
        <v>2771</v>
      </c>
      <c r="F332" s="4829" t="s">
        <v>2545</v>
      </c>
      <c r="G332" s="4829" t="s">
        <v>2772</v>
      </c>
      <c r="H332" s="4829" t="s">
        <v>22</v>
      </c>
      <c r="I332" s="4829" t="s">
        <v>849</v>
      </c>
    </row>
    <row customHeight="1" ht="11.25">
      <c r="A333" s="4829" t="s">
        <v>2375</v>
      </c>
      <c r="B333" s="4829" t="s">
        <v>16</v>
      </c>
      <c r="C333" s="4829" t="s">
        <v>2968</v>
      </c>
      <c r="D333" s="4829" t="s">
        <v>2969</v>
      </c>
      <c r="E333" s="4829" t="s">
        <v>2970</v>
      </c>
      <c r="F333" s="4829" t="s">
        <v>2436</v>
      </c>
      <c r="G333" s="4829" t="s">
        <v>22</v>
      </c>
      <c r="H333" s="4829" t="s">
        <v>22</v>
      </c>
      <c r="I333" s="4829" t="s">
        <v>849</v>
      </c>
    </row>
    <row customHeight="1" ht="11.25">
      <c r="A334" s="4829" t="s">
        <v>2375</v>
      </c>
      <c r="B334" s="4829" t="s">
        <v>16</v>
      </c>
      <c r="C334" s="4829" t="s">
        <v>3072</v>
      </c>
      <c r="D334" s="4829" t="s">
        <v>3073</v>
      </c>
      <c r="E334" s="4829" t="s">
        <v>3074</v>
      </c>
      <c r="F334" s="4829" t="s">
        <v>2534</v>
      </c>
      <c r="G334" s="4829" t="s">
        <v>22</v>
      </c>
      <c r="H334" s="4829" t="s">
        <v>22</v>
      </c>
      <c r="I334" s="4829" t="s">
        <v>849</v>
      </c>
    </row>
    <row customHeight="1" ht="11.25">
      <c r="A335" s="4829" t="s">
        <v>2375</v>
      </c>
      <c r="B335" s="4829" t="s">
        <v>16</v>
      </c>
      <c r="C335" s="4829" t="s">
        <v>3075</v>
      </c>
      <c r="D335" s="4829" t="s">
        <v>3076</v>
      </c>
      <c r="E335" s="4829" t="s">
        <v>3077</v>
      </c>
      <c r="F335" s="4829" t="s">
        <v>2534</v>
      </c>
      <c r="G335" s="4829" t="s">
        <v>22</v>
      </c>
      <c r="H335" s="4829" t="s">
        <v>22</v>
      </c>
      <c r="I335" s="4829" t="s">
        <v>849</v>
      </c>
    </row>
    <row customHeight="1" ht="11.25">
      <c r="A336" s="4829" t="s">
        <v>2375</v>
      </c>
      <c r="B336" s="4829" t="s">
        <v>16</v>
      </c>
      <c r="C336" s="4829" t="s">
        <v>2776</v>
      </c>
      <c r="D336" s="4829" t="s">
        <v>2777</v>
      </c>
      <c r="E336" s="4829" t="s">
        <v>2778</v>
      </c>
      <c r="F336" s="4829" t="s">
        <v>2709</v>
      </c>
      <c r="G336" s="4829" t="s">
        <v>22</v>
      </c>
      <c r="H336" s="4829" t="s">
        <v>22</v>
      </c>
      <c r="I336" s="4829" t="s">
        <v>849</v>
      </c>
    </row>
    <row customHeight="1" ht="11.25">
      <c r="A337" s="4829" t="s">
        <v>2375</v>
      </c>
      <c r="B337" s="4829" t="s">
        <v>16</v>
      </c>
      <c r="C337" s="4829" t="s">
        <v>2779</v>
      </c>
      <c r="D337" s="4829" t="s">
        <v>2780</v>
      </c>
      <c r="E337" s="4829" t="s">
        <v>2781</v>
      </c>
      <c r="F337" s="4829" t="s">
        <v>2709</v>
      </c>
      <c r="G337" s="4829" t="s">
        <v>22</v>
      </c>
      <c r="H337" s="4829" t="s">
        <v>22</v>
      </c>
      <c r="I337" s="4829" t="s">
        <v>849</v>
      </c>
    </row>
    <row customHeight="1" ht="11.25">
      <c r="A338" s="4829" t="s">
        <v>2375</v>
      </c>
      <c r="B338" s="4829" t="s">
        <v>16</v>
      </c>
      <c r="C338" s="4829" t="s">
        <v>2790</v>
      </c>
      <c r="D338" s="4829" t="s">
        <v>2791</v>
      </c>
      <c r="E338" s="4829" t="s">
        <v>2792</v>
      </c>
      <c r="F338" s="4829" t="s">
        <v>2458</v>
      </c>
      <c r="G338" s="4829" t="s">
        <v>22</v>
      </c>
      <c r="H338" s="4829" t="s">
        <v>22</v>
      </c>
      <c r="I338" s="4829" t="s">
        <v>849</v>
      </c>
    </row>
    <row customHeight="1" ht="11.25">
      <c r="A339" s="4829" t="s">
        <v>2375</v>
      </c>
      <c r="B339" s="4829" t="s">
        <v>16</v>
      </c>
      <c r="C339" s="4829" t="s">
        <v>3078</v>
      </c>
      <c r="D339" s="4829" t="s">
        <v>3079</v>
      </c>
      <c r="E339" s="4829" t="s">
        <v>3080</v>
      </c>
      <c r="F339" s="4829" t="s">
        <v>2545</v>
      </c>
      <c r="G339" s="4829" t="s">
        <v>3081</v>
      </c>
      <c r="H339" s="4829" t="s">
        <v>22</v>
      </c>
      <c r="I339" s="4829" t="s">
        <v>849</v>
      </c>
    </row>
    <row customHeight="1" ht="11.25">
      <c r="A340" s="4829" t="s">
        <v>2375</v>
      </c>
      <c r="B340" s="4829" t="s">
        <v>16</v>
      </c>
      <c r="C340" s="4829" t="s">
        <v>3082</v>
      </c>
      <c r="D340" s="4829" t="s">
        <v>3083</v>
      </c>
      <c r="E340" s="4829" t="s">
        <v>3084</v>
      </c>
      <c r="F340" s="4829" t="s">
        <v>2488</v>
      </c>
      <c r="G340" s="4829" t="s">
        <v>3085</v>
      </c>
      <c r="H340" s="4829" t="s">
        <v>22</v>
      </c>
      <c r="I340" s="4829" t="s">
        <v>849</v>
      </c>
    </row>
    <row customHeight="1" ht="11.25">
      <c r="A341" s="4829" t="s">
        <v>2375</v>
      </c>
      <c r="B341" s="4829" t="s">
        <v>16</v>
      </c>
      <c r="C341" s="4829" t="s">
        <v>2796</v>
      </c>
      <c r="D341" s="4829" t="s">
        <v>2797</v>
      </c>
      <c r="E341" s="4829" t="s">
        <v>2798</v>
      </c>
      <c r="F341" s="4829" t="s">
        <v>2534</v>
      </c>
      <c r="G341" s="4829" t="s">
        <v>2799</v>
      </c>
      <c r="H341" s="4829" t="s">
        <v>22</v>
      </c>
      <c r="I341" s="4829" t="s">
        <v>849</v>
      </c>
    </row>
    <row customHeight="1" ht="11.25">
      <c r="A342" s="4829" t="s">
        <v>2375</v>
      </c>
      <c r="B342" s="4829" t="s">
        <v>16</v>
      </c>
      <c r="C342" s="4829" t="s">
        <v>3086</v>
      </c>
      <c r="D342" s="4829" t="s">
        <v>3087</v>
      </c>
      <c r="E342" s="4829" t="s">
        <v>3088</v>
      </c>
      <c r="F342" s="4829" t="s">
        <v>2667</v>
      </c>
      <c r="G342" s="4829" t="s">
        <v>22</v>
      </c>
      <c r="H342" s="4829" t="s">
        <v>22</v>
      </c>
      <c r="I342" s="4829" t="s">
        <v>849</v>
      </c>
    </row>
    <row customHeight="1" ht="11.25">
      <c r="A343" s="4829" t="s">
        <v>2375</v>
      </c>
      <c r="B343" s="4829" t="s">
        <v>16</v>
      </c>
      <c r="C343" s="4829" t="s">
        <v>2807</v>
      </c>
      <c r="D343" s="4829" t="s">
        <v>2808</v>
      </c>
      <c r="E343" s="4829" t="s">
        <v>2809</v>
      </c>
      <c r="F343" s="4829" t="s">
        <v>2545</v>
      </c>
      <c r="G343" s="4829" t="s">
        <v>2810</v>
      </c>
      <c r="H343" s="4829" t="s">
        <v>22</v>
      </c>
      <c r="I343" s="4829" t="s">
        <v>849</v>
      </c>
    </row>
    <row customHeight="1" ht="11.25">
      <c r="A344" s="4829" t="s">
        <v>2375</v>
      </c>
      <c r="B344" s="4829" t="s">
        <v>16</v>
      </c>
      <c r="C344" s="4829" t="s">
        <v>2827</v>
      </c>
      <c r="D344" s="4829" t="s">
        <v>2828</v>
      </c>
      <c r="E344" s="4829" t="s">
        <v>2829</v>
      </c>
      <c r="F344" s="4829" t="s">
        <v>2534</v>
      </c>
      <c r="G344" s="4829" t="s">
        <v>22</v>
      </c>
      <c r="H344" s="4829" t="s">
        <v>22</v>
      </c>
      <c r="I344" s="4829" t="s">
        <v>849</v>
      </c>
    </row>
    <row customHeight="1" ht="11.25">
      <c r="A345" s="4829" t="s">
        <v>2375</v>
      </c>
      <c r="B345" s="4829" t="s">
        <v>16</v>
      </c>
      <c r="C345" s="4829" t="s">
        <v>2830</v>
      </c>
      <c r="D345" s="4829" t="s">
        <v>2831</v>
      </c>
      <c r="E345" s="4829" t="s">
        <v>2832</v>
      </c>
      <c r="F345" s="4829" t="s">
        <v>2479</v>
      </c>
      <c r="G345" s="4829" t="s">
        <v>22</v>
      </c>
      <c r="H345" s="4829" t="s">
        <v>22</v>
      </c>
      <c r="I345" s="4829" t="s">
        <v>849</v>
      </c>
    </row>
    <row customHeight="1" ht="11.25">
      <c r="A346" s="4829" t="s">
        <v>2375</v>
      </c>
      <c r="B346" s="4829" t="s">
        <v>16</v>
      </c>
      <c r="C346" s="4829" t="s">
        <v>2833</v>
      </c>
      <c r="D346" s="4829" t="s">
        <v>2834</v>
      </c>
      <c r="E346" s="4829" t="s">
        <v>2835</v>
      </c>
      <c r="F346" s="4829" t="s">
        <v>2785</v>
      </c>
      <c r="G346" s="4829" t="s">
        <v>22</v>
      </c>
      <c r="H346" s="4829" t="s">
        <v>22</v>
      </c>
      <c r="I346" s="4829" t="s">
        <v>849</v>
      </c>
    </row>
    <row customHeight="1" ht="11.25">
      <c r="A347" s="4829" t="s">
        <v>2375</v>
      </c>
      <c r="B347" s="4829" t="s">
        <v>16</v>
      </c>
      <c r="C347" s="4829" t="s">
        <v>2836</v>
      </c>
      <c r="D347" s="4829" t="s">
        <v>2837</v>
      </c>
      <c r="E347" s="4829" t="s">
        <v>2838</v>
      </c>
      <c r="F347" s="4829" t="s">
        <v>2493</v>
      </c>
      <c r="G347" s="4829" t="s">
        <v>2839</v>
      </c>
      <c r="H347" s="4829" t="s">
        <v>22</v>
      </c>
      <c r="I347" s="4829" t="s">
        <v>849</v>
      </c>
    </row>
    <row customHeight="1" ht="11.25">
      <c r="A348" s="4829" t="s">
        <v>2375</v>
      </c>
      <c r="B348" s="4829" t="s">
        <v>16</v>
      </c>
      <c r="C348" s="4829" t="s">
        <v>3089</v>
      </c>
      <c r="D348" s="4829" t="s">
        <v>3090</v>
      </c>
      <c r="E348" s="4829" t="s">
        <v>3091</v>
      </c>
      <c r="F348" s="4829" t="s">
        <v>2709</v>
      </c>
      <c r="G348" s="4829" t="s">
        <v>22</v>
      </c>
      <c r="H348" s="4829" t="s">
        <v>22</v>
      </c>
      <c r="I348" s="4829" t="s">
        <v>849</v>
      </c>
    </row>
    <row customHeight="1" ht="11.25">
      <c r="A349" s="4829" t="s">
        <v>2375</v>
      </c>
      <c r="B349" s="4829" t="s">
        <v>16</v>
      </c>
      <c r="C349" s="4829" t="s">
        <v>2856</v>
      </c>
      <c r="D349" s="4829" t="s">
        <v>2857</v>
      </c>
      <c r="E349" s="4829" t="s">
        <v>2858</v>
      </c>
      <c r="F349" s="4829" t="s">
        <v>2497</v>
      </c>
      <c r="G349" s="4829" t="s">
        <v>2859</v>
      </c>
      <c r="H349" s="4829" t="s">
        <v>22</v>
      </c>
      <c r="I349" s="4829" t="s">
        <v>849</v>
      </c>
    </row>
    <row customHeight="1" ht="11.25">
      <c r="A350" s="4829" t="s">
        <v>2375</v>
      </c>
      <c r="B350" s="4829" t="s">
        <v>16</v>
      </c>
      <c r="C350" s="4829" t="s">
        <v>2863</v>
      </c>
      <c r="D350" s="4829" t="s">
        <v>2864</v>
      </c>
      <c r="E350" s="4829" t="s">
        <v>2865</v>
      </c>
      <c r="F350" s="4829" t="s">
        <v>2737</v>
      </c>
      <c r="G350" s="4829" t="s">
        <v>22</v>
      </c>
      <c r="H350" s="4829" t="s">
        <v>22</v>
      </c>
      <c r="I350" s="4829" t="s">
        <v>849</v>
      </c>
    </row>
    <row customHeight="1" ht="11.25">
      <c r="A351" s="4829" t="s">
        <v>2375</v>
      </c>
      <c r="B351" s="4829" t="s">
        <v>16</v>
      </c>
      <c r="C351" s="4829" t="s">
        <v>3092</v>
      </c>
      <c r="D351" s="4829" t="s">
        <v>3093</v>
      </c>
      <c r="E351" s="4829" t="s">
        <v>3094</v>
      </c>
      <c r="F351" s="4829" t="s">
        <v>2508</v>
      </c>
      <c r="G351" s="4829" t="s">
        <v>3095</v>
      </c>
      <c r="H351" s="4829" t="s">
        <v>22</v>
      </c>
      <c r="I351" s="4829" t="s">
        <v>849</v>
      </c>
    </row>
    <row customHeight="1" ht="11.25">
      <c r="A352" s="4829" t="s">
        <v>2375</v>
      </c>
      <c r="B352" s="4829" t="s">
        <v>16</v>
      </c>
      <c r="C352" s="4829" t="s">
        <v>2870</v>
      </c>
      <c r="D352" s="4829" t="s">
        <v>2871</v>
      </c>
      <c r="E352" s="4829" t="s">
        <v>2872</v>
      </c>
      <c r="F352" s="4829" t="s">
        <v>2508</v>
      </c>
      <c r="G352" s="4829" t="s">
        <v>22</v>
      </c>
      <c r="H352" s="4829" t="s">
        <v>22</v>
      </c>
      <c r="I352" s="4829" t="s">
        <v>849</v>
      </c>
    </row>
    <row customHeight="1" ht="11.25">
      <c r="A353" s="4829" t="s">
        <v>2375</v>
      </c>
      <c r="B353" s="4829" t="s">
        <v>16</v>
      </c>
      <c r="C353" s="4829" t="s">
        <v>2873</v>
      </c>
      <c r="D353" s="4829" t="s">
        <v>2874</v>
      </c>
      <c r="E353" s="4829" t="s">
        <v>2875</v>
      </c>
      <c r="F353" s="4829" t="s">
        <v>2508</v>
      </c>
      <c r="G353" s="4829" t="s">
        <v>22</v>
      </c>
      <c r="H353" s="4829" t="s">
        <v>22</v>
      </c>
      <c r="I353" s="4829" t="s">
        <v>849</v>
      </c>
    </row>
    <row customHeight="1" ht="11.25">
      <c r="A354" s="4829" t="s">
        <v>2375</v>
      </c>
      <c r="B354" s="4829" t="s">
        <v>16</v>
      </c>
      <c r="C354" s="4829" t="s">
        <v>2876</v>
      </c>
      <c r="D354" s="4829" t="s">
        <v>2877</v>
      </c>
      <c r="E354" s="4829" t="s">
        <v>2878</v>
      </c>
      <c r="F354" s="4829" t="s">
        <v>2534</v>
      </c>
      <c r="G354" s="4829" t="s">
        <v>2879</v>
      </c>
      <c r="H354" s="4829" t="s">
        <v>22</v>
      </c>
      <c r="I354" s="4829" t="s">
        <v>849</v>
      </c>
    </row>
    <row customHeight="1" ht="11.25">
      <c r="A355" s="4829" t="s">
        <v>2375</v>
      </c>
      <c r="B355" s="4829" t="s">
        <v>16</v>
      </c>
      <c r="C355" s="4829" t="s">
        <v>2880</v>
      </c>
      <c r="D355" s="4829" t="s">
        <v>2881</v>
      </c>
      <c r="E355" s="4829" t="s">
        <v>2882</v>
      </c>
      <c r="F355" s="4829" t="s">
        <v>50</v>
      </c>
      <c r="G355" s="4829" t="s">
        <v>22</v>
      </c>
      <c r="H355" s="4829" t="s">
        <v>22</v>
      </c>
      <c r="I355" s="4829" t="s">
        <v>849</v>
      </c>
    </row>
    <row customHeight="1" ht="11.25">
      <c r="A356" s="4829" t="s">
        <v>2375</v>
      </c>
      <c r="B356" s="4829" t="s">
        <v>16</v>
      </c>
      <c r="C356" s="4829" t="s">
        <v>2883</v>
      </c>
      <c r="D356" s="4829" t="s">
        <v>2884</v>
      </c>
      <c r="E356" s="4829" t="s">
        <v>2885</v>
      </c>
      <c r="F356" s="4829" t="s">
        <v>2554</v>
      </c>
      <c r="G356" s="4829" t="s">
        <v>2886</v>
      </c>
      <c r="H356" s="4829" t="s">
        <v>22</v>
      </c>
      <c r="I356" s="4829" t="s">
        <v>849</v>
      </c>
    </row>
    <row customHeight="1" ht="11.25">
      <c r="A357" s="4829" t="s">
        <v>2375</v>
      </c>
      <c r="B357" s="4829" t="s">
        <v>16</v>
      </c>
      <c r="C357" s="4829" t="s">
        <v>2887</v>
      </c>
      <c r="D357" s="4829" t="s">
        <v>2888</v>
      </c>
      <c r="E357" s="4829" t="s">
        <v>2889</v>
      </c>
      <c r="F357" s="4829" t="s">
        <v>2488</v>
      </c>
      <c r="G357" s="4829" t="s">
        <v>2890</v>
      </c>
      <c r="H357" s="4829" t="s">
        <v>22</v>
      </c>
      <c r="I357" s="4829" t="s">
        <v>849</v>
      </c>
    </row>
    <row customHeight="1" ht="11.25">
      <c r="A358" s="4829" t="s">
        <v>2375</v>
      </c>
      <c r="B358" s="4829" t="s">
        <v>16</v>
      </c>
      <c r="C358" s="4829" t="s">
        <v>2894</v>
      </c>
      <c r="D358" s="4829" t="s">
        <v>2895</v>
      </c>
      <c r="E358" s="4829" t="s">
        <v>2896</v>
      </c>
      <c r="F358" s="4829" t="s">
        <v>2737</v>
      </c>
      <c r="G358" s="4829" t="s">
        <v>22</v>
      </c>
      <c r="H358" s="4829" t="s">
        <v>22</v>
      </c>
      <c r="I358" s="4829" t="s">
        <v>849</v>
      </c>
    </row>
    <row customHeight="1" ht="11.25">
      <c r="A359" s="4829" t="s">
        <v>2375</v>
      </c>
      <c r="B359" s="4829" t="s">
        <v>16</v>
      </c>
      <c r="C359" s="4829" t="s">
        <v>2897</v>
      </c>
      <c r="D359" s="4829" t="s">
        <v>2898</v>
      </c>
      <c r="E359" s="4829" t="s">
        <v>2899</v>
      </c>
      <c r="F359" s="4829" t="s">
        <v>2484</v>
      </c>
      <c r="G359" s="4829" t="s">
        <v>22</v>
      </c>
      <c r="H359" s="4829" t="s">
        <v>22</v>
      </c>
      <c r="I359" s="4829" t="s">
        <v>849</v>
      </c>
    </row>
    <row customHeight="1" ht="11.25">
      <c r="A360" s="4829" t="s">
        <v>2375</v>
      </c>
      <c r="B360" s="4829" t="s">
        <v>16</v>
      </c>
      <c r="C360" s="4829" t="s">
        <v>3096</v>
      </c>
      <c r="D360" s="4829" t="s">
        <v>3097</v>
      </c>
      <c r="E360" s="4829" t="s">
        <v>3098</v>
      </c>
      <c r="F360" s="4829" t="s">
        <v>2508</v>
      </c>
      <c r="G360" s="4829" t="s">
        <v>3099</v>
      </c>
      <c r="H360" s="4829" t="s">
        <v>22</v>
      </c>
      <c r="I360" s="4829" t="s">
        <v>849</v>
      </c>
    </row>
    <row customHeight="1" ht="11.25">
      <c r="A361" s="4829" t="s">
        <v>2375</v>
      </c>
      <c r="B361" s="4829" t="s">
        <v>16</v>
      </c>
      <c r="C361" s="4829" t="s">
        <v>2907</v>
      </c>
      <c r="D361" s="4829" t="s">
        <v>2908</v>
      </c>
      <c r="E361" s="4829" t="s">
        <v>2909</v>
      </c>
      <c r="F361" s="4829" t="s">
        <v>2737</v>
      </c>
      <c r="G361" s="4829" t="s">
        <v>22</v>
      </c>
      <c r="H361" s="4829" t="s">
        <v>22</v>
      </c>
      <c r="I361" s="4829" t="s">
        <v>849</v>
      </c>
    </row>
    <row customHeight="1" ht="11.25">
      <c r="A362" s="4829" t="s">
        <v>2375</v>
      </c>
      <c r="B362" s="4829" t="s">
        <v>16</v>
      </c>
      <c r="C362" s="4829" t="s">
        <v>3100</v>
      </c>
      <c r="D362" s="4829" t="s">
        <v>3101</v>
      </c>
      <c r="E362" s="4829" t="s">
        <v>3102</v>
      </c>
      <c r="F362" s="4829" t="s">
        <v>2508</v>
      </c>
      <c r="G362" s="4829" t="s">
        <v>3103</v>
      </c>
      <c r="H362" s="4829" t="s">
        <v>22</v>
      </c>
      <c r="I362" s="4829" t="s">
        <v>849</v>
      </c>
    </row>
    <row customHeight="1" ht="11.25">
      <c r="A363" s="4829" t="s">
        <v>2375</v>
      </c>
      <c r="B363" s="4829" t="s">
        <v>16</v>
      </c>
      <c r="C363" s="4829" t="s">
        <v>3104</v>
      </c>
      <c r="D363" s="4829" t="s">
        <v>3105</v>
      </c>
      <c r="E363" s="4829" t="s">
        <v>3106</v>
      </c>
      <c r="F363" s="4829" t="s">
        <v>2667</v>
      </c>
      <c r="G363" s="4829" t="s">
        <v>3107</v>
      </c>
      <c r="H363" s="4829" t="s">
        <v>22</v>
      </c>
      <c r="I363" s="4829" t="s">
        <v>849</v>
      </c>
    </row>
    <row customHeight="1" ht="11.25">
      <c r="A364" s="4829" t="s">
        <v>2375</v>
      </c>
      <c r="B364" s="4829" t="s">
        <v>16</v>
      </c>
      <c r="C364" s="4829" t="s">
        <v>3108</v>
      </c>
      <c r="D364" s="4829" t="s">
        <v>3109</v>
      </c>
      <c r="E364" s="4829" t="s">
        <v>3110</v>
      </c>
      <c r="F364" s="4829" t="s">
        <v>2427</v>
      </c>
      <c r="G364" s="4829" t="s">
        <v>3111</v>
      </c>
      <c r="H364" s="4829" t="s">
        <v>22</v>
      </c>
      <c r="I364" s="4829" t="s">
        <v>849</v>
      </c>
    </row>
    <row customHeight="1" ht="11.25">
      <c r="A365" s="4829" t="s">
        <v>2375</v>
      </c>
      <c r="B365" s="4829" t="s">
        <v>16</v>
      </c>
      <c r="C365" s="4829" t="s">
        <v>2917</v>
      </c>
      <c r="D365" s="4829" t="s">
        <v>2918</v>
      </c>
      <c r="E365" s="4829" t="s">
        <v>2919</v>
      </c>
      <c r="F365" s="4829" t="s">
        <v>2785</v>
      </c>
      <c r="G365" s="4829" t="s">
        <v>2920</v>
      </c>
      <c r="H365" s="4829" t="s">
        <v>22</v>
      </c>
      <c r="I365" s="4829" t="s">
        <v>849</v>
      </c>
    </row>
    <row customHeight="1" ht="11.25">
      <c r="A366" s="4829" t="s">
        <v>2375</v>
      </c>
      <c r="B366" s="4829" t="s">
        <v>16</v>
      </c>
      <c r="C366" s="4829" t="s">
        <v>2921</v>
      </c>
      <c r="D366" s="4829" t="s">
        <v>2922</v>
      </c>
      <c r="E366" s="4829" t="s">
        <v>2923</v>
      </c>
      <c r="F366" s="4829" t="s">
        <v>2526</v>
      </c>
      <c r="G366" s="4829" t="s">
        <v>22</v>
      </c>
      <c r="H366" s="4829" t="s">
        <v>22</v>
      </c>
      <c r="I366" s="4829" t="s">
        <v>849</v>
      </c>
    </row>
    <row customHeight="1" ht="11.25">
      <c r="A367" s="4829" t="s">
        <v>2375</v>
      </c>
      <c r="B367" s="4829" t="s">
        <v>16</v>
      </c>
      <c r="C367" s="4829" t="s">
        <v>3112</v>
      </c>
      <c r="D367" s="4829" t="s">
        <v>3113</v>
      </c>
      <c r="E367" s="4829" t="s">
        <v>2461</v>
      </c>
      <c r="F367" s="4829" t="s">
        <v>3114</v>
      </c>
      <c r="G367" s="4829" t="s">
        <v>3115</v>
      </c>
      <c r="H367" s="4829" t="s">
        <v>22</v>
      </c>
      <c r="I367" s="4829" t="s">
        <v>849</v>
      </c>
    </row>
    <row customHeight="1" ht="11.25">
      <c r="A368" s="4829" t="s">
        <v>2375</v>
      </c>
      <c r="B368" s="4829" t="s">
        <v>16</v>
      </c>
      <c r="C368" s="4829" t="s">
        <v>3116</v>
      </c>
      <c r="D368" s="4829" t="s">
        <v>3117</v>
      </c>
      <c r="E368" s="4829" t="s">
        <v>3118</v>
      </c>
      <c r="F368" s="4829" t="s">
        <v>2454</v>
      </c>
      <c r="G368" s="4829" t="s">
        <v>22</v>
      </c>
      <c r="H368" s="4829" t="s">
        <v>22</v>
      </c>
      <c r="I368" s="4829" t="s">
        <v>849</v>
      </c>
    </row>
    <row customHeight="1" ht="11.25">
      <c r="A369" s="4829" t="s">
        <v>2375</v>
      </c>
      <c r="B369" s="4829" t="s">
        <v>16</v>
      </c>
      <c r="C369" s="4829" t="s">
        <v>3119</v>
      </c>
      <c r="D369" s="4829" t="s">
        <v>3120</v>
      </c>
      <c r="E369" s="4829" t="s">
        <v>3121</v>
      </c>
      <c r="F369" s="4829" t="s">
        <v>2488</v>
      </c>
      <c r="G369" s="4829" t="s">
        <v>22</v>
      </c>
      <c r="H369" s="4829" t="s">
        <v>22</v>
      </c>
      <c r="I369" s="4829" t="s">
        <v>849</v>
      </c>
    </row>
    <row customHeight="1" ht="11.25">
      <c r="A370" s="4829" t="s">
        <v>2375</v>
      </c>
      <c r="B370" s="4829" t="s">
        <v>16</v>
      </c>
      <c r="C370" s="4829" t="s">
        <v>2924</v>
      </c>
      <c r="D370" s="4829" t="s">
        <v>2925</v>
      </c>
      <c r="E370" s="4829" t="s">
        <v>2926</v>
      </c>
      <c r="F370" s="4829" t="s">
        <v>2927</v>
      </c>
      <c r="G370" s="4829" t="s">
        <v>2928</v>
      </c>
      <c r="H370" s="4829" t="s">
        <v>22</v>
      </c>
      <c r="I370" s="4829" t="s">
        <v>849</v>
      </c>
    </row>
    <row customHeight="1" ht="11.25">
      <c r="A371" s="4829" t="s">
        <v>2375</v>
      </c>
      <c r="B371" s="4829" t="s">
        <v>16</v>
      </c>
      <c r="C371" s="4829" t="s">
        <v>2932</v>
      </c>
      <c r="D371" s="4829" t="s">
        <v>2933</v>
      </c>
      <c r="E371" s="4829" t="s">
        <v>2934</v>
      </c>
      <c r="F371" s="4829" t="s">
        <v>2526</v>
      </c>
      <c r="G371" s="4829" t="s">
        <v>22</v>
      </c>
      <c r="H371" s="4829" t="s">
        <v>22</v>
      </c>
      <c r="I371" s="4829" t="s">
        <v>849</v>
      </c>
    </row>
    <row customHeight="1" ht="11.25">
      <c r="A372" s="4829" t="s">
        <v>2375</v>
      </c>
      <c r="B372" s="4829" t="s">
        <v>16</v>
      </c>
      <c r="C372" s="4829" t="s">
        <v>2935</v>
      </c>
      <c r="D372" s="4829" t="s">
        <v>2936</v>
      </c>
      <c r="E372" s="4829" t="s">
        <v>2937</v>
      </c>
      <c r="F372" s="4829" t="s">
        <v>50</v>
      </c>
      <c r="G372" s="4829" t="s">
        <v>22</v>
      </c>
      <c r="H372" s="4829" t="s">
        <v>22</v>
      </c>
      <c r="I372" s="4829" t="s">
        <v>849</v>
      </c>
    </row>
    <row customHeight="1" ht="11.25">
      <c r="A373" s="4829" t="s">
        <v>2375</v>
      </c>
      <c r="B373" s="4829" t="s">
        <v>16</v>
      </c>
      <c r="C373" s="4829" t="s">
        <v>2938</v>
      </c>
      <c r="D373" s="4829" t="s">
        <v>2939</v>
      </c>
      <c r="E373" s="4829" t="s">
        <v>2940</v>
      </c>
      <c r="F373" s="4829" t="s">
        <v>2440</v>
      </c>
      <c r="G373" s="4829" t="s">
        <v>2941</v>
      </c>
      <c r="H373" s="4829" t="s">
        <v>22</v>
      </c>
      <c r="I373" s="4829" t="s">
        <v>849</v>
      </c>
    </row>
    <row customHeight="1" ht="11.25">
      <c r="A374" s="4829" t="s">
        <v>2375</v>
      </c>
      <c r="B374" s="4829" t="s">
        <v>16</v>
      </c>
      <c r="C374" s="4829" t="s">
        <v>2945</v>
      </c>
      <c r="D374" s="4829" t="s">
        <v>2946</v>
      </c>
      <c r="E374" s="4829" t="s">
        <v>2947</v>
      </c>
      <c r="F374" s="4829" t="s">
        <v>2948</v>
      </c>
      <c r="G374" s="4829" t="s">
        <v>22</v>
      </c>
      <c r="H374" s="4829" t="s">
        <v>22</v>
      </c>
      <c r="I374" s="4829" t="s">
        <v>849</v>
      </c>
    </row>
    <row customHeight="1" ht="11.25">
      <c r="A375" s="4829" t="s">
        <v>2375</v>
      </c>
      <c r="B375" s="4829" t="s">
        <v>16</v>
      </c>
      <c r="C375" s="4829" t="s">
        <v>2956</v>
      </c>
      <c r="D375" s="4829" t="s">
        <v>2957</v>
      </c>
      <c r="E375" s="4829" t="s">
        <v>2958</v>
      </c>
      <c r="F375" s="4829" t="s">
        <v>2959</v>
      </c>
      <c r="G375" s="4829" t="s">
        <v>2960</v>
      </c>
      <c r="H375" s="4829" t="s">
        <v>22</v>
      </c>
      <c r="I375" s="4829" t="s">
        <v>849</v>
      </c>
    </row>
    <row customHeight="1" ht="11.25">
      <c r="A376" s="4829" t="s">
        <v>2375</v>
      </c>
      <c r="B376" s="4829" t="s">
        <v>16</v>
      </c>
      <c r="C376" s="4829" t="s">
        <v>2965</v>
      </c>
      <c r="D376" s="4829" t="s">
        <v>2966</v>
      </c>
      <c r="E376" s="4829" t="s">
        <v>2967</v>
      </c>
      <c r="F376" s="4829" t="s">
        <v>2534</v>
      </c>
      <c r="G376" s="4829" t="s">
        <v>22</v>
      </c>
      <c r="H376" s="4829" t="s">
        <v>22</v>
      </c>
      <c r="I376" s="4829" t="s">
        <v>849</v>
      </c>
    </row>
    <row customHeight="1" ht="11.25">
      <c r="A377" s="4829" t="s">
        <v>2375</v>
      </c>
      <c r="B377" s="4829" t="s">
        <v>16</v>
      </c>
      <c r="C377" s="4829" t="s">
        <v>2971</v>
      </c>
      <c r="D377" s="4829" t="s">
        <v>2972</v>
      </c>
      <c r="E377" s="4829" t="s">
        <v>2973</v>
      </c>
      <c r="F377" s="4829" t="s">
        <v>2709</v>
      </c>
      <c r="G377" s="4829" t="s">
        <v>2803</v>
      </c>
      <c r="H377" s="4829" t="s">
        <v>22</v>
      </c>
      <c r="I377" s="4829" t="s">
        <v>902</v>
      </c>
    </row>
    <row customHeight="1" ht="11.25">
      <c r="A378" s="4829" t="s">
        <v>2375</v>
      </c>
      <c r="B378" s="4829" t="s">
        <v>16</v>
      </c>
      <c r="C378" s="4829" t="s">
        <v>2974</v>
      </c>
      <c r="D378" s="4829" t="s">
        <v>2975</v>
      </c>
      <c r="E378" s="4829" t="s">
        <v>2976</v>
      </c>
      <c r="F378" s="4829" t="s">
        <v>2977</v>
      </c>
      <c r="G378" s="4829" t="s">
        <v>22</v>
      </c>
      <c r="H378" s="4829" t="s">
        <v>22</v>
      </c>
      <c r="I378" s="4829" t="s">
        <v>902</v>
      </c>
    </row>
    <row customHeight="1" ht="11.25">
      <c r="A379" s="4829" t="s">
        <v>2375</v>
      </c>
      <c r="B379" s="4829" t="s">
        <v>16</v>
      </c>
      <c r="C379" s="4829" t="s">
        <v>2978</v>
      </c>
      <c r="D379" s="4829" t="s">
        <v>2979</v>
      </c>
      <c r="E379" s="4829" t="s">
        <v>2980</v>
      </c>
      <c r="F379" s="4829" t="s">
        <v>2981</v>
      </c>
      <c r="G379" s="4829" t="s">
        <v>22</v>
      </c>
      <c r="H379" s="4829" t="s">
        <v>22</v>
      </c>
      <c r="I379" s="4829" t="s">
        <v>902</v>
      </c>
    </row>
    <row customHeight="1" ht="11.25">
      <c r="A380" s="4829" t="s">
        <v>2375</v>
      </c>
      <c r="B380" s="4829" t="s">
        <v>16</v>
      </c>
      <c r="C380" s="4829" t="s">
        <v>2376</v>
      </c>
      <c r="D380" s="4829" t="s">
        <v>2377</v>
      </c>
      <c r="E380" s="4829" t="s">
        <v>2378</v>
      </c>
      <c r="F380" s="4829" t="s">
        <v>2379</v>
      </c>
      <c r="G380" s="4829" t="s">
        <v>2380</v>
      </c>
      <c r="H380" s="4829" t="s">
        <v>22</v>
      </c>
      <c r="I380" s="4829" t="s">
        <v>902</v>
      </c>
    </row>
    <row customHeight="1" ht="11.25">
      <c r="A381" s="4829" t="s">
        <v>2375</v>
      </c>
      <c r="B381" s="4829" t="s">
        <v>16</v>
      </c>
      <c r="C381" s="4829" t="s">
        <v>13</v>
      </c>
      <c r="D381" s="4829" t="s">
        <v>45</v>
      </c>
      <c r="E381" s="4829" t="s">
        <v>48</v>
      </c>
      <c r="F381" s="4829" t="s">
        <v>50</v>
      </c>
      <c r="G381" s="4829" t="s">
        <v>2385</v>
      </c>
      <c r="H381" s="4829" t="s">
        <v>22</v>
      </c>
      <c r="I381" s="4829" t="s">
        <v>902</v>
      </c>
    </row>
    <row customHeight="1" ht="11.25">
      <c r="A382" s="4829" t="s">
        <v>2375</v>
      </c>
      <c r="B382" s="4829" t="s">
        <v>16</v>
      </c>
      <c r="C382" s="4829" t="s">
        <v>2388</v>
      </c>
      <c r="D382" s="4829" t="s">
        <v>2389</v>
      </c>
      <c r="E382" s="4829" t="s">
        <v>48</v>
      </c>
      <c r="F382" s="4829" t="s">
        <v>2390</v>
      </c>
      <c r="G382" s="4829" t="s">
        <v>22</v>
      </c>
      <c r="H382" s="4829" t="s">
        <v>22</v>
      </c>
      <c r="I382" s="4829" t="s">
        <v>902</v>
      </c>
    </row>
    <row customHeight="1" ht="11.25">
      <c r="A383" s="4829" t="s">
        <v>2375</v>
      </c>
      <c r="B383" s="4829" t="s">
        <v>16</v>
      </c>
      <c r="C383" s="4829" t="s">
        <v>2400</v>
      </c>
      <c r="D383" s="4829" t="s">
        <v>2401</v>
      </c>
      <c r="E383" s="4829" t="s">
        <v>48</v>
      </c>
      <c r="F383" s="4829" t="s">
        <v>2402</v>
      </c>
      <c r="G383" s="4829" t="s">
        <v>22</v>
      </c>
      <c r="H383" s="4829" t="s">
        <v>22</v>
      </c>
      <c r="I383" s="4829" t="s">
        <v>902</v>
      </c>
    </row>
    <row customHeight="1" ht="11.25">
      <c r="A384" s="4829" t="s">
        <v>2375</v>
      </c>
      <c r="B384" s="4829" t="s">
        <v>16</v>
      </c>
      <c r="C384" s="4829" t="s">
        <v>2418</v>
      </c>
      <c r="D384" s="4829" t="s">
        <v>2419</v>
      </c>
      <c r="E384" s="4829" t="s">
        <v>48</v>
      </c>
      <c r="F384" s="4829" t="s">
        <v>2420</v>
      </c>
      <c r="G384" s="4829" t="s">
        <v>22</v>
      </c>
      <c r="H384" s="4829" t="s">
        <v>22</v>
      </c>
      <c r="I384" s="4829" t="s">
        <v>902</v>
      </c>
    </row>
    <row customHeight="1" ht="11.25">
      <c r="A385" s="4829" t="s">
        <v>2375</v>
      </c>
      <c r="B385" s="4829" t="s">
        <v>16</v>
      </c>
      <c r="C385" s="4829" t="s">
        <v>3122</v>
      </c>
      <c r="D385" s="4829" t="s">
        <v>3123</v>
      </c>
      <c r="E385" s="4829" t="s">
        <v>3124</v>
      </c>
      <c r="F385" s="4829" t="s">
        <v>2576</v>
      </c>
      <c r="G385" s="4829" t="s">
        <v>22</v>
      </c>
      <c r="H385" s="4829" t="s">
        <v>22</v>
      </c>
      <c r="I385" s="4829" t="s">
        <v>902</v>
      </c>
    </row>
    <row customHeight="1" ht="11.25">
      <c r="A386" s="4829" t="s">
        <v>2375</v>
      </c>
      <c r="B386" s="4829" t="s">
        <v>16</v>
      </c>
      <c r="C386" s="4829" t="s">
        <v>2982</v>
      </c>
      <c r="D386" s="4829" t="s">
        <v>2983</v>
      </c>
      <c r="E386" s="4829" t="s">
        <v>2984</v>
      </c>
      <c r="F386" s="4829" t="s">
        <v>2737</v>
      </c>
      <c r="G386" s="4829" t="s">
        <v>22</v>
      </c>
      <c r="H386" s="4829" t="s">
        <v>22</v>
      </c>
      <c r="I386" s="4829" t="s">
        <v>902</v>
      </c>
    </row>
    <row customHeight="1" ht="11.25">
      <c r="A387" s="4829" t="s">
        <v>2375</v>
      </c>
      <c r="B387" s="4829" t="s">
        <v>16</v>
      </c>
      <c r="C387" s="4829" t="s">
        <v>2421</v>
      </c>
      <c r="D387" s="4829" t="s">
        <v>2422</v>
      </c>
      <c r="E387" s="4829" t="s">
        <v>2423</v>
      </c>
      <c r="F387" s="4829" t="s">
        <v>2384</v>
      </c>
      <c r="G387" s="4829" t="s">
        <v>22</v>
      </c>
      <c r="H387" s="4829" t="s">
        <v>22</v>
      </c>
      <c r="I387" s="4829" t="s">
        <v>902</v>
      </c>
    </row>
    <row customHeight="1" ht="11.25">
      <c r="A388" s="4829" t="s">
        <v>2375</v>
      </c>
      <c r="B388" s="4829" t="s">
        <v>16</v>
      </c>
      <c r="C388" s="4829" t="s">
        <v>2424</v>
      </c>
      <c r="D388" s="4829" t="s">
        <v>2425</v>
      </c>
      <c r="E388" s="4829" t="s">
        <v>2426</v>
      </c>
      <c r="F388" s="4829" t="s">
        <v>2427</v>
      </c>
      <c r="G388" s="4829" t="s">
        <v>2428</v>
      </c>
      <c r="H388" s="4829" t="s">
        <v>22</v>
      </c>
      <c r="I388" s="4829" t="s">
        <v>902</v>
      </c>
    </row>
    <row customHeight="1" ht="11.25">
      <c r="A389" s="4829" t="s">
        <v>2375</v>
      </c>
      <c r="B389" s="4829" t="s">
        <v>16</v>
      </c>
      <c r="C389" s="4829" t="s">
        <v>2433</v>
      </c>
      <c r="D389" s="4829" t="s">
        <v>2434</v>
      </c>
      <c r="E389" s="4829" t="s">
        <v>2435</v>
      </c>
      <c r="F389" s="4829" t="s">
        <v>2436</v>
      </c>
      <c r="G389" s="4829" t="s">
        <v>22</v>
      </c>
      <c r="H389" s="4829" t="s">
        <v>22</v>
      </c>
      <c r="I389" s="4829" t="s">
        <v>902</v>
      </c>
    </row>
    <row customHeight="1" ht="11.25">
      <c r="A390" s="4829" t="s">
        <v>2375</v>
      </c>
      <c r="B390" s="4829" t="s">
        <v>16</v>
      </c>
      <c r="C390" s="4829" t="s">
        <v>2441</v>
      </c>
      <c r="D390" s="4829" t="s">
        <v>2442</v>
      </c>
      <c r="E390" s="4829" t="s">
        <v>2443</v>
      </c>
      <c r="F390" s="4829" t="s">
        <v>2427</v>
      </c>
      <c r="G390" s="4829" t="s">
        <v>22</v>
      </c>
      <c r="H390" s="4829" t="s">
        <v>22</v>
      </c>
      <c r="I390" s="4829" t="s">
        <v>902</v>
      </c>
    </row>
    <row customHeight="1" ht="11.25">
      <c r="A391" s="4829" t="s">
        <v>2375</v>
      </c>
      <c r="B391" s="4829" t="s">
        <v>16</v>
      </c>
      <c r="C391" s="4829" t="s">
        <v>2985</v>
      </c>
      <c r="D391" s="4829" t="s">
        <v>2986</v>
      </c>
      <c r="E391" s="4829" t="s">
        <v>2987</v>
      </c>
      <c r="F391" s="4829" t="s">
        <v>2534</v>
      </c>
      <c r="G391" s="4829" t="s">
        <v>22</v>
      </c>
      <c r="H391" s="4829" t="s">
        <v>22</v>
      </c>
      <c r="I391" s="4829" t="s">
        <v>902</v>
      </c>
    </row>
    <row customHeight="1" ht="11.25">
      <c r="A392" s="4829" t="s">
        <v>2375</v>
      </c>
      <c r="B392" s="4829" t="s">
        <v>16</v>
      </c>
      <c r="C392" s="4829" t="s">
        <v>2455</v>
      </c>
      <c r="D392" s="4829" t="s">
        <v>2456</v>
      </c>
      <c r="E392" s="4829" t="s">
        <v>2457</v>
      </c>
      <c r="F392" s="4829" t="s">
        <v>2458</v>
      </c>
      <c r="G392" s="4829" t="s">
        <v>22</v>
      </c>
      <c r="H392" s="4829" t="s">
        <v>22</v>
      </c>
      <c r="I392" s="4829" t="s">
        <v>902</v>
      </c>
    </row>
    <row customHeight="1" ht="11.25">
      <c r="A393" s="4829" t="s">
        <v>2375</v>
      </c>
      <c r="B393" s="4829" t="s">
        <v>16</v>
      </c>
      <c r="C393" s="4829" t="s">
        <v>2459</v>
      </c>
      <c r="D393" s="4829" t="s">
        <v>2460</v>
      </c>
      <c r="E393" s="4829" t="s">
        <v>2461</v>
      </c>
      <c r="F393" s="4829" t="s">
        <v>2462</v>
      </c>
      <c r="G393" s="4829" t="s">
        <v>22</v>
      </c>
      <c r="H393" s="4829" t="s">
        <v>22</v>
      </c>
      <c r="I393" s="4829" t="s">
        <v>902</v>
      </c>
    </row>
    <row customHeight="1" ht="11.25">
      <c r="A394" s="4829" t="s">
        <v>2375</v>
      </c>
      <c r="B394" s="4829" t="s">
        <v>16</v>
      </c>
      <c r="C394" s="4829" t="s">
        <v>3125</v>
      </c>
      <c r="D394" s="4829" t="s">
        <v>3126</v>
      </c>
      <c r="E394" s="4829" t="s">
        <v>3127</v>
      </c>
      <c r="F394" s="4829" t="s">
        <v>2427</v>
      </c>
      <c r="G394" s="4829" t="s">
        <v>22</v>
      </c>
      <c r="H394" s="4829" t="s">
        <v>22</v>
      </c>
      <c r="I394" s="4829" t="s">
        <v>902</v>
      </c>
    </row>
    <row customHeight="1" ht="11.25">
      <c r="A395" s="4829" t="s">
        <v>2375</v>
      </c>
      <c r="B395" s="4829" t="s">
        <v>16</v>
      </c>
      <c r="C395" s="4829" t="s">
        <v>2470</v>
      </c>
      <c r="D395" s="4829" t="s">
        <v>2471</v>
      </c>
      <c r="E395" s="4829" t="s">
        <v>2472</v>
      </c>
      <c r="F395" s="4829" t="s">
        <v>50</v>
      </c>
      <c r="G395" s="4829" t="s">
        <v>2473</v>
      </c>
      <c r="H395" s="4829" t="s">
        <v>22</v>
      </c>
      <c r="I395" s="4829" t="s">
        <v>902</v>
      </c>
    </row>
    <row customHeight="1" ht="11.25">
      <c r="A396" s="4829" t="s">
        <v>2375</v>
      </c>
      <c r="B396" s="4829" t="s">
        <v>16</v>
      </c>
      <c r="C396" s="4829" t="s">
        <v>22</v>
      </c>
      <c r="D396" s="4829" t="s">
        <v>2474</v>
      </c>
      <c r="E396" s="4829" t="s">
        <v>2475</v>
      </c>
      <c r="F396" s="4829" t="s">
        <v>50</v>
      </c>
      <c r="G396" s="4829" t="s">
        <v>22</v>
      </c>
      <c r="H396" s="4829" t="s">
        <v>22</v>
      </c>
      <c r="I396" s="4829" t="s">
        <v>902</v>
      </c>
    </row>
    <row customHeight="1" ht="11.25">
      <c r="A397" s="4829" t="s">
        <v>2375</v>
      </c>
      <c r="B397" s="4829" t="s">
        <v>16</v>
      </c>
      <c r="C397" s="4829" t="s">
        <v>2476</v>
      </c>
      <c r="D397" s="4829" t="s">
        <v>2477</v>
      </c>
      <c r="E397" s="4829" t="s">
        <v>2478</v>
      </c>
      <c r="F397" s="4829" t="s">
        <v>2479</v>
      </c>
      <c r="G397" s="4829" t="s">
        <v>2480</v>
      </c>
      <c r="H397" s="4829" t="s">
        <v>22</v>
      </c>
      <c r="I397" s="4829" t="s">
        <v>902</v>
      </c>
    </row>
    <row customHeight="1" ht="11.25">
      <c r="A398" s="4829" t="s">
        <v>2375</v>
      </c>
      <c r="B398" s="4829" t="s">
        <v>16</v>
      </c>
      <c r="C398" s="4829" t="s">
        <v>2481</v>
      </c>
      <c r="D398" s="4829" t="s">
        <v>2482</v>
      </c>
      <c r="E398" s="4829" t="s">
        <v>2483</v>
      </c>
      <c r="F398" s="4829" t="s">
        <v>2484</v>
      </c>
      <c r="G398" s="4829" t="s">
        <v>22</v>
      </c>
      <c r="H398" s="4829" t="s">
        <v>22</v>
      </c>
      <c r="I398" s="4829" t="s">
        <v>902</v>
      </c>
    </row>
    <row customHeight="1" ht="11.25">
      <c r="A399" s="4829" t="s">
        <v>2375</v>
      </c>
      <c r="B399" s="4829" t="s">
        <v>16</v>
      </c>
      <c r="C399" s="4829" t="s">
        <v>2494</v>
      </c>
      <c r="D399" s="4829" t="s">
        <v>2495</v>
      </c>
      <c r="E399" s="4829" t="s">
        <v>2496</v>
      </c>
      <c r="F399" s="4829" t="s">
        <v>2497</v>
      </c>
      <c r="G399" s="4829" t="s">
        <v>2498</v>
      </c>
      <c r="H399" s="4829" t="s">
        <v>22</v>
      </c>
      <c r="I399" s="4829" t="s">
        <v>902</v>
      </c>
    </row>
    <row customHeight="1" ht="11.25">
      <c r="A400" s="4829" t="s">
        <v>2375</v>
      </c>
      <c r="B400" s="4829" t="s">
        <v>16</v>
      </c>
      <c r="C400" s="4829" t="s">
        <v>2499</v>
      </c>
      <c r="D400" s="4829" t="s">
        <v>2500</v>
      </c>
      <c r="E400" s="4829" t="s">
        <v>2501</v>
      </c>
      <c r="F400" s="4829" t="s">
        <v>2436</v>
      </c>
      <c r="G400" s="4829" t="s">
        <v>22</v>
      </c>
      <c r="H400" s="4829" t="s">
        <v>22</v>
      </c>
      <c r="I400" s="4829" t="s">
        <v>902</v>
      </c>
    </row>
    <row customHeight="1" ht="11.25">
      <c r="A401" s="4829" t="s">
        <v>2375</v>
      </c>
      <c r="B401" s="4829" t="s">
        <v>16</v>
      </c>
      <c r="C401" s="4829" t="s">
        <v>2502</v>
      </c>
      <c r="D401" s="4829" t="s">
        <v>2500</v>
      </c>
      <c r="E401" s="4829" t="s">
        <v>2503</v>
      </c>
      <c r="F401" s="4829" t="s">
        <v>2458</v>
      </c>
      <c r="G401" s="4829" t="s">
        <v>2504</v>
      </c>
      <c r="H401" s="4829" t="s">
        <v>22</v>
      </c>
      <c r="I401" s="4829" t="s">
        <v>902</v>
      </c>
    </row>
    <row customHeight="1" ht="11.25">
      <c r="A402" s="4829" t="s">
        <v>2375</v>
      </c>
      <c r="B402" s="4829" t="s">
        <v>16</v>
      </c>
      <c r="C402" s="4829" t="s">
        <v>3014</v>
      </c>
      <c r="D402" s="4829" t="s">
        <v>3015</v>
      </c>
      <c r="E402" s="4829" t="s">
        <v>3016</v>
      </c>
      <c r="F402" s="4829" t="s">
        <v>2534</v>
      </c>
      <c r="G402" s="4829" t="s">
        <v>3017</v>
      </c>
      <c r="H402" s="4829" t="s">
        <v>22</v>
      </c>
      <c r="I402" s="4829" t="s">
        <v>902</v>
      </c>
    </row>
    <row customHeight="1" ht="11.25">
      <c r="A403" s="4829" t="s">
        <v>2375</v>
      </c>
      <c r="B403" s="4829" t="s">
        <v>16</v>
      </c>
      <c r="C403" s="4829" t="s">
        <v>3018</v>
      </c>
      <c r="D403" s="4829" t="s">
        <v>3019</v>
      </c>
      <c r="E403" s="4829" t="s">
        <v>3020</v>
      </c>
      <c r="F403" s="4829" t="s">
        <v>2508</v>
      </c>
      <c r="G403" s="4829" t="s">
        <v>22</v>
      </c>
      <c r="H403" s="4829" t="s">
        <v>22</v>
      </c>
      <c r="I403" s="4829" t="s">
        <v>902</v>
      </c>
    </row>
    <row customHeight="1" ht="11.25">
      <c r="A404" s="4829" t="s">
        <v>2375</v>
      </c>
      <c r="B404" s="4829" t="s">
        <v>16</v>
      </c>
      <c r="C404" s="4829" t="s">
        <v>3021</v>
      </c>
      <c r="D404" s="4829" t="s">
        <v>3022</v>
      </c>
      <c r="E404" s="4829" t="s">
        <v>3023</v>
      </c>
      <c r="F404" s="4829" t="s">
        <v>2576</v>
      </c>
      <c r="G404" s="4829" t="s">
        <v>22</v>
      </c>
      <c r="H404" s="4829" t="s">
        <v>22</v>
      </c>
      <c r="I404" s="4829" t="s">
        <v>902</v>
      </c>
    </row>
    <row customHeight="1" ht="11.25">
      <c r="A405" s="4829" t="s">
        <v>2375</v>
      </c>
      <c r="B405" s="4829" t="s">
        <v>16</v>
      </c>
      <c r="C405" s="4829" t="s">
        <v>2509</v>
      </c>
      <c r="D405" s="4829" t="s">
        <v>2510</v>
      </c>
      <c r="E405" s="4829" t="s">
        <v>2511</v>
      </c>
      <c r="F405" s="4829" t="s">
        <v>2454</v>
      </c>
      <c r="G405" s="4829" t="s">
        <v>2512</v>
      </c>
      <c r="H405" s="4829" t="s">
        <v>22</v>
      </c>
      <c r="I405" s="4829" t="s">
        <v>902</v>
      </c>
    </row>
    <row customHeight="1" ht="11.25">
      <c r="A406" s="4829" t="s">
        <v>2375</v>
      </c>
      <c r="B406" s="4829" t="s">
        <v>16</v>
      </c>
      <c r="C406" s="4829" t="s">
        <v>2520</v>
      </c>
      <c r="D406" s="4829" t="s">
        <v>2521</v>
      </c>
      <c r="E406" s="4829" t="s">
        <v>2522</v>
      </c>
      <c r="F406" s="4829" t="s">
        <v>2479</v>
      </c>
      <c r="G406" s="4829" t="s">
        <v>22</v>
      </c>
      <c r="H406" s="4829" t="s">
        <v>22</v>
      </c>
      <c r="I406" s="4829" t="s">
        <v>902</v>
      </c>
    </row>
    <row customHeight="1" ht="11.25">
      <c r="A407" s="4829" t="s">
        <v>2375</v>
      </c>
      <c r="B407" s="4829" t="s">
        <v>16</v>
      </c>
      <c r="C407" s="4829" t="s">
        <v>2523</v>
      </c>
      <c r="D407" s="4829" t="s">
        <v>2524</v>
      </c>
      <c r="E407" s="4829" t="s">
        <v>2525</v>
      </c>
      <c r="F407" s="4829" t="s">
        <v>2526</v>
      </c>
      <c r="G407" s="4829" t="s">
        <v>22</v>
      </c>
      <c r="H407" s="4829" t="s">
        <v>22</v>
      </c>
      <c r="I407" s="4829" t="s">
        <v>902</v>
      </c>
    </row>
    <row customHeight="1" ht="11.25">
      <c r="A408" s="4829" t="s">
        <v>2375</v>
      </c>
      <c r="B408" s="4829" t="s">
        <v>16</v>
      </c>
      <c r="C408" s="4829" t="s">
        <v>2527</v>
      </c>
      <c r="D408" s="4829" t="s">
        <v>2528</v>
      </c>
      <c r="E408" s="4829" t="s">
        <v>2529</v>
      </c>
      <c r="F408" s="4829" t="s">
        <v>2508</v>
      </c>
      <c r="G408" s="4829" t="s">
        <v>2530</v>
      </c>
      <c r="H408" s="4829" t="s">
        <v>22</v>
      </c>
      <c r="I408" s="4829" t="s">
        <v>902</v>
      </c>
    </row>
    <row customHeight="1" ht="11.25">
      <c r="A409" s="4829" t="s">
        <v>2375</v>
      </c>
      <c r="B409" s="4829" t="s">
        <v>16</v>
      </c>
      <c r="C409" s="4829" t="s">
        <v>2531</v>
      </c>
      <c r="D409" s="4829" t="s">
        <v>2532</v>
      </c>
      <c r="E409" s="4829" t="s">
        <v>2533</v>
      </c>
      <c r="F409" s="4829" t="s">
        <v>2534</v>
      </c>
      <c r="G409" s="4829" t="s">
        <v>22</v>
      </c>
      <c r="H409" s="4829" t="s">
        <v>22</v>
      </c>
      <c r="I409" s="4829" t="s">
        <v>902</v>
      </c>
    </row>
    <row customHeight="1" ht="11.25">
      <c r="A410" s="4829" t="s">
        <v>2375</v>
      </c>
      <c r="B410" s="4829" t="s">
        <v>16</v>
      </c>
      <c r="C410" s="4829" t="s">
        <v>2535</v>
      </c>
      <c r="D410" s="4829" t="s">
        <v>2536</v>
      </c>
      <c r="E410" s="4829" t="s">
        <v>2537</v>
      </c>
      <c r="F410" s="4829" t="s">
        <v>2534</v>
      </c>
      <c r="G410" s="4829" t="s">
        <v>2538</v>
      </c>
      <c r="H410" s="4829" t="s">
        <v>22</v>
      </c>
      <c r="I410" s="4829" t="s">
        <v>902</v>
      </c>
    </row>
    <row customHeight="1" ht="11.25">
      <c r="A411" s="4829" t="s">
        <v>2375</v>
      </c>
      <c r="B411" s="4829" t="s">
        <v>16</v>
      </c>
      <c r="C411" s="4829" t="s">
        <v>2539</v>
      </c>
      <c r="D411" s="4829" t="s">
        <v>2540</v>
      </c>
      <c r="E411" s="4829" t="s">
        <v>2541</v>
      </c>
      <c r="F411" s="4829" t="s">
        <v>2508</v>
      </c>
      <c r="G411" s="4829" t="s">
        <v>22</v>
      </c>
      <c r="H411" s="4829" t="s">
        <v>22</v>
      </c>
      <c r="I411" s="4829" t="s">
        <v>902</v>
      </c>
    </row>
    <row customHeight="1" ht="11.25">
      <c r="A412" s="4829" t="s">
        <v>2375</v>
      </c>
      <c r="B412" s="4829" t="s">
        <v>16</v>
      </c>
      <c r="C412" s="4829" t="s">
        <v>2542</v>
      </c>
      <c r="D412" s="4829" t="s">
        <v>2543</v>
      </c>
      <c r="E412" s="4829" t="s">
        <v>2544</v>
      </c>
      <c r="F412" s="4829" t="s">
        <v>2545</v>
      </c>
      <c r="G412" s="4829" t="s">
        <v>2546</v>
      </c>
      <c r="H412" s="4829" t="s">
        <v>22</v>
      </c>
      <c r="I412" s="4829" t="s">
        <v>902</v>
      </c>
    </row>
    <row customHeight="1" ht="11.25">
      <c r="A413" s="4829" t="s">
        <v>2375</v>
      </c>
      <c r="B413" s="4829" t="s">
        <v>16</v>
      </c>
      <c r="C413" s="4829" t="s">
        <v>3024</v>
      </c>
      <c r="D413" s="4829" t="s">
        <v>3025</v>
      </c>
      <c r="E413" s="4829" t="s">
        <v>3026</v>
      </c>
      <c r="F413" s="4829" t="s">
        <v>2508</v>
      </c>
      <c r="G413" s="4829" t="s">
        <v>3027</v>
      </c>
      <c r="H413" s="4829" t="s">
        <v>22</v>
      </c>
      <c r="I413" s="4829" t="s">
        <v>902</v>
      </c>
    </row>
    <row customHeight="1" ht="11.25">
      <c r="A414" s="4829" t="s">
        <v>2375</v>
      </c>
      <c r="B414" s="4829" t="s">
        <v>16</v>
      </c>
      <c r="C414" s="4829" t="s">
        <v>3028</v>
      </c>
      <c r="D414" s="4829" t="s">
        <v>3029</v>
      </c>
      <c r="E414" s="4829" t="s">
        <v>3030</v>
      </c>
      <c r="F414" s="4829" t="s">
        <v>2545</v>
      </c>
      <c r="G414" s="4829" t="s">
        <v>3031</v>
      </c>
      <c r="H414" s="4829" t="s">
        <v>22</v>
      </c>
      <c r="I414" s="4829" t="s">
        <v>902</v>
      </c>
    </row>
    <row customHeight="1" ht="11.25">
      <c r="A415" s="4829" t="s">
        <v>2375</v>
      </c>
      <c r="B415" s="4829" t="s">
        <v>16</v>
      </c>
      <c r="C415" s="4829" t="s">
        <v>2551</v>
      </c>
      <c r="D415" s="4829" t="s">
        <v>2552</v>
      </c>
      <c r="E415" s="4829" t="s">
        <v>2553</v>
      </c>
      <c r="F415" s="4829" t="s">
        <v>2554</v>
      </c>
      <c r="G415" s="4829" t="s">
        <v>22</v>
      </c>
      <c r="H415" s="4829" t="s">
        <v>22</v>
      </c>
      <c r="I415" s="4829" t="s">
        <v>902</v>
      </c>
    </row>
    <row customHeight="1" ht="11.25">
      <c r="A416" s="4829" t="s">
        <v>2375</v>
      </c>
      <c r="B416" s="4829" t="s">
        <v>16</v>
      </c>
      <c r="C416" s="4829" t="s">
        <v>3128</v>
      </c>
      <c r="D416" s="4829" t="s">
        <v>3129</v>
      </c>
      <c r="E416" s="4829" t="s">
        <v>3130</v>
      </c>
      <c r="F416" s="4829" t="s">
        <v>2545</v>
      </c>
      <c r="G416" s="4829" t="s">
        <v>3131</v>
      </c>
      <c r="H416" s="4829" t="s">
        <v>22</v>
      </c>
      <c r="I416" s="4829" t="s">
        <v>902</v>
      </c>
    </row>
    <row customHeight="1" ht="11.25">
      <c r="A417" s="4829" t="s">
        <v>2375</v>
      </c>
      <c r="B417" s="4829" t="s">
        <v>16</v>
      </c>
      <c r="C417" s="4829" t="s">
        <v>2563</v>
      </c>
      <c r="D417" s="4829" t="s">
        <v>2564</v>
      </c>
      <c r="E417" s="4829" t="s">
        <v>2565</v>
      </c>
      <c r="F417" s="4829" t="s">
        <v>2534</v>
      </c>
      <c r="G417" s="4829" t="s">
        <v>2566</v>
      </c>
      <c r="H417" s="4829" t="s">
        <v>22</v>
      </c>
      <c r="I417" s="4829" t="s">
        <v>902</v>
      </c>
    </row>
    <row customHeight="1" ht="11.25">
      <c r="A418" s="4829" t="s">
        <v>2375</v>
      </c>
      <c r="B418" s="4829" t="s">
        <v>16</v>
      </c>
      <c r="C418" s="4829" t="s">
        <v>2567</v>
      </c>
      <c r="D418" s="4829" t="s">
        <v>2568</v>
      </c>
      <c r="E418" s="4829" t="s">
        <v>2569</v>
      </c>
      <c r="F418" s="4829" t="s">
        <v>2534</v>
      </c>
      <c r="G418" s="4829" t="s">
        <v>22</v>
      </c>
      <c r="H418" s="4829" t="s">
        <v>22</v>
      </c>
      <c r="I418" s="4829" t="s">
        <v>902</v>
      </c>
    </row>
    <row customHeight="1" ht="11.25">
      <c r="A419" s="4829" t="s">
        <v>2375</v>
      </c>
      <c r="B419" s="4829" t="s">
        <v>16</v>
      </c>
      <c r="C419" s="4829" t="s">
        <v>2570</v>
      </c>
      <c r="D419" s="4829" t="s">
        <v>2571</v>
      </c>
      <c r="E419" s="4829" t="s">
        <v>2572</v>
      </c>
      <c r="F419" s="4829" t="s">
        <v>2458</v>
      </c>
      <c r="G419" s="4829" t="s">
        <v>22</v>
      </c>
      <c r="H419" s="4829" t="s">
        <v>22</v>
      </c>
      <c r="I419" s="4829" t="s">
        <v>902</v>
      </c>
    </row>
    <row customHeight="1" ht="11.25">
      <c r="A420" s="4829" t="s">
        <v>2375</v>
      </c>
      <c r="B420" s="4829" t="s">
        <v>16</v>
      </c>
      <c r="C420" s="4829" t="s">
        <v>3132</v>
      </c>
      <c r="D420" s="4829" t="s">
        <v>3133</v>
      </c>
      <c r="E420" s="4829" t="s">
        <v>3134</v>
      </c>
      <c r="F420" s="4829" t="s">
        <v>2479</v>
      </c>
      <c r="G420" s="4829" t="s">
        <v>3135</v>
      </c>
      <c r="H420" s="4829" t="s">
        <v>22</v>
      </c>
      <c r="I420" s="4829" t="s">
        <v>902</v>
      </c>
    </row>
    <row customHeight="1" ht="11.25">
      <c r="A421" s="4829" t="s">
        <v>2375</v>
      </c>
      <c r="B421" s="4829" t="s">
        <v>16</v>
      </c>
      <c r="C421" s="4829" t="s">
        <v>2577</v>
      </c>
      <c r="D421" s="4829" t="s">
        <v>2578</v>
      </c>
      <c r="E421" s="4829" t="s">
        <v>2579</v>
      </c>
      <c r="F421" s="4829" t="s">
        <v>2497</v>
      </c>
      <c r="G421" s="4829" t="s">
        <v>2580</v>
      </c>
      <c r="H421" s="4829" t="s">
        <v>22</v>
      </c>
      <c r="I421" s="4829" t="s">
        <v>902</v>
      </c>
    </row>
    <row customHeight="1" ht="11.25">
      <c r="A422" s="4829" t="s">
        <v>2375</v>
      </c>
      <c r="B422" s="4829" t="s">
        <v>16</v>
      </c>
      <c r="C422" s="4829" t="s">
        <v>2581</v>
      </c>
      <c r="D422" s="4829" t="s">
        <v>2582</v>
      </c>
      <c r="E422" s="4829" t="s">
        <v>2583</v>
      </c>
      <c r="F422" s="4829" t="s">
        <v>2534</v>
      </c>
      <c r="G422" s="4829" t="s">
        <v>2584</v>
      </c>
      <c r="H422" s="4829" t="s">
        <v>22</v>
      </c>
      <c r="I422" s="4829" t="s">
        <v>902</v>
      </c>
    </row>
    <row customHeight="1" ht="11.25">
      <c r="A423" s="4829" t="s">
        <v>2375</v>
      </c>
      <c r="B423" s="4829" t="s">
        <v>16</v>
      </c>
      <c r="C423" s="4829" t="s">
        <v>2588</v>
      </c>
      <c r="D423" s="4829" t="s">
        <v>2589</v>
      </c>
      <c r="E423" s="4829" t="s">
        <v>2590</v>
      </c>
      <c r="F423" s="4829" t="s">
        <v>2545</v>
      </c>
      <c r="G423" s="4829" t="s">
        <v>22</v>
      </c>
      <c r="H423" s="4829" t="s">
        <v>22</v>
      </c>
      <c r="I423" s="4829" t="s">
        <v>902</v>
      </c>
    </row>
    <row customHeight="1" ht="11.25">
      <c r="A424" s="4829" t="s">
        <v>2375</v>
      </c>
      <c r="B424" s="4829" t="s">
        <v>16</v>
      </c>
      <c r="C424" s="4829" t="s">
        <v>2591</v>
      </c>
      <c r="D424" s="4829" t="s">
        <v>2592</v>
      </c>
      <c r="E424" s="4829" t="s">
        <v>2593</v>
      </c>
      <c r="F424" s="4829" t="s">
        <v>2576</v>
      </c>
      <c r="G424" s="4829" t="s">
        <v>22</v>
      </c>
      <c r="H424" s="4829" t="s">
        <v>22</v>
      </c>
      <c r="I424" s="4829" t="s">
        <v>902</v>
      </c>
    </row>
    <row customHeight="1" ht="11.25">
      <c r="A425" s="4829" t="s">
        <v>2375</v>
      </c>
      <c r="B425" s="4829" t="s">
        <v>16</v>
      </c>
      <c r="C425" s="4829" t="s">
        <v>2594</v>
      </c>
      <c r="D425" s="4829" t="s">
        <v>2595</v>
      </c>
      <c r="E425" s="4829" t="s">
        <v>2596</v>
      </c>
      <c r="F425" s="4829" t="s">
        <v>2534</v>
      </c>
      <c r="G425" s="4829" t="s">
        <v>2597</v>
      </c>
      <c r="H425" s="4829" t="s">
        <v>22</v>
      </c>
      <c r="I425" s="4829" t="s">
        <v>902</v>
      </c>
    </row>
    <row customHeight="1" ht="11.25">
      <c r="A426" s="4829" t="s">
        <v>2375</v>
      </c>
      <c r="B426" s="4829" t="s">
        <v>16</v>
      </c>
      <c r="C426" s="4829" t="s">
        <v>2602</v>
      </c>
      <c r="D426" s="4829" t="s">
        <v>2603</v>
      </c>
      <c r="E426" s="4829" t="s">
        <v>2604</v>
      </c>
      <c r="F426" s="4829" t="s">
        <v>2545</v>
      </c>
      <c r="G426" s="4829" t="s">
        <v>2605</v>
      </c>
      <c r="H426" s="4829" t="s">
        <v>22</v>
      </c>
      <c r="I426" s="4829" t="s">
        <v>902</v>
      </c>
    </row>
    <row customHeight="1" ht="11.25">
      <c r="A427" s="4829" t="s">
        <v>2375</v>
      </c>
      <c r="B427" s="4829" t="s">
        <v>16</v>
      </c>
      <c r="C427" s="4829" t="s">
        <v>2606</v>
      </c>
      <c r="D427" s="4829" t="s">
        <v>2603</v>
      </c>
      <c r="E427" s="4829" t="s">
        <v>2607</v>
      </c>
      <c r="F427" s="4829" t="s">
        <v>2436</v>
      </c>
      <c r="G427" s="4829" t="s">
        <v>2608</v>
      </c>
      <c r="H427" s="4829" t="s">
        <v>22</v>
      </c>
      <c r="I427" s="4829" t="s">
        <v>902</v>
      </c>
    </row>
    <row customHeight="1" ht="11.25">
      <c r="A428" s="4829" t="s">
        <v>2375</v>
      </c>
      <c r="B428" s="4829" t="s">
        <v>16</v>
      </c>
      <c r="C428" s="4829" t="s">
        <v>2609</v>
      </c>
      <c r="D428" s="4829" t="s">
        <v>2610</v>
      </c>
      <c r="E428" s="4829" t="s">
        <v>2611</v>
      </c>
      <c r="F428" s="4829" t="s">
        <v>2526</v>
      </c>
      <c r="G428" s="4829" t="s">
        <v>22</v>
      </c>
      <c r="H428" s="4829" t="s">
        <v>22</v>
      </c>
      <c r="I428" s="4829" t="s">
        <v>902</v>
      </c>
    </row>
    <row customHeight="1" ht="11.25">
      <c r="A429" s="4829" t="s">
        <v>2375</v>
      </c>
      <c r="B429" s="4829" t="s">
        <v>16</v>
      </c>
      <c r="C429" s="4829" t="s">
        <v>2612</v>
      </c>
      <c r="D429" s="4829" t="s">
        <v>2613</v>
      </c>
      <c r="E429" s="4829" t="s">
        <v>2614</v>
      </c>
      <c r="F429" s="4829" t="s">
        <v>2526</v>
      </c>
      <c r="G429" s="4829" t="s">
        <v>2615</v>
      </c>
      <c r="H429" s="4829" t="s">
        <v>22</v>
      </c>
      <c r="I429" s="4829" t="s">
        <v>902</v>
      </c>
    </row>
    <row customHeight="1" ht="11.25">
      <c r="A430" s="4829" t="s">
        <v>2375</v>
      </c>
      <c r="B430" s="4829" t="s">
        <v>16</v>
      </c>
      <c r="C430" s="4829" t="s">
        <v>2616</v>
      </c>
      <c r="D430" s="4829" t="s">
        <v>2617</v>
      </c>
      <c r="E430" s="4829" t="s">
        <v>2618</v>
      </c>
      <c r="F430" s="4829" t="s">
        <v>2488</v>
      </c>
      <c r="G430" s="4829" t="s">
        <v>22</v>
      </c>
      <c r="H430" s="4829" t="s">
        <v>22</v>
      </c>
      <c r="I430" s="4829" t="s">
        <v>902</v>
      </c>
    </row>
    <row customHeight="1" ht="11.25">
      <c r="A431" s="4829" t="s">
        <v>2375</v>
      </c>
      <c r="B431" s="4829" t="s">
        <v>16</v>
      </c>
      <c r="C431" s="4829" t="s">
        <v>2631</v>
      </c>
      <c r="D431" s="4829" t="s">
        <v>2632</v>
      </c>
      <c r="E431" s="4829" t="s">
        <v>2633</v>
      </c>
      <c r="F431" s="4829" t="s">
        <v>2508</v>
      </c>
      <c r="G431" s="4829" t="s">
        <v>2634</v>
      </c>
      <c r="H431" s="4829" t="s">
        <v>22</v>
      </c>
      <c r="I431" s="4829" t="s">
        <v>902</v>
      </c>
    </row>
    <row customHeight="1" ht="11.25">
      <c r="A432" s="4829" t="s">
        <v>2375</v>
      </c>
      <c r="B432" s="4829" t="s">
        <v>16</v>
      </c>
      <c r="C432" s="4829" t="s">
        <v>3039</v>
      </c>
      <c r="D432" s="4829" t="s">
        <v>3040</v>
      </c>
      <c r="E432" s="4829" t="s">
        <v>3041</v>
      </c>
      <c r="F432" s="4829" t="s">
        <v>50</v>
      </c>
      <c r="G432" s="4829" t="s">
        <v>22</v>
      </c>
      <c r="H432" s="4829" t="s">
        <v>22</v>
      </c>
      <c r="I432" s="4829" t="s">
        <v>902</v>
      </c>
    </row>
    <row customHeight="1" ht="11.25">
      <c r="A433" s="4829" t="s">
        <v>2375</v>
      </c>
      <c r="B433" s="4829" t="s">
        <v>16</v>
      </c>
      <c r="C433" s="4829" t="s">
        <v>2638</v>
      </c>
      <c r="D433" s="4829" t="s">
        <v>2639</v>
      </c>
      <c r="E433" s="4829" t="s">
        <v>2640</v>
      </c>
      <c r="F433" s="4829" t="s">
        <v>2554</v>
      </c>
      <c r="G433" s="4829" t="s">
        <v>22</v>
      </c>
      <c r="H433" s="4829" t="s">
        <v>22</v>
      </c>
      <c r="I433" s="4829" t="s">
        <v>902</v>
      </c>
    </row>
    <row customHeight="1" ht="11.25">
      <c r="A434" s="4829" t="s">
        <v>2375</v>
      </c>
      <c r="B434" s="4829" t="s">
        <v>16</v>
      </c>
      <c r="C434" s="4829" t="s">
        <v>2644</v>
      </c>
      <c r="D434" s="4829" t="s">
        <v>2645</v>
      </c>
      <c r="E434" s="4829" t="s">
        <v>2646</v>
      </c>
      <c r="F434" s="4829" t="s">
        <v>2436</v>
      </c>
      <c r="G434" s="4829" t="s">
        <v>2647</v>
      </c>
      <c r="H434" s="4829" t="s">
        <v>22</v>
      </c>
      <c r="I434" s="4829" t="s">
        <v>902</v>
      </c>
    </row>
    <row customHeight="1" ht="11.25">
      <c r="A435" s="4829" t="s">
        <v>2375</v>
      </c>
      <c r="B435" s="4829" t="s">
        <v>16</v>
      </c>
      <c r="C435" s="4829" t="s">
        <v>2648</v>
      </c>
      <c r="D435" s="4829" t="s">
        <v>2649</v>
      </c>
      <c r="E435" s="4829" t="s">
        <v>2650</v>
      </c>
      <c r="F435" s="4829" t="s">
        <v>2488</v>
      </c>
      <c r="G435" s="4829" t="s">
        <v>22</v>
      </c>
      <c r="H435" s="4829" t="s">
        <v>22</v>
      </c>
      <c r="I435" s="4829" t="s">
        <v>902</v>
      </c>
    </row>
    <row customHeight="1" ht="11.25">
      <c r="A436" s="4829" t="s">
        <v>2375</v>
      </c>
      <c r="B436" s="4829" t="s">
        <v>16</v>
      </c>
      <c r="C436" s="4829" t="s">
        <v>2651</v>
      </c>
      <c r="D436" s="4829" t="s">
        <v>2652</v>
      </c>
      <c r="E436" s="4829" t="s">
        <v>2653</v>
      </c>
      <c r="F436" s="4829" t="s">
        <v>2534</v>
      </c>
      <c r="G436" s="4829" t="s">
        <v>22</v>
      </c>
      <c r="H436" s="4829" t="s">
        <v>22</v>
      </c>
      <c r="I436" s="4829" t="s">
        <v>902</v>
      </c>
    </row>
    <row customHeight="1" ht="11.25">
      <c r="A437" s="4829" t="s">
        <v>2375</v>
      </c>
      <c r="B437" s="4829" t="s">
        <v>16</v>
      </c>
      <c r="C437" s="4829" t="s">
        <v>2664</v>
      </c>
      <c r="D437" s="4829" t="s">
        <v>2665</v>
      </c>
      <c r="E437" s="4829" t="s">
        <v>2666</v>
      </c>
      <c r="F437" s="4829" t="s">
        <v>2667</v>
      </c>
      <c r="G437" s="4829" t="s">
        <v>2668</v>
      </c>
      <c r="H437" s="4829" t="s">
        <v>22</v>
      </c>
      <c r="I437" s="4829" t="s">
        <v>902</v>
      </c>
    </row>
    <row customHeight="1" ht="11.25">
      <c r="A438" s="4829" t="s">
        <v>2375</v>
      </c>
      <c r="B438" s="4829" t="s">
        <v>16</v>
      </c>
      <c r="C438" s="4829" t="s">
        <v>2669</v>
      </c>
      <c r="D438" s="4829" t="s">
        <v>2670</v>
      </c>
      <c r="E438" s="4829" t="s">
        <v>2671</v>
      </c>
      <c r="F438" s="4829" t="s">
        <v>2436</v>
      </c>
      <c r="G438" s="4829" t="s">
        <v>22</v>
      </c>
      <c r="H438" s="4829" t="s">
        <v>22</v>
      </c>
      <c r="I438" s="4829" t="s">
        <v>902</v>
      </c>
    </row>
    <row customHeight="1" ht="11.25">
      <c r="A439" s="4829" t="s">
        <v>2375</v>
      </c>
      <c r="B439" s="4829" t="s">
        <v>16</v>
      </c>
      <c r="C439" s="4829" t="s">
        <v>2675</v>
      </c>
      <c r="D439" s="4829" t="s">
        <v>2676</v>
      </c>
      <c r="E439" s="4829" t="s">
        <v>2677</v>
      </c>
      <c r="F439" s="4829" t="s">
        <v>2488</v>
      </c>
      <c r="G439" s="4829" t="s">
        <v>22</v>
      </c>
      <c r="H439" s="4829" t="s">
        <v>22</v>
      </c>
      <c r="I439" s="4829" t="s">
        <v>902</v>
      </c>
    </row>
    <row customHeight="1" ht="11.25">
      <c r="A440" s="4829" t="s">
        <v>2375</v>
      </c>
      <c r="B440" s="4829" t="s">
        <v>16</v>
      </c>
      <c r="C440" s="4829" t="s">
        <v>2681</v>
      </c>
      <c r="D440" s="4829" t="s">
        <v>2682</v>
      </c>
      <c r="E440" s="4829" t="s">
        <v>2683</v>
      </c>
      <c r="F440" s="4829" t="s">
        <v>50</v>
      </c>
      <c r="G440" s="4829" t="s">
        <v>2684</v>
      </c>
      <c r="H440" s="4829" t="s">
        <v>22</v>
      </c>
      <c r="I440" s="4829" t="s">
        <v>902</v>
      </c>
    </row>
    <row customHeight="1" ht="11.25">
      <c r="A441" s="4829" t="s">
        <v>2375</v>
      </c>
      <c r="B441" s="4829" t="s">
        <v>16</v>
      </c>
      <c r="C441" s="4829" t="s">
        <v>3042</v>
      </c>
      <c r="D441" s="4829" t="s">
        <v>3043</v>
      </c>
      <c r="E441" s="4829" t="s">
        <v>3044</v>
      </c>
      <c r="F441" s="4829" t="s">
        <v>2709</v>
      </c>
      <c r="G441" s="4829" t="s">
        <v>22</v>
      </c>
      <c r="H441" s="4829" t="s">
        <v>22</v>
      </c>
      <c r="I441" s="4829" t="s">
        <v>902</v>
      </c>
    </row>
    <row customHeight="1" ht="11.25">
      <c r="A442" s="4829" t="s">
        <v>2375</v>
      </c>
      <c r="B442" s="4829" t="s">
        <v>16</v>
      </c>
      <c r="C442" s="4829" t="s">
        <v>3045</v>
      </c>
      <c r="D442" s="4829" t="s">
        <v>3046</v>
      </c>
      <c r="E442" s="4829" t="s">
        <v>3047</v>
      </c>
      <c r="F442" s="4829" t="s">
        <v>50</v>
      </c>
      <c r="G442" s="4829" t="s">
        <v>3048</v>
      </c>
      <c r="H442" s="4829" t="s">
        <v>22</v>
      </c>
      <c r="I442" s="4829" t="s">
        <v>902</v>
      </c>
    </row>
    <row customHeight="1" ht="11.25">
      <c r="A443" s="4829" t="s">
        <v>2375</v>
      </c>
      <c r="B443" s="4829" t="s">
        <v>16</v>
      </c>
      <c r="C443" s="4829" t="s">
        <v>3049</v>
      </c>
      <c r="D443" s="4829" t="s">
        <v>3050</v>
      </c>
      <c r="E443" s="4829" t="s">
        <v>3051</v>
      </c>
      <c r="F443" s="4829" t="s">
        <v>2709</v>
      </c>
      <c r="G443" s="4829" t="s">
        <v>22</v>
      </c>
      <c r="H443" s="4829" t="s">
        <v>22</v>
      </c>
      <c r="I443" s="4829" t="s">
        <v>902</v>
      </c>
    </row>
    <row customHeight="1" ht="11.25">
      <c r="A444" s="4829" t="s">
        <v>2375</v>
      </c>
      <c r="B444" s="4829" t="s">
        <v>16</v>
      </c>
      <c r="C444" s="4829" t="s">
        <v>3052</v>
      </c>
      <c r="D444" s="4829" t="s">
        <v>3050</v>
      </c>
      <c r="E444" s="4829" t="s">
        <v>3053</v>
      </c>
      <c r="F444" s="4829" t="s">
        <v>2458</v>
      </c>
      <c r="G444" s="4829" t="s">
        <v>22</v>
      </c>
      <c r="H444" s="4829" t="s">
        <v>22</v>
      </c>
      <c r="I444" s="4829" t="s">
        <v>902</v>
      </c>
    </row>
    <row customHeight="1" ht="11.25">
      <c r="A445" s="4829" t="s">
        <v>2375</v>
      </c>
      <c r="B445" s="4829" t="s">
        <v>16</v>
      </c>
      <c r="C445" s="4829" t="s">
        <v>3054</v>
      </c>
      <c r="D445" s="4829" t="s">
        <v>3055</v>
      </c>
      <c r="E445" s="4829" t="s">
        <v>3056</v>
      </c>
      <c r="F445" s="4829" t="s">
        <v>2454</v>
      </c>
      <c r="G445" s="4829" t="s">
        <v>22</v>
      </c>
      <c r="H445" s="4829" t="s">
        <v>22</v>
      </c>
      <c r="I445" s="4829" t="s">
        <v>902</v>
      </c>
    </row>
    <row customHeight="1" ht="11.25">
      <c r="A446" s="4829" t="s">
        <v>2375</v>
      </c>
      <c r="B446" s="4829" t="s">
        <v>16</v>
      </c>
      <c r="C446" s="4829" t="s">
        <v>2703</v>
      </c>
      <c r="D446" s="4829" t="s">
        <v>2704</v>
      </c>
      <c r="E446" s="4829" t="s">
        <v>2705</v>
      </c>
      <c r="F446" s="4829" t="s">
        <v>2534</v>
      </c>
      <c r="G446" s="4829" t="s">
        <v>22</v>
      </c>
      <c r="H446" s="4829" t="s">
        <v>22</v>
      </c>
      <c r="I446" s="4829" t="s">
        <v>902</v>
      </c>
    </row>
    <row customHeight="1" ht="11.25">
      <c r="A447" s="4829" t="s">
        <v>2375</v>
      </c>
      <c r="B447" s="4829" t="s">
        <v>16</v>
      </c>
      <c r="C447" s="4829" t="s">
        <v>2706</v>
      </c>
      <c r="D447" s="4829" t="s">
        <v>2707</v>
      </c>
      <c r="E447" s="4829" t="s">
        <v>2708</v>
      </c>
      <c r="F447" s="4829" t="s">
        <v>2709</v>
      </c>
      <c r="G447" s="4829" t="s">
        <v>22</v>
      </c>
      <c r="H447" s="4829" t="s">
        <v>22</v>
      </c>
      <c r="I447" s="4829" t="s">
        <v>902</v>
      </c>
    </row>
    <row customHeight="1" ht="11.25">
      <c r="A448" s="4829" t="s">
        <v>2375</v>
      </c>
      <c r="B448" s="4829" t="s">
        <v>16</v>
      </c>
      <c r="C448" s="4829" t="s">
        <v>3136</v>
      </c>
      <c r="D448" s="4829" t="s">
        <v>3137</v>
      </c>
      <c r="E448" s="4829" t="s">
        <v>3138</v>
      </c>
      <c r="F448" s="4829" t="s">
        <v>2534</v>
      </c>
      <c r="G448" s="4829" t="s">
        <v>3139</v>
      </c>
      <c r="H448" s="4829" t="s">
        <v>22</v>
      </c>
      <c r="I448" s="4829" t="s">
        <v>902</v>
      </c>
    </row>
    <row customHeight="1" ht="11.25">
      <c r="A449" s="4829" t="s">
        <v>2375</v>
      </c>
      <c r="B449" s="4829" t="s">
        <v>16</v>
      </c>
      <c r="C449" s="4829" t="s">
        <v>2734</v>
      </c>
      <c r="D449" s="4829" t="s">
        <v>2735</v>
      </c>
      <c r="E449" s="4829" t="s">
        <v>2736</v>
      </c>
      <c r="F449" s="4829" t="s">
        <v>2737</v>
      </c>
      <c r="G449" s="4829" t="s">
        <v>22</v>
      </c>
      <c r="H449" s="4829" t="s">
        <v>22</v>
      </c>
      <c r="I449" s="4829" t="s">
        <v>902</v>
      </c>
    </row>
    <row customHeight="1" ht="11.25">
      <c r="A450" s="4829" t="s">
        <v>2375</v>
      </c>
      <c r="B450" s="4829" t="s">
        <v>16</v>
      </c>
      <c r="C450" s="4829" t="s">
        <v>2738</v>
      </c>
      <c r="D450" s="4829" t="s">
        <v>2739</v>
      </c>
      <c r="E450" s="4829" t="s">
        <v>2740</v>
      </c>
      <c r="F450" s="4829" t="s">
        <v>2737</v>
      </c>
      <c r="G450" s="4829" t="s">
        <v>22</v>
      </c>
      <c r="H450" s="4829" t="s">
        <v>22</v>
      </c>
      <c r="I450" s="4829" t="s">
        <v>902</v>
      </c>
    </row>
    <row customHeight="1" ht="11.25">
      <c r="A451" s="4829" t="s">
        <v>2375</v>
      </c>
      <c r="B451" s="4829" t="s">
        <v>16</v>
      </c>
      <c r="C451" s="4829" t="s">
        <v>3069</v>
      </c>
      <c r="D451" s="4829" t="s">
        <v>3070</v>
      </c>
      <c r="E451" s="4829" t="s">
        <v>3071</v>
      </c>
      <c r="F451" s="4829" t="s">
        <v>2493</v>
      </c>
      <c r="G451" s="4829" t="s">
        <v>22</v>
      </c>
      <c r="H451" s="4829" t="s">
        <v>22</v>
      </c>
      <c r="I451" s="4829" t="s">
        <v>902</v>
      </c>
    </row>
    <row customHeight="1" ht="11.25">
      <c r="A452" s="4829" t="s">
        <v>2375</v>
      </c>
      <c r="B452" s="4829" t="s">
        <v>16</v>
      </c>
      <c r="C452" s="4829" t="s">
        <v>2756</v>
      </c>
      <c r="D452" s="4829" t="s">
        <v>2757</v>
      </c>
      <c r="E452" s="4829" t="s">
        <v>2758</v>
      </c>
      <c r="F452" s="4829" t="s">
        <v>2534</v>
      </c>
      <c r="G452" s="4829" t="s">
        <v>22</v>
      </c>
      <c r="H452" s="4829" t="s">
        <v>22</v>
      </c>
      <c r="I452" s="4829" t="s">
        <v>902</v>
      </c>
    </row>
    <row customHeight="1" ht="11.25">
      <c r="A453" s="4829" t="s">
        <v>2375</v>
      </c>
      <c r="B453" s="4829" t="s">
        <v>16</v>
      </c>
      <c r="C453" s="4829" t="s">
        <v>2759</v>
      </c>
      <c r="D453" s="4829" t="s">
        <v>2760</v>
      </c>
      <c r="E453" s="4829" t="s">
        <v>2761</v>
      </c>
      <c r="F453" s="4829" t="s">
        <v>2534</v>
      </c>
      <c r="G453" s="4829" t="s">
        <v>2762</v>
      </c>
      <c r="H453" s="4829" t="s">
        <v>22</v>
      </c>
      <c r="I453" s="4829" t="s">
        <v>902</v>
      </c>
    </row>
    <row customHeight="1" ht="11.25">
      <c r="A454" s="4829" t="s">
        <v>2375</v>
      </c>
      <c r="B454" s="4829" t="s">
        <v>16</v>
      </c>
      <c r="C454" s="4829" t="s">
        <v>2763</v>
      </c>
      <c r="D454" s="4829" t="s">
        <v>2764</v>
      </c>
      <c r="E454" s="4829" t="s">
        <v>2765</v>
      </c>
      <c r="F454" s="4829" t="s">
        <v>2534</v>
      </c>
      <c r="G454" s="4829" t="s">
        <v>22</v>
      </c>
      <c r="H454" s="4829" t="s">
        <v>22</v>
      </c>
      <c r="I454" s="4829" t="s">
        <v>902</v>
      </c>
    </row>
    <row customHeight="1" ht="11.25">
      <c r="A455" s="4829" t="s">
        <v>2375</v>
      </c>
      <c r="B455" s="4829" t="s">
        <v>16</v>
      </c>
      <c r="C455" s="4829" t="s">
        <v>2769</v>
      </c>
      <c r="D455" s="4829" t="s">
        <v>2770</v>
      </c>
      <c r="E455" s="4829" t="s">
        <v>2771</v>
      </c>
      <c r="F455" s="4829" t="s">
        <v>2545</v>
      </c>
      <c r="G455" s="4829" t="s">
        <v>2772</v>
      </c>
      <c r="H455" s="4829" t="s">
        <v>22</v>
      </c>
      <c r="I455" s="4829" t="s">
        <v>902</v>
      </c>
    </row>
    <row customHeight="1" ht="11.25">
      <c r="A456" s="4829" t="s">
        <v>2375</v>
      </c>
      <c r="B456" s="4829" t="s">
        <v>16</v>
      </c>
      <c r="C456" s="4829" t="s">
        <v>2968</v>
      </c>
      <c r="D456" s="4829" t="s">
        <v>2969</v>
      </c>
      <c r="E456" s="4829" t="s">
        <v>2970</v>
      </c>
      <c r="F456" s="4829" t="s">
        <v>2436</v>
      </c>
      <c r="G456" s="4829" t="s">
        <v>22</v>
      </c>
      <c r="H456" s="4829" t="s">
        <v>22</v>
      </c>
      <c r="I456" s="4829" t="s">
        <v>902</v>
      </c>
    </row>
    <row customHeight="1" ht="11.25">
      <c r="A457" s="4829" t="s">
        <v>2375</v>
      </c>
      <c r="B457" s="4829" t="s">
        <v>16</v>
      </c>
      <c r="C457" s="4829" t="s">
        <v>3072</v>
      </c>
      <c r="D457" s="4829" t="s">
        <v>3073</v>
      </c>
      <c r="E457" s="4829" t="s">
        <v>3074</v>
      </c>
      <c r="F457" s="4829" t="s">
        <v>2534</v>
      </c>
      <c r="G457" s="4829" t="s">
        <v>22</v>
      </c>
      <c r="H457" s="4829" t="s">
        <v>22</v>
      </c>
      <c r="I457" s="4829" t="s">
        <v>902</v>
      </c>
    </row>
    <row customHeight="1" ht="11.25">
      <c r="A458" s="4829" t="s">
        <v>2375</v>
      </c>
      <c r="B458" s="4829" t="s">
        <v>16</v>
      </c>
      <c r="C458" s="4829" t="s">
        <v>3075</v>
      </c>
      <c r="D458" s="4829" t="s">
        <v>3076</v>
      </c>
      <c r="E458" s="4829" t="s">
        <v>3077</v>
      </c>
      <c r="F458" s="4829" t="s">
        <v>2534</v>
      </c>
      <c r="G458" s="4829" t="s">
        <v>22</v>
      </c>
      <c r="H458" s="4829" t="s">
        <v>22</v>
      </c>
      <c r="I458" s="4829" t="s">
        <v>902</v>
      </c>
    </row>
    <row customHeight="1" ht="11.25">
      <c r="A459" s="4829" t="s">
        <v>2375</v>
      </c>
      <c r="B459" s="4829" t="s">
        <v>16</v>
      </c>
      <c r="C459" s="4829" t="s">
        <v>2776</v>
      </c>
      <c r="D459" s="4829" t="s">
        <v>2777</v>
      </c>
      <c r="E459" s="4829" t="s">
        <v>2778</v>
      </c>
      <c r="F459" s="4829" t="s">
        <v>2709</v>
      </c>
      <c r="G459" s="4829" t="s">
        <v>22</v>
      </c>
      <c r="H459" s="4829" t="s">
        <v>22</v>
      </c>
      <c r="I459" s="4829" t="s">
        <v>902</v>
      </c>
    </row>
    <row customHeight="1" ht="11.25">
      <c r="A460" s="4829" t="s">
        <v>2375</v>
      </c>
      <c r="B460" s="4829" t="s">
        <v>16</v>
      </c>
      <c r="C460" s="4829" t="s">
        <v>2779</v>
      </c>
      <c r="D460" s="4829" t="s">
        <v>2780</v>
      </c>
      <c r="E460" s="4829" t="s">
        <v>2781</v>
      </c>
      <c r="F460" s="4829" t="s">
        <v>2709</v>
      </c>
      <c r="G460" s="4829" t="s">
        <v>22</v>
      </c>
      <c r="H460" s="4829" t="s">
        <v>22</v>
      </c>
      <c r="I460" s="4829" t="s">
        <v>902</v>
      </c>
    </row>
    <row customHeight="1" ht="11.25">
      <c r="A461" s="4829" t="s">
        <v>2375</v>
      </c>
      <c r="B461" s="4829" t="s">
        <v>16</v>
      </c>
      <c r="C461" s="4829" t="s">
        <v>3140</v>
      </c>
      <c r="D461" s="4829" t="s">
        <v>3141</v>
      </c>
      <c r="E461" s="4829" t="s">
        <v>3142</v>
      </c>
      <c r="F461" s="4829" t="s">
        <v>2534</v>
      </c>
      <c r="G461" s="4829" t="s">
        <v>22</v>
      </c>
      <c r="H461" s="4829" t="s">
        <v>22</v>
      </c>
      <c r="I461" s="4829" t="s">
        <v>902</v>
      </c>
    </row>
    <row customHeight="1" ht="11.25">
      <c r="A462" s="4829" t="s">
        <v>2375</v>
      </c>
      <c r="B462" s="4829" t="s">
        <v>16</v>
      </c>
      <c r="C462" s="4829" t="s">
        <v>2790</v>
      </c>
      <c r="D462" s="4829" t="s">
        <v>2791</v>
      </c>
      <c r="E462" s="4829" t="s">
        <v>2792</v>
      </c>
      <c r="F462" s="4829" t="s">
        <v>2458</v>
      </c>
      <c r="G462" s="4829" t="s">
        <v>22</v>
      </c>
      <c r="H462" s="4829" t="s">
        <v>22</v>
      </c>
      <c r="I462" s="4829" t="s">
        <v>902</v>
      </c>
    </row>
    <row customHeight="1" ht="11.25">
      <c r="A463" s="4829" t="s">
        <v>2375</v>
      </c>
      <c r="B463" s="4829" t="s">
        <v>16</v>
      </c>
      <c r="C463" s="4829" t="s">
        <v>3078</v>
      </c>
      <c r="D463" s="4829" t="s">
        <v>3079</v>
      </c>
      <c r="E463" s="4829" t="s">
        <v>3080</v>
      </c>
      <c r="F463" s="4829" t="s">
        <v>2545</v>
      </c>
      <c r="G463" s="4829" t="s">
        <v>3081</v>
      </c>
      <c r="H463" s="4829" t="s">
        <v>22</v>
      </c>
      <c r="I463" s="4829" t="s">
        <v>902</v>
      </c>
    </row>
    <row customHeight="1" ht="11.25">
      <c r="A464" s="4829" t="s">
        <v>2375</v>
      </c>
      <c r="B464" s="4829" t="s">
        <v>16</v>
      </c>
      <c r="C464" s="4829" t="s">
        <v>3082</v>
      </c>
      <c r="D464" s="4829" t="s">
        <v>3083</v>
      </c>
      <c r="E464" s="4829" t="s">
        <v>3084</v>
      </c>
      <c r="F464" s="4829" t="s">
        <v>2488</v>
      </c>
      <c r="G464" s="4829" t="s">
        <v>3085</v>
      </c>
      <c r="H464" s="4829" t="s">
        <v>22</v>
      </c>
      <c r="I464" s="4829" t="s">
        <v>902</v>
      </c>
    </row>
    <row customHeight="1" ht="11.25">
      <c r="A465" s="4829" t="s">
        <v>2375</v>
      </c>
      <c r="B465" s="4829" t="s">
        <v>16</v>
      </c>
      <c r="C465" s="4829" t="s">
        <v>3143</v>
      </c>
      <c r="D465" s="4829" t="s">
        <v>3144</v>
      </c>
      <c r="E465" s="4829" t="s">
        <v>3145</v>
      </c>
      <c r="F465" s="4829" t="s">
        <v>2479</v>
      </c>
      <c r="G465" s="4829" t="s">
        <v>22</v>
      </c>
      <c r="H465" s="4829" t="s">
        <v>22</v>
      </c>
      <c r="I465" s="4829" t="s">
        <v>902</v>
      </c>
    </row>
    <row customHeight="1" ht="11.25">
      <c r="A466" s="4829" t="s">
        <v>2375</v>
      </c>
      <c r="B466" s="4829" t="s">
        <v>16</v>
      </c>
      <c r="C466" s="4829" t="s">
        <v>2827</v>
      </c>
      <c r="D466" s="4829" t="s">
        <v>2828</v>
      </c>
      <c r="E466" s="4829" t="s">
        <v>2829</v>
      </c>
      <c r="F466" s="4829" t="s">
        <v>2534</v>
      </c>
      <c r="G466" s="4829" t="s">
        <v>22</v>
      </c>
      <c r="H466" s="4829" t="s">
        <v>22</v>
      </c>
      <c r="I466" s="4829" t="s">
        <v>902</v>
      </c>
    </row>
    <row customHeight="1" ht="11.25">
      <c r="A467" s="4829" t="s">
        <v>2375</v>
      </c>
      <c r="B467" s="4829" t="s">
        <v>16</v>
      </c>
      <c r="C467" s="4829" t="s">
        <v>2830</v>
      </c>
      <c r="D467" s="4829" t="s">
        <v>2831</v>
      </c>
      <c r="E467" s="4829" t="s">
        <v>2832</v>
      </c>
      <c r="F467" s="4829" t="s">
        <v>2479</v>
      </c>
      <c r="G467" s="4829" t="s">
        <v>22</v>
      </c>
      <c r="H467" s="4829" t="s">
        <v>22</v>
      </c>
      <c r="I467" s="4829" t="s">
        <v>902</v>
      </c>
    </row>
    <row customHeight="1" ht="11.25">
      <c r="A468" s="4829" t="s">
        <v>2375</v>
      </c>
      <c r="B468" s="4829" t="s">
        <v>16</v>
      </c>
      <c r="C468" s="4829" t="s">
        <v>2836</v>
      </c>
      <c r="D468" s="4829" t="s">
        <v>2837</v>
      </c>
      <c r="E468" s="4829" t="s">
        <v>2838</v>
      </c>
      <c r="F468" s="4829" t="s">
        <v>2493</v>
      </c>
      <c r="G468" s="4829" t="s">
        <v>2839</v>
      </c>
      <c r="H468" s="4829" t="s">
        <v>22</v>
      </c>
      <c r="I468" s="4829" t="s">
        <v>902</v>
      </c>
    </row>
    <row customHeight="1" ht="11.25">
      <c r="A469" s="4829" t="s">
        <v>2375</v>
      </c>
      <c r="B469" s="4829" t="s">
        <v>16</v>
      </c>
      <c r="C469" s="4829" t="s">
        <v>3089</v>
      </c>
      <c r="D469" s="4829" t="s">
        <v>3090</v>
      </c>
      <c r="E469" s="4829" t="s">
        <v>3091</v>
      </c>
      <c r="F469" s="4829" t="s">
        <v>2709</v>
      </c>
      <c r="G469" s="4829" t="s">
        <v>22</v>
      </c>
      <c r="H469" s="4829" t="s">
        <v>22</v>
      </c>
      <c r="I469" s="4829" t="s">
        <v>902</v>
      </c>
    </row>
    <row customHeight="1" ht="11.25">
      <c r="A470" s="4829" t="s">
        <v>2375</v>
      </c>
      <c r="B470" s="4829" t="s">
        <v>16</v>
      </c>
      <c r="C470" s="4829" t="s">
        <v>3092</v>
      </c>
      <c r="D470" s="4829" t="s">
        <v>3093</v>
      </c>
      <c r="E470" s="4829" t="s">
        <v>3094</v>
      </c>
      <c r="F470" s="4829" t="s">
        <v>2508</v>
      </c>
      <c r="G470" s="4829" t="s">
        <v>3095</v>
      </c>
      <c r="H470" s="4829" t="s">
        <v>22</v>
      </c>
      <c r="I470" s="4829" t="s">
        <v>902</v>
      </c>
    </row>
    <row customHeight="1" ht="11.25">
      <c r="A471" s="4829" t="s">
        <v>2375</v>
      </c>
      <c r="B471" s="4829" t="s">
        <v>16</v>
      </c>
      <c r="C471" s="4829" t="s">
        <v>2870</v>
      </c>
      <c r="D471" s="4829" t="s">
        <v>2871</v>
      </c>
      <c r="E471" s="4829" t="s">
        <v>2872</v>
      </c>
      <c r="F471" s="4829" t="s">
        <v>2508</v>
      </c>
      <c r="G471" s="4829" t="s">
        <v>22</v>
      </c>
      <c r="H471" s="4829" t="s">
        <v>22</v>
      </c>
      <c r="I471" s="4829" t="s">
        <v>902</v>
      </c>
    </row>
    <row customHeight="1" ht="11.25">
      <c r="A472" s="4829" t="s">
        <v>2375</v>
      </c>
      <c r="B472" s="4829" t="s">
        <v>16</v>
      </c>
      <c r="C472" s="4829" t="s">
        <v>2876</v>
      </c>
      <c r="D472" s="4829" t="s">
        <v>2877</v>
      </c>
      <c r="E472" s="4829" t="s">
        <v>2878</v>
      </c>
      <c r="F472" s="4829" t="s">
        <v>2534</v>
      </c>
      <c r="G472" s="4829" t="s">
        <v>2879</v>
      </c>
      <c r="H472" s="4829" t="s">
        <v>22</v>
      </c>
      <c r="I472" s="4829" t="s">
        <v>902</v>
      </c>
    </row>
    <row customHeight="1" ht="11.25">
      <c r="A473" s="4829" t="s">
        <v>2375</v>
      </c>
      <c r="B473" s="4829" t="s">
        <v>16</v>
      </c>
      <c r="C473" s="4829" t="s">
        <v>2880</v>
      </c>
      <c r="D473" s="4829" t="s">
        <v>2881</v>
      </c>
      <c r="E473" s="4829" t="s">
        <v>2882</v>
      </c>
      <c r="F473" s="4829" t="s">
        <v>50</v>
      </c>
      <c r="G473" s="4829" t="s">
        <v>22</v>
      </c>
      <c r="H473" s="4829" t="s">
        <v>22</v>
      </c>
      <c r="I473" s="4829" t="s">
        <v>902</v>
      </c>
    </row>
    <row customHeight="1" ht="11.25">
      <c r="A474" s="4829" t="s">
        <v>2375</v>
      </c>
      <c r="B474" s="4829" t="s">
        <v>16</v>
      </c>
      <c r="C474" s="4829" t="s">
        <v>2883</v>
      </c>
      <c r="D474" s="4829" t="s">
        <v>2884</v>
      </c>
      <c r="E474" s="4829" t="s">
        <v>2885</v>
      </c>
      <c r="F474" s="4829" t="s">
        <v>2554</v>
      </c>
      <c r="G474" s="4829" t="s">
        <v>2886</v>
      </c>
      <c r="H474" s="4829" t="s">
        <v>22</v>
      </c>
      <c r="I474" s="4829" t="s">
        <v>902</v>
      </c>
    </row>
    <row customHeight="1" ht="11.25">
      <c r="A475" s="4829" t="s">
        <v>2375</v>
      </c>
      <c r="B475" s="4829" t="s">
        <v>16</v>
      </c>
      <c r="C475" s="4829" t="s">
        <v>3146</v>
      </c>
      <c r="D475" s="4829" t="s">
        <v>3147</v>
      </c>
      <c r="E475" s="4829" t="s">
        <v>3148</v>
      </c>
      <c r="F475" s="4829" t="s">
        <v>2737</v>
      </c>
      <c r="G475" s="4829" t="s">
        <v>22</v>
      </c>
      <c r="H475" s="4829" t="s">
        <v>22</v>
      </c>
      <c r="I475" s="4829" t="s">
        <v>902</v>
      </c>
    </row>
    <row customHeight="1" ht="11.25">
      <c r="A476" s="4829" t="s">
        <v>2375</v>
      </c>
      <c r="B476" s="4829" t="s">
        <v>16</v>
      </c>
      <c r="C476" s="4829" t="s">
        <v>2894</v>
      </c>
      <c r="D476" s="4829" t="s">
        <v>2895</v>
      </c>
      <c r="E476" s="4829" t="s">
        <v>2896</v>
      </c>
      <c r="F476" s="4829" t="s">
        <v>2737</v>
      </c>
      <c r="G476" s="4829" t="s">
        <v>22</v>
      </c>
      <c r="H476" s="4829" t="s">
        <v>22</v>
      </c>
      <c r="I476" s="4829" t="s">
        <v>902</v>
      </c>
    </row>
    <row customHeight="1" ht="11.25">
      <c r="A477" s="4829" t="s">
        <v>2375</v>
      </c>
      <c r="B477" s="4829" t="s">
        <v>16</v>
      </c>
      <c r="C477" s="4829" t="s">
        <v>2897</v>
      </c>
      <c r="D477" s="4829" t="s">
        <v>2898</v>
      </c>
      <c r="E477" s="4829" t="s">
        <v>2899</v>
      </c>
      <c r="F477" s="4829" t="s">
        <v>2484</v>
      </c>
      <c r="G477" s="4829" t="s">
        <v>22</v>
      </c>
      <c r="H477" s="4829" t="s">
        <v>22</v>
      </c>
      <c r="I477" s="4829" t="s">
        <v>902</v>
      </c>
    </row>
    <row customHeight="1" ht="11.25">
      <c r="A478" s="4829" t="s">
        <v>2375</v>
      </c>
      <c r="B478" s="4829" t="s">
        <v>16</v>
      </c>
      <c r="C478" s="4829" t="s">
        <v>3096</v>
      </c>
      <c r="D478" s="4829" t="s">
        <v>3097</v>
      </c>
      <c r="E478" s="4829" t="s">
        <v>3098</v>
      </c>
      <c r="F478" s="4829" t="s">
        <v>2508</v>
      </c>
      <c r="G478" s="4829" t="s">
        <v>3099</v>
      </c>
      <c r="H478" s="4829" t="s">
        <v>22</v>
      </c>
      <c r="I478" s="4829" t="s">
        <v>902</v>
      </c>
    </row>
    <row customHeight="1" ht="11.25">
      <c r="A479" s="4829" t="s">
        <v>2375</v>
      </c>
      <c r="B479" s="4829" t="s">
        <v>16</v>
      </c>
      <c r="C479" s="4829" t="s">
        <v>2907</v>
      </c>
      <c r="D479" s="4829" t="s">
        <v>2908</v>
      </c>
      <c r="E479" s="4829" t="s">
        <v>2909</v>
      </c>
      <c r="F479" s="4829" t="s">
        <v>2737</v>
      </c>
      <c r="G479" s="4829" t="s">
        <v>22</v>
      </c>
      <c r="H479" s="4829" t="s">
        <v>22</v>
      </c>
      <c r="I479" s="4829" t="s">
        <v>902</v>
      </c>
    </row>
    <row customHeight="1" ht="11.25">
      <c r="A480" s="4829" t="s">
        <v>2375</v>
      </c>
      <c r="B480" s="4829" t="s">
        <v>16</v>
      </c>
      <c r="C480" s="4829" t="s">
        <v>3104</v>
      </c>
      <c r="D480" s="4829" t="s">
        <v>3105</v>
      </c>
      <c r="E480" s="4829" t="s">
        <v>3106</v>
      </c>
      <c r="F480" s="4829" t="s">
        <v>2667</v>
      </c>
      <c r="G480" s="4829" t="s">
        <v>3107</v>
      </c>
      <c r="H480" s="4829" t="s">
        <v>22</v>
      </c>
      <c r="I480" s="4829" t="s">
        <v>902</v>
      </c>
    </row>
    <row customHeight="1" ht="11.25">
      <c r="A481" s="4829" t="s">
        <v>2375</v>
      </c>
      <c r="B481" s="4829" t="s">
        <v>16</v>
      </c>
      <c r="C481" s="4829" t="s">
        <v>2921</v>
      </c>
      <c r="D481" s="4829" t="s">
        <v>2922</v>
      </c>
      <c r="E481" s="4829" t="s">
        <v>2923</v>
      </c>
      <c r="F481" s="4829" t="s">
        <v>2526</v>
      </c>
      <c r="G481" s="4829" t="s">
        <v>22</v>
      </c>
      <c r="H481" s="4829" t="s">
        <v>22</v>
      </c>
      <c r="I481" s="4829" t="s">
        <v>902</v>
      </c>
    </row>
    <row customHeight="1" ht="11.25">
      <c r="A482" s="4829" t="s">
        <v>2375</v>
      </c>
      <c r="B482" s="4829" t="s">
        <v>16</v>
      </c>
      <c r="C482" s="4829" t="s">
        <v>3149</v>
      </c>
      <c r="D482" s="4829" t="s">
        <v>3150</v>
      </c>
      <c r="E482" s="4829" t="s">
        <v>3151</v>
      </c>
      <c r="F482" s="4829" t="s">
        <v>2576</v>
      </c>
      <c r="G482" s="4829" t="s">
        <v>22</v>
      </c>
      <c r="H482" s="4829" t="s">
        <v>22</v>
      </c>
      <c r="I482" s="4829" t="s">
        <v>902</v>
      </c>
    </row>
    <row customHeight="1" ht="11.25">
      <c r="A483" s="4829" t="s">
        <v>2375</v>
      </c>
      <c r="B483" s="4829" t="s">
        <v>16</v>
      </c>
      <c r="C483" s="4829" t="s">
        <v>3116</v>
      </c>
      <c r="D483" s="4829" t="s">
        <v>3117</v>
      </c>
      <c r="E483" s="4829" t="s">
        <v>3118</v>
      </c>
      <c r="F483" s="4829" t="s">
        <v>2454</v>
      </c>
      <c r="G483" s="4829" t="s">
        <v>22</v>
      </c>
      <c r="H483" s="4829" t="s">
        <v>22</v>
      </c>
      <c r="I483" s="4829" t="s">
        <v>902</v>
      </c>
    </row>
    <row customHeight="1" ht="11.25">
      <c r="A484" s="4829" t="s">
        <v>2375</v>
      </c>
      <c r="B484" s="4829" t="s">
        <v>16</v>
      </c>
      <c r="C484" s="4829" t="s">
        <v>3152</v>
      </c>
      <c r="D484" s="4829" t="s">
        <v>3153</v>
      </c>
      <c r="E484" s="4829" t="s">
        <v>3154</v>
      </c>
      <c r="F484" s="4829" t="s">
        <v>2709</v>
      </c>
      <c r="G484" s="4829" t="s">
        <v>3155</v>
      </c>
      <c r="H484" s="4829" t="s">
        <v>22</v>
      </c>
      <c r="I484" s="4829" t="s">
        <v>902</v>
      </c>
    </row>
    <row customHeight="1" ht="11.25">
      <c r="A485" s="4829" t="s">
        <v>2375</v>
      </c>
      <c r="B485" s="4829" t="s">
        <v>16</v>
      </c>
      <c r="C485" s="4829" t="s">
        <v>2929</v>
      </c>
      <c r="D485" s="4829" t="s">
        <v>2930</v>
      </c>
      <c r="E485" s="4829" t="s">
        <v>2931</v>
      </c>
      <c r="F485" s="4829" t="s">
        <v>2576</v>
      </c>
      <c r="G485" s="4829" t="s">
        <v>22</v>
      </c>
      <c r="H485" s="4829" t="s">
        <v>22</v>
      </c>
      <c r="I485" s="4829" t="s">
        <v>902</v>
      </c>
    </row>
    <row customHeight="1" ht="11.25">
      <c r="A486" s="4829" t="s">
        <v>2375</v>
      </c>
      <c r="B486" s="4829" t="s">
        <v>16</v>
      </c>
      <c r="C486" s="4829" t="s">
        <v>2935</v>
      </c>
      <c r="D486" s="4829" t="s">
        <v>2936</v>
      </c>
      <c r="E486" s="4829" t="s">
        <v>2937</v>
      </c>
      <c r="F486" s="4829" t="s">
        <v>50</v>
      </c>
      <c r="G486" s="4829" t="s">
        <v>22</v>
      </c>
      <c r="H486" s="4829" t="s">
        <v>22</v>
      </c>
      <c r="I486" s="4829" t="s">
        <v>902</v>
      </c>
    </row>
    <row customHeight="1" ht="11.25">
      <c r="A487" s="4829" t="s">
        <v>2375</v>
      </c>
      <c r="B487" s="4829" t="s">
        <v>16</v>
      </c>
      <c r="C487" s="4829" t="s">
        <v>2938</v>
      </c>
      <c r="D487" s="4829" t="s">
        <v>2939</v>
      </c>
      <c r="E487" s="4829" t="s">
        <v>2940</v>
      </c>
      <c r="F487" s="4829" t="s">
        <v>2440</v>
      </c>
      <c r="G487" s="4829" t="s">
        <v>2941</v>
      </c>
      <c r="H487" s="4829" t="s">
        <v>22</v>
      </c>
      <c r="I487" s="4829" t="s">
        <v>902</v>
      </c>
    </row>
    <row customHeight="1" ht="11.25">
      <c r="A488" s="4829" t="s">
        <v>2375</v>
      </c>
      <c r="B488" s="4829" t="s">
        <v>16</v>
      </c>
      <c r="C488" s="4829" t="s">
        <v>2945</v>
      </c>
      <c r="D488" s="4829" t="s">
        <v>2946</v>
      </c>
      <c r="E488" s="4829" t="s">
        <v>2947</v>
      </c>
      <c r="F488" s="4829" t="s">
        <v>2948</v>
      </c>
      <c r="G488" s="4829" t="s">
        <v>22</v>
      </c>
      <c r="H488" s="4829" t="s">
        <v>22</v>
      </c>
      <c r="I488" s="4829" t="s">
        <v>902</v>
      </c>
    </row>
    <row customHeight="1" ht="11.25">
      <c r="A489" s="4829" t="s">
        <v>2375</v>
      </c>
      <c r="B489" s="4829" t="s">
        <v>16</v>
      </c>
      <c r="C489" s="4829" t="s">
        <v>2956</v>
      </c>
      <c r="D489" s="4829" t="s">
        <v>2957</v>
      </c>
      <c r="E489" s="4829" t="s">
        <v>2958</v>
      </c>
      <c r="F489" s="4829" t="s">
        <v>2959</v>
      </c>
      <c r="G489" s="4829" t="s">
        <v>2960</v>
      </c>
      <c r="H489" s="4829" t="s">
        <v>22</v>
      </c>
      <c r="I489" s="4829" t="s">
        <v>902</v>
      </c>
    </row>
    <row customHeight="1" ht="11.25">
      <c r="A490" s="4829" t="s">
        <v>2375</v>
      </c>
      <c r="B490" s="4829" t="s">
        <v>16</v>
      </c>
      <c r="C490" s="4829" t="s">
        <v>2965</v>
      </c>
      <c r="D490" s="4829" t="s">
        <v>2966</v>
      </c>
      <c r="E490" s="4829" t="s">
        <v>2967</v>
      </c>
      <c r="F490" s="4829" t="s">
        <v>2534</v>
      </c>
      <c r="G490" s="4829" t="s">
        <v>22</v>
      </c>
      <c r="H490" s="4829" t="s">
        <v>22</v>
      </c>
      <c r="I490" s="4829" t="s">
        <v>902</v>
      </c>
    </row>
    <row customHeight="1" ht="11.25">
      <c r="A491" s="4829" t="s">
        <v>2375</v>
      </c>
      <c r="B491" s="4829" t="s">
        <v>16</v>
      </c>
      <c r="C491" s="4829" t="s">
        <v>2429</v>
      </c>
      <c r="D491" s="4829" t="s">
        <v>2430</v>
      </c>
      <c r="E491" s="4829" t="s">
        <v>2431</v>
      </c>
      <c r="F491" s="4829" t="s">
        <v>2427</v>
      </c>
      <c r="G491" s="4829" t="s">
        <v>2432</v>
      </c>
      <c r="H491" s="4829" t="s">
        <v>22</v>
      </c>
      <c r="I491" s="4829" t="s">
        <v>1766</v>
      </c>
    </row>
    <row customHeight="1" ht="11.25">
      <c r="A492" s="4829" t="s">
        <v>2375</v>
      </c>
      <c r="B492" s="4829" t="s">
        <v>16</v>
      </c>
      <c r="C492" s="4829" t="s">
        <v>22</v>
      </c>
      <c r="D492" s="4829" t="s">
        <v>2474</v>
      </c>
      <c r="E492" s="4829" t="s">
        <v>2475</v>
      </c>
      <c r="F492" s="4829" t="s">
        <v>50</v>
      </c>
      <c r="G492" s="4829" t="s">
        <v>22</v>
      </c>
      <c r="H492" s="4829" t="s">
        <v>22</v>
      </c>
      <c r="I492" s="4829" t="s">
        <v>1766</v>
      </c>
    </row>
    <row customHeight="1" ht="11.25">
      <c r="A493" s="4829" t="s">
        <v>2375</v>
      </c>
      <c r="B493" s="4829" t="s">
        <v>16</v>
      </c>
      <c r="C493" s="4829" t="s">
        <v>3156</v>
      </c>
      <c r="D493" s="4829" t="s">
        <v>3157</v>
      </c>
      <c r="E493" s="4829" t="s">
        <v>3158</v>
      </c>
      <c r="F493" s="4829" t="s">
        <v>2576</v>
      </c>
      <c r="G493" s="4829" t="s">
        <v>22</v>
      </c>
      <c r="H493" s="4829" t="s">
        <v>22</v>
      </c>
      <c r="I493" s="4829" t="s">
        <v>1766</v>
      </c>
    </row>
    <row customHeight="1" ht="11.25">
      <c r="A494" s="4829" t="s">
        <v>2375</v>
      </c>
      <c r="B494" s="4829" t="s">
        <v>16</v>
      </c>
      <c r="C494" s="4829" t="s">
        <v>3159</v>
      </c>
      <c r="D494" s="4829" t="s">
        <v>3160</v>
      </c>
      <c r="E494" s="4829" t="s">
        <v>3161</v>
      </c>
      <c r="F494" s="4829" t="s">
        <v>2709</v>
      </c>
      <c r="G494" s="4829" t="s">
        <v>3162</v>
      </c>
      <c r="H494" s="4829" t="s">
        <v>22</v>
      </c>
      <c r="I494" s="4829" t="s">
        <v>1766</v>
      </c>
    </row>
    <row customHeight="1" ht="11.25">
      <c r="A495" s="4829" t="s">
        <v>2375</v>
      </c>
      <c r="B495" s="4829" t="s">
        <v>16</v>
      </c>
      <c r="C495" s="4829" t="s">
        <v>3163</v>
      </c>
      <c r="D495" s="4829" t="s">
        <v>3164</v>
      </c>
      <c r="E495" s="4829" t="s">
        <v>3165</v>
      </c>
      <c r="F495" s="4829" t="s">
        <v>2427</v>
      </c>
      <c r="G495" s="4829" t="s">
        <v>3166</v>
      </c>
      <c r="H495" s="4829" t="s">
        <v>22</v>
      </c>
      <c r="I495" s="4829" t="s">
        <v>1766</v>
      </c>
    </row>
    <row customHeight="1" ht="11.25">
      <c r="A496" s="4829" t="s">
        <v>2375</v>
      </c>
      <c r="B496" s="4829" t="s">
        <v>16</v>
      </c>
      <c r="C496" s="4829" t="s">
        <v>3167</v>
      </c>
      <c r="D496" s="4829" t="s">
        <v>3168</v>
      </c>
      <c r="E496" s="4829" t="s">
        <v>3169</v>
      </c>
      <c r="F496" s="4829" t="s">
        <v>50</v>
      </c>
      <c r="G496" s="4829" t="s">
        <v>22</v>
      </c>
      <c r="H496" s="4829" t="s">
        <v>22</v>
      </c>
      <c r="I496" s="4829" t="s">
        <v>1766</v>
      </c>
    </row>
    <row customHeight="1" ht="11.25">
      <c r="A497" s="4829" t="s">
        <v>2375</v>
      </c>
      <c r="B497" s="4829" t="s">
        <v>16</v>
      </c>
      <c r="C497" s="4829" t="s">
        <v>3170</v>
      </c>
      <c r="D497" s="4829" t="s">
        <v>3171</v>
      </c>
      <c r="E497" s="4829" t="s">
        <v>3172</v>
      </c>
      <c r="F497" s="4829" t="s">
        <v>2534</v>
      </c>
      <c r="G497" s="4829" t="s">
        <v>22</v>
      </c>
      <c r="H497" s="4829" t="s">
        <v>22</v>
      </c>
      <c r="I497" s="4829" t="s">
        <v>1766</v>
      </c>
    </row>
    <row customHeight="1" ht="11.25">
      <c r="A498" s="4829" t="s">
        <v>2375</v>
      </c>
      <c r="B498" s="4829" t="s">
        <v>16</v>
      </c>
      <c r="C498" s="4829" t="s">
        <v>3173</v>
      </c>
      <c r="D498" s="4829" t="s">
        <v>3174</v>
      </c>
      <c r="E498" s="4829" t="s">
        <v>3175</v>
      </c>
      <c r="F498" s="4829" t="s">
        <v>2427</v>
      </c>
      <c r="G498" s="4829" t="s">
        <v>22</v>
      </c>
      <c r="H498" s="4829" t="s">
        <v>22</v>
      </c>
      <c r="I498" s="4829" t="s">
        <v>1766</v>
      </c>
    </row>
    <row customHeight="1" ht="11.25">
      <c r="A499" s="4829" t="s">
        <v>2375</v>
      </c>
      <c r="B499" s="4829" t="s">
        <v>16</v>
      </c>
      <c r="C499" s="4829" t="s">
        <v>3176</v>
      </c>
      <c r="D499" s="4829" t="s">
        <v>3177</v>
      </c>
      <c r="E499" s="4829" t="s">
        <v>3178</v>
      </c>
      <c r="F499" s="4829" t="s">
        <v>2427</v>
      </c>
      <c r="G499" s="4829" t="s">
        <v>22</v>
      </c>
      <c r="H499" s="4829" t="s">
        <v>22</v>
      </c>
      <c r="I499" s="4829" t="s">
        <v>1766</v>
      </c>
    </row>
    <row customHeight="1" ht="11.25">
      <c r="A500" s="4829" t="s">
        <v>2375</v>
      </c>
      <c r="B500" s="4829" t="s">
        <v>16</v>
      </c>
      <c r="C500" s="4829" t="s">
        <v>3179</v>
      </c>
      <c r="D500" s="4829" t="s">
        <v>3180</v>
      </c>
      <c r="E500" s="4829" t="s">
        <v>3181</v>
      </c>
      <c r="F500" s="4829" t="s">
        <v>2493</v>
      </c>
      <c r="G500" s="4829" t="s">
        <v>3182</v>
      </c>
      <c r="H500" s="4829" t="s">
        <v>22</v>
      </c>
      <c r="I500" s="4829" t="s">
        <v>1766</v>
      </c>
    </row>
    <row customHeight="1" ht="11.25">
      <c r="A501" s="4829" t="s">
        <v>2375</v>
      </c>
      <c r="B501" s="4829" t="s">
        <v>16</v>
      </c>
      <c r="C501" s="4829" t="s">
        <v>3183</v>
      </c>
      <c r="D501" s="4829" t="s">
        <v>3184</v>
      </c>
      <c r="E501" s="4829" t="s">
        <v>3185</v>
      </c>
      <c r="F501" s="4829" t="s">
        <v>2479</v>
      </c>
      <c r="G501" s="4829" t="s">
        <v>22</v>
      </c>
      <c r="H501" s="4829" t="s">
        <v>22</v>
      </c>
      <c r="I501" s="4829" t="s">
        <v>1766</v>
      </c>
    </row>
    <row customHeight="1" ht="11.25">
      <c r="A502" s="4829" t="s">
        <v>2375</v>
      </c>
      <c r="B502" s="4829" t="s">
        <v>16</v>
      </c>
      <c r="C502" s="4829" t="s">
        <v>3186</v>
      </c>
      <c r="D502" s="4829" t="s">
        <v>3187</v>
      </c>
      <c r="E502" s="4829" t="s">
        <v>3188</v>
      </c>
      <c r="F502" s="4829" t="s">
        <v>2667</v>
      </c>
      <c r="G502" s="4829" t="s">
        <v>3189</v>
      </c>
      <c r="H502" s="4829" t="s">
        <v>22</v>
      </c>
      <c r="I502" s="4829" t="s">
        <v>1766</v>
      </c>
    </row>
    <row customHeight="1" ht="11.25">
      <c r="A503" s="4829" t="s">
        <v>2375</v>
      </c>
      <c r="B503" s="4829" t="s">
        <v>16</v>
      </c>
      <c r="C503" s="4829" t="s">
        <v>2848</v>
      </c>
      <c r="D503" s="4829" t="s">
        <v>2849</v>
      </c>
      <c r="E503" s="4829" t="s">
        <v>2850</v>
      </c>
      <c r="F503" s="4829" t="s">
        <v>2427</v>
      </c>
      <c r="G503" s="4829" t="s">
        <v>2851</v>
      </c>
      <c r="H503" s="4829" t="s">
        <v>22</v>
      </c>
      <c r="I503" s="4829" t="s">
        <v>1766</v>
      </c>
    </row>
    <row customHeight="1" ht="11.25">
      <c r="A504" s="4829" t="s">
        <v>2375</v>
      </c>
      <c r="B504" s="4829" t="s">
        <v>16</v>
      </c>
      <c r="C504" s="4829" t="s">
        <v>3190</v>
      </c>
      <c r="D504" s="4829" t="s">
        <v>3191</v>
      </c>
      <c r="E504" s="4829" t="s">
        <v>3192</v>
      </c>
      <c r="F504" s="4829" t="s">
        <v>2436</v>
      </c>
      <c r="G504" s="4829" t="s">
        <v>22</v>
      </c>
      <c r="H504" s="4829" t="s">
        <v>22</v>
      </c>
      <c r="I504" s="4829" t="s">
        <v>1766</v>
      </c>
    </row>
    <row customHeight="1" ht="11.25">
      <c r="A505" s="4829" t="s">
        <v>2375</v>
      </c>
      <c r="B505" s="4829" t="s">
        <v>16</v>
      </c>
      <c r="C505" s="4829" t="s">
        <v>3193</v>
      </c>
      <c r="D505" s="4829" t="s">
        <v>3194</v>
      </c>
      <c r="E505" s="4829" t="s">
        <v>3195</v>
      </c>
      <c r="F505" s="4829" t="s">
        <v>2667</v>
      </c>
      <c r="G505" s="4829" t="s">
        <v>3196</v>
      </c>
      <c r="H505" s="4829" t="s">
        <v>22</v>
      </c>
      <c r="I505" s="4829" t="s">
        <v>1766</v>
      </c>
    </row>
    <row customHeight="1" ht="11.25">
      <c r="A506" s="4829" t="s">
        <v>2375</v>
      </c>
      <c r="B506" s="4829" t="s">
        <v>16</v>
      </c>
      <c r="C506" s="4829" t="s">
        <v>3197</v>
      </c>
      <c r="D506" s="4829" t="s">
        <v>3198</v>
      </c>
      <c r="E506" s="4829" t="s">
        <v>3199</v>
      </c>
      <c r="F506" s="4829" t="s">
        <v>50</v>
      </c>
      <c r="G506" s="4829" t="s">
        <v>3200</v>
      </c>
      <c r="H506" s="4829" t="s">
        <v>22</v>
      </c>
      <c r="I506" s="4829" t="s">
        <v>1766</v>
      </c>
    </row>
    <row customHeight="1" ht="11.25">
      <c r="A507" s="4829" t="s">
        <v>2375</v>
      </c>
      <c r="B507" s="4829" t="s">
        <v>16</v>
      </c>
      <c r="C507" s="4829" t="s">
        <v>3201</v>
      </c>
      <c r="D507" s="4829" t="s">
        <v>3202</v>
      </c>
      <c r="E507" s="4829" t="s">
        <v>3203</v>
      </c>
      <c r="F507" s="4829" t="s">
        <v>2667</v>
      </c>
      <c r="G507" s="4829" t="s">
        <v>3204</v>
      </c>
      <c r="H507" s="4829" t="s">
        <v>22</v>
      </c>
      <c r="I507" s="4829" t="s">
        <v>1766</v>
      </c>
    </row>
    <row customHeight="1" ht="11.25">
      <c r="A508" s="4829" t="s">
        <v>2375</v>
      </c>
      <c r="B508" s="4829" t="s">
        <v>16</v>
      </c>
      <c r="C508" s="4829" t="s">
        <v>3205</v>
      </c>
      <c r="D508" s="4829" t="s">
        <v>3206</v>
      </c>
      <c r="E508" s="4829" t="s">
        <v>3207</v>
      </c>
      <c r="F508" s="4829" t="s">
        <v>2436</v>
      </c>
      <c r="G508" s="4829" t="s">
        <v>22</v>
      </c>
      <c r="H508" s="4829" t="s">
        <v>22</v>
      </c>
      <c r="I508" s="4829" t="s">
        <v>1766</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9FD95D-3559-65BB-E5FE-9A439AF42527}" mc:Ignorable="x14ac xr xr2 xr3">
  <sheetPr>
    <tabColor rgb="FFFFCC99"/>
  </sheetPr>
  <dimension ref="A1:G240"/>
  <sheetViews>
    <sheetView topLeftCell="A1" showGridLines="0" workbookViewId="0">
      <selection activeCell="A1" sqref="A1"/>
    </sheetView>
  </sheetViews>
  <sheetFormatPr customHeight="1" defaultRowHeight="11.25"/>
  <cols>
    <col min="1" max="1" style="17376" width="9.140625"/>
  </cols>
  <sheetData>
    <row customHeight="1" ht="11.25">
      <c r="A1" s="714" t="s">
        <v>3208</v>
      </c>
      <c r="B1" s="403" t="s">
        <v>3209</v>
      </c>
      <c r="C1" s="403" t="s">
        <v>3210</v>
      </c>
      <c r="D1" s="403" t="s">
        <v>3211</v>
      </c>
      <c r="E1" s="290" t="s">
        <v>3212</v>
      </c>
      <c r="F1" s="290" t="s">
        <v>3213</v>
      </c>
      <c r="G1" s="290" t="s">
        <v>3214</v>
      </c>
    </row>
    <row customHeight="1" ht="11.25">
      <c r="A2" s="714" t="s">
        <v>16</v>
      </c>
      <c r="B2" s="0" t="s">
        <v>1162</v>
      </c>
      <c r="C2" s="0" t="s">
        <v>3215</v>
      </c>
      <c r="D2" s="0" t="s">
        <v>1162</v>
      </c>
      <c r="E2" s="0" t="s">
        <v>3215</v>
      </c>
      <c r="F2" s="0" t="s">
        <v>3216</v>
      </c>
      <c r="G2" s="0" t="s">
        <v>106</v>
      </c>
    </row>
    <row customHeight="1" ht="11.25">
      <c r="A3" s="714" t="s">
        <v>16</v>
      </c>
      <c r="B3" s="0" t="s">
        <v>1162</v>
      </c>
      <c r="C3" s="0" t="s">
        <v>3215</v>
      </c>
      <c r="D3" s="0" t="s">
        <v>3217</v>
      </c>
      <c r="E3" s="0" t="s">
        <v>3218</v>
      </c>
      <c r="F3" s="0" t="s">
        <v>3219</v>
      </c>
      <c r="G3" s="0" t="s">
        <v>107</v>
      </c>
    </row>
    <row customHeight="1" ht="11.25">
      <c r="A4" s="714" t="s">
        <v>16</v>
      </c>
      <c r="B4" s="0" t="s">
        <v>1162</v>
      </c>
      <c r="C4" s="0" t="s">
        <v>3215</v>
      </c>
      <c r="D4" s="0" t="s">
        <v>3220</v>
      </c>
      <c r="E4" s="0" t="s">
        <v>3221</v>
      </c>
      <c r="F4" s="0" t="s">
        <v>3219</v>
      </c>
      <c r="G4" s="0" t="s">
        <v>90</v>
      </c>
    </row>
    <row customHeight="1" ht="11.25">
      <c r="A5" s="714" t="s">
        <v>16</v>
      </c>
      <c r="B5" s="0" t="s">
        <v>1162</v>
      </c>
      <c r="C5" s="0" t="s">
        <v>3215</v>
      </c>
      <c r="D5" s="0" t="s">
        <v>1163</v>
      </c>
      <c r="E5" s="0" t="s">
        <v>1164</v>
      </c>
      <c r="F5" s="0" t="s">
        <v>3222</v>
      </c>
      <c r="G5" s="0" t="s">
        <v>91</v>
      </c>
    </row>
    <row customHeight="1" ht="11.25">
      <c r="A6" s="714" t="s">
        <v>16</v>
      </c>
      <c r="B6" s="0" t="s">
        <v>1162</v>
      </c>
      <c r="C6" s="0" t="s">
        <v>3215</v>
      </c>
      <c r="D6" s="0" t="s">
        <v>3223</v>
      </c>
      <c r="E6" s="0" t="s">
        <v>3224</v>
      </c>
      <c r="F6" s="0" t="s">
        <v>3219</v>
      </c>
      <c r="G6" s="0" t="s">
        <v>108</v>
      </c>
    </row>
    <row customHeight="1" ht="11.25">
      <c r="A7" s="714" t="s">
        <v>16</v>
      </c>
      <c r="B7" s="0" t="s">
        <v>1162</v>
      </c>
      <c r="C7" s="0" t="s">
        <v>3215</v>
      </c>
      <c r="D7" s="0" t="s">
        <v>3225</v>
      </c>
      <c r="E7" s="0" t="s">
        <v>3226</v>
      </c>
      <c r="F7" s="0" t="s">
        <v>3219</v>
      </c>
      <c r="G7" s="0" t="s">
        <v>92</v>
      </c>
    </row>
    <row customHeight="1" ht="11.25">
      <c r="A8" s="714" t="s">
        <v>16</v>
      </c>
      <c r="B8" s="0" t="s">
        <v>1162</v>
      </c>
      <c r="C8" s="0" t="s">
        <v>3215</v>
      </c>
      <c r="D8" s="0" t="s">
        <v>3227</v>
      </c>
      <c r="E8" s="0" t="s">
        <v>3228</v>
      </c>
      <c r="F8" s="0" t="s">
        <v>3219</v>
      </c>
      <c r="G8" s="0" t="s">
        <v>93</v>
      </c>
    </row>
    <row customHeight="1" ht="11.25">
      <c r="A9" s="714" t="s">
        <v>16</v>
      </c>
      <c r="B9" s="0" t="s">
        <v>1162</v>
      </c>
      <c r="C9" s="0" t="s">
        <v>3215</v>
      </c>
      <c r="D9" s="0" t="s">
        <v>3229</v>
      </c>
      <c r="E9" s="0" t="s">
        <v>3230</v>
      </c>
      <c r="F9" s="0" t="s">
        <v>3219</v>
      </c>
      <c r="G9" s="0" t="s">
        <v>109</v>
      </c>
    </row>
    <row customHeight="1" ht="11.25">
      <c r="A10" s="714" t="s">
        <v>16</v>
      </c>
      <c r="B10" s="0" t="s">
        <v>1162</v>
      </c>
      <c r="C10" s="0" t="s">
        <v>3215</v>
      </c>
      <c r="D10" s="0" t="s">
        <v>3231</v>
      </c>
      <c r="E10" s="0" t="s">
        <v>3232</v>
      </c>
      <c r="F10" s="0" t="s">
        <v>3219</v>
      </c>
      <c r="G10" s="0" t="s">
        <v>145</v>
      </c>
    </row>
    <row customHeight="1" ht="11.25">
      <c r="A11" s="714" t="s">
        <v>16</v>
      </c>
      <c r="B11" s="0" t="s">
        <v>1162</v>
      </c>
      <c r="C11" s="0" t="s">
        <v>3215</v>
      </c>
      <c r="D11" s="0" t="s">
        <v>3233</v>
      </c>
      <c r="E11" s="0" t="s">
        <v>3234</v>
      </c>
      <c r="F11" s="0" t="s">
        <v>3235</v>
      </c>
      <c r="G11" s="0" t="s">
        <v>146</v>
      </c>
    </row>
    <row customHeight="1" ht="11.25">
      <c r="A12" s="714" t="s">
        <v>16</v>
      </c>
      <c r="B12" s="0" t="s">
        <v>1162</v>
      </c>
      <c r="C12" s="0" t="s">
        <v>3215</v>
      </c>
      <c r="D12" s="0" t="s">
        <v>3236</v>
      </c>
      <c r="E12" s="0" t="s">
        <v>3237</v>
      </c>
      <c r="F12" s="0" t="s">
        <v>3219</v>
      </c>
      <c r="G12" s="0" t="s">
        <v>147</v>
      </c>
    </row>
    <row customHeight="1" ht="11.25">
      <c r="A13" s="714" t="s">
        <v>16</v>
      </c>
      <c r="B13" s="0" t="s">
        <v>3238</v>
      </c>
      <c r="C13" s="0" t="s">
        <v>3239</v>
      </c>
      <c r="D13" s="0" t="s">
        <v>3240</v>
      </c>
      <c r="E13" s="0" t="s">
        <v>3241</v>
      </c>
      <c r="F13" s="0" t="s">
        <v>3219</v>
      </c>
      <c r="G13" s="0" t="s">
        <v>148</v>
      </c>
    </row>
    <row customHeight="1" ht="11.25">
      <c r="A14" s="714" t="s">
        <v>16</v>
      </c>
      <c r="B14" s="0" t="s">
        <v>3238</v>
      </c>
      <c r="C14" s="0" t="s">
        <v>3239</v>
      </c>
      <c r="D14" s="0" t="s">
        <v>3238</v>
      </c>
      <c r="E14" s="0" t="s">
        <v>3239</v>
      </c>
      <c r="F14" s="0" t="s">
        <v>3216</v>
      </c>
      <c r="G14" s="0" t="s">
        <v>149</v>
      </c>
    </row>
    <row customHeight="1" ht="11.25">
      <c r="A15" s="714" t="s">
        <v>16</v>
      </c>
      <c r="B15" s="0" t="s">
        <v>3238</v>
      </c>
      <c r="C15" s="0" t="s">
        <v>3239</v>
      </c>
      <c r="D15" s="0" t="s">
        <v>3242</v>
      </c>
      <c r="E15" s="0" t="s">
        <v>3243</v>
      </c>
      <c r="F15" s="0" t="s">
        <v>3219</v>
      </c>
      <c r="G15" s="0" t="s">
        <v>150</v>
      </c>
    </row>
    <row customHeight="1" ht="11.25">
      <c r="A16" s="714" t="s">
        <v>16</v>
      </c>
      <c r="B16" s="0" t="s">
        <v>3238</v>
      </c>
      <c r="C16" s="0" t="s">
        <v>3239</v>
      </c>
      <c r="D16" s="0" t="s">
        <v>3244</v>
      </c>
      <c r="E16" s="0" t="s">
        <v>3245</v>
      </c>
      <c r="F16" s="0" t="s">
        <v>3246</v>
      </c>
      <c r="G16" s="0" t="s">
        <v>1049</v>
      </c>
    </row>
    <row customHeight="1" ht="11.25">
      <c r="A17" s="714" t="s">
        <v>16</v>
      </c>
      <c r="B17" s="0" t="s">
        <v>3238</v>
      </c>
      <c r="C17" s="0" t="s">
        <v>3239</v>
      </c>
      <c r="D17" s="0" t="s">
        <v>3247</v>
      </c>
      <c r="E17" s="0" t="s">
        <v>3248</v>
      </c>
      <c r="F17" s="0" t="s">
        <v>3219</v>
      </c>
      <c r="G17" s="0" t="s">
        <v>1098</v>
      </c>
    </row>
    <row customHeight="1" ht="11.25">
      <c r="A18" s="714" t="s">
        <v>16</v>
      </c>
      <c r="B18" s="0" t="s">
        <v>3238</v>
      </c>
      <c r="C18" s="0" t="s">
        <v>3239</v>
      </c>
      <c r="D18" s="0" t="s">
        <v>3249</v>
      </c>
      <c r="E18" s="0" t="s">
        <v>3250</v>
      </c>
      <c r="F18" s="0" t="s">
        <v>3219</v>
      </c>
      <c r="G18" s="0" t="s">
        <v>1100</v>
      </c>
    </row>
    <row customHeight="1" ht="11.25">
      <c r="A19" s="714" t="s">
        <v>16</v>
      </c>
      <c r="B19" s="0" t="s">
        <v>3251</v>
      </c>
      <c r="C19" s="0" t="s">
        <v>3252</v>
      </c>
      <c r="D19" s="0" t="s">
        <v>3251</v>
      </c>
      <c r="E19" s="0" t="s">
        <v>3252</v>
      </c>
      <c r="F19" s="0" t="s">
        <v>3216</v>
      </c>
      <c r="G19" s="0" t="s">
        <v>1102</v>
      </c>
    </row>
    <row customHeight="1" ht="11.25">
      <c r="A20" s="714" t="s">
        <v>16</v>
      </c>
      <c r="B20" s="0" t="s">
        <v>3251</v>
      </c>
      <c r="C20" s="0" t="s">
        <v>3252</v>
      </c>
      <c r="D20" s="0" t="s">
        <v>3253</v>
      </c>
      <c r="E20" s="0" t="s">
        <v>3254</v>
      </c>
      <c r="F20" s="0" t="s">
        <v>3219</v>
      </c>
      <c r="G20" s="0" t="s">
        <v>1108</v>
      </c>
    </row>
    <row customHeight="1" ht="11.25">
      <c r="A21" s="714" t="s">
        <v>16</v>
      </c>
      <c r="B21" s="0" t="s">
        <v>3251</v>
      </c>
      <c r="C21" s="0" t="s">
        <v>3252</v>
      </c>
      <c r="D21" s="0" t="s">
        <v>3255</v>
      </c>
      <c r="E21" s="0" t="s">
        <v>3256</v>
      </c>
      <c r="F21" s="0" t="s">
        <v>3222</v>
      </c>
      <c r="G21" s="0" t="s">
        <v>1110</v>
      </c>
    </row>
    <row customHeight="1" ht="11.25">
      <c r="A22" s="714" t="s">
        <v>16</v>
      </c>
      <c r="B22" s="0" t="s">
        <v>3251</v>
      </c>
      <c r="C22" s="0" t="s">
        <v>3252</v>
      </c>
      <c r="D22" s="0" t="s">
        <v>3257</v>
      </c>
      <c r="E22" s="0" t="s">
        <v>3258</v>
      </c>
      <c r="F22" s="0" t="s">
        <v>3219</v>
      </c>
      <c r="G22" s="0" t="s">
        <v>1112</v>
      </c>
    </row>
    <row customHeight="1" ht="11.25">
      <c r="A23" s="714" t="s">
        <v>16</v>
      </c>
      <c r="B23" s="0" t="s">
        <v>3251</v>
      </c>
      <c r="C23" s="0" t="s">
        <v>3252</v>
      </c>
      <c r="D23" s="0" t="s">
        <v>3259</v>
      </c>
      <c r="E23" s="0" t="s">
        <v>3260</v>
      </c>
      <c r="F23" s="0" t="s">
        <v>3219</v>
      </c>
      <c r="G23" s="0" t="s">
        <v>1114</v>
      </c>
    </row>
    <row customHeight="1" ht="11.25">
      <c r="A24" s="714" t="s">
        <v>16</v>
      </c>
      <c r="B24" s="0" t="s">
        <v>3251</v>
      </c>
      <c r="C24" s="0" t="s">
        <v>3252</v>
      </c>
      <c r="D24" s="0" t="s">
        <v>3261</v>
      </c>
      <c r="E24" s="0" t="s">
        <v>3262</v>
      </c>
      <c r="F24" s="0" t="s">
        <v>3219</v>
      </c>
      <c r="G24" s="0" t="s">
        <v>1116</v>
      </c>
    </row>
    <row customHeight="1" ht="11.25">
      <c r="A25" s="714" t="s">
        <v>16</v>
      </c>
      <c r="B25" s="0" t="s">
        <v>3251</v>
      </c>
      <c r="C25" s="0" t="s">
        <v>3252</v>
      </c>
      <c r="D25" s="0" t="s">
        <v>3263</v>
      </c>
      <c r="E25" s="0" t="s">
        <v>3264</v>
      </c>
      <c r="F25" s="0" t="s">
        <v>3219</v>
      </c>
      <c r="G25" s="0" t="s">
        <v>1118</v>
      </c>
    </row>
    <row customHeight="1" ht="11.25">
      <c r="A26" s="714" t="s">
        <v>16</v>
      </c>
      <c r="B26" s="0" t="s">
        <v>3251</v>
      </c>
      <c r="C26" s="0" t="s">
        <v>3252</v>
      </c>
      <c r="D26" s="0" t="s">
        <v>3265</v>
      </c>
      <c r="E26" s="0" t="s">
        <v>3266</v>
      </c>
      <c r="F26" s="0" t="s">
        <v>3219</v>
      </c>
      <c r="G26" s="0" t="s">
        <v>1121</v>
      </c>
    </row>
    <row customHeight="1" ht="11.25">
      <c r="A27" s="714" t="s">
        <v>16</v>
      </c>
      <c r="B27" s="0" t="s">
        <v>3251</v>
      </c>
      <c r="C27" s="0" t="s">
        <v>3252</v>
      </c>
      <c r="D27" s="0" t="s">
        <v>3267</v>
      </c>
      <c r="E27" s="0" t="s">
        <v>3268</v>
      </c>
      <c r="F27" s="0" t="s">
        <v>3219</v>
      </c>
      <c r="G27" s="0" t="s">
        <v>1123</v>
      </c>
    </row>
    <row customHeight="1" ht="11.25">
      <c r="A28" s="714" t="s">
        <v>16</v>
      </c>
      <c r="B28" s="0" t="s">
        <v>3251</v>
      </c>
      <c r="C28" s="0" t="s">
        <v>3252</v>
      </c>
      <c r="D28" s="0" t="s">
        <v>3269</v>
      </c>
      <c r="E28" s="0" t="s">
        <v>3270</v>
      </c>
      <c r="F28" s="0" t="s">
        <v>3219</v>
      </c>
      <c r="G28" s="0" t="s">
        <v>1125</v>
      </c>
    </row>
    <row customHeight="1" ht="11.25">
      <c r="A29" s="714" t="s">
        <v>16</v>
      </c>
      <c r="B29" s="0" t="s">
        <v>3271</v>
      </c>
      <c r="C29" s="0" t="s">
        <v>3272</v>
      </c>
      <c r="D29" s="0" t="s">
        <v>3271</v>
      </c>
      <c r="E29" s="0" t="s">
        <v>3272</v>
      </c>
      <c r="F29" s="0" t="s">
        <v>3216</v>
      </c>
      <c r="G29" s="0" t="s">
        <v>1127</v>
      </c>
    </row>
    <row customHeight="1" ht="11.25">
      <c r="A30" s="714" t="s">
        <v>16</v>
      </c>
      <c r="B30" s="0" t="s">
        <v>3271</v>
      </c>
      <c r="C30" s="0" t="s">
        <v>3272</v>
      </c>
      <c r="D30" s="0" t="s">
        <v>3273</v>
      </c>
      <c r="E30" s="0" t="s">
        <v>3274</v>
      </c>
      <c r="F30" s="0" t="s">
        <v>3219</v>
      </c>
      <c r="G30" s="0" t="s">
        <v>1129</v>
      </c>
    </row>
    <row customHeight="1" ht="11.25">
      <c r="A31" s="714" t="s">
        <v>16</v>
      </c>
      <c r="B31" s="0" t="s">
        <v>3271</v>
      </c>
      <c r="C31" s="0" t="s">
        <v>3272</v>
      </c>
      <c r="D31" s="0" t="s">
        <v>3275</v>
      </c>
      <c r="E31" s="0" t="s">
        <v>3276</v>
      </c>
      <c r="F31" s="0" t="s">
        <v>3219</v>
      </c>
      <c r="G31" s="0" t="s">
        <v>1131</v>
      </c>
    </row>
    <row customHeight="1" ht="11.25">
      <c r="A32" s="714" t="s">
        <v>16</v>
      </c>
      <c r="B32" s="0" t="s">
        <v>3271</v>
      </c>
      <c r="C32" s="0" t="s">
        <v>3272</v>
      </c>
      <c r="D32" s="0" t="s">
        <v>3277</v>
      </c>
      <c r="E32" s="0" t="s">
        <v>3278</v>
      </c>
      <c r="F32" s="0" t="s">
        <v>3219</v>
      </c>
      <c r="G32" s="0" t="s">
        <v>1133</v>
      </c>
    </row>
    <row customHeight="1" ht="11.25">
      <c r="A33" s="714" t="s">
        <v>16</v>
      </c>
      <c r="B33" s="0" t="s">
        <v>3271</v>
      </c>
      <c r="C33" s="0" t="s">
        <v>3272</v>
      </c>
      <c r="D33" s="0" t="s">
        <v>3279</v>
      </c>
      <c r="E33" s="0" t="s">
        <v>3280</v>
      </c>
      <c r="F33" s="0" t="s">
        <v>3235</v>
      </c>
      <c r="G33" s="0" t="s">
        <v>1135</v>
      </c>
    </row>
    <row customHeight="1" ht="11.25">
      <c r="A34" s="714" t="s">
        <v>16</v>
      </c>
      <c r="B34" s="0" t="s">
        <v>3271</v>
      </c>
      <c r="C34" s="0" t="s">
        <v>3272</v>
      </c>
      <c r="D34" s="0" t="s">
        <v>3281</v>
      </c>
      <c r="E34" s="0" t="s">
        <v>3282</v>
      </c>
      <c r="F34" s="0" t="s">
        <v>3235</v>
      </c>
      <c r="G34" s="0" t="s">
        <v>1137</v>
      </c>
    </row>
    <row customHeight="1" ht="11.25">
      <c r="A35" s="714" t="s">
        <v>16</v>
      </c>
      <c r="B35" s="0" t="s">
        <v>3271</v>
      </c>
      <c r="C35" s="0" t="s">
        <v>3272</v>
      </c>
      <c r="D35" s="0" t="s">
        <v>3283</v>
      </c>
      <c r="E35" s="0" t="s">
        <v>3284</v>
      </c>
      <c r="F35" s="0" t="s">
        <v>3235</v>
      </c>
      <c r="G35" s="0" t="s">
        <v>1140</v>
      </c>
    </row>
    <row customHeight="1" ht="11.25">
      <c r="A36" s="714" t="s">
        <v>16</v>
      </c>
      <c r="B36" s="0" t="s">
        <v>3271</v>
      </c>
      <c r="C36" s="0" t="s">
        <v>3272</v>
      </c>
      <c r="D36" s="0" t="s">
        <v>3285</v>
      </c>
      <c r="E36" s="0" t="s">
        <v>3286</v>
      </c>
      <c r="F36" s="0" t="s">
        <v>3219</v>
      </c>
      <c r="G36" s="0" t="s">
        <v>1144</v>
      </c>
    </row>
    <row customHeight="1" ht="11.25">
      <c r="A37" s="714" t="s">
        <v>16</v>
      </c>
      <c r="B37" s="0" t="s">
        <v>3271</v>
      </c>
      <c r="C37" s="0" t="s">
        <v>3272</v>
      </c>
      <c r="D37" s="0" t="s">
        <v>3287</v>
      </c>
      <c r="E37" s="0" t="s">
        <v>3288</v>
      </c>
      <c r="F37" s="0" t="s">
        <v>3219</v>
      </c>
      <c r="G37" s="0" t="s">
        <v>1146</v>
      </c>
    </row>
    <row customHeight="1" ht="11.25">
      <c r="A38" s="714" t="s">
        <v>16</v>
      </c>
      <c r="B38" s="0" t="s">
        <v>3271</v>
      </c>
      <c r="C38" s="0" t="s">
        <v>3272</v>
      </c>
      <c r="D38" s="0" t="s">
        <v>3289</v>
      </c>
      <c r="E38" s="0" t="s">
        <v>3290</v>
      </c>
      <c r="F38" s="0" t="s">
        <v>3219</v>
      </c>
      <c r="G38" s="0" t="s">
        <v>1149</v>
      </c>
    </row>
    <row customHeight="1" ht="11.25">
      <c r="A39" s="714" t="s">
        <v>16</v>
      </c>
      <c r="B39" s="0" t="s">
        <v>3271</v>
      </c>
      <c r="C39" s="0" t="s">
        <v>3272</v>
      </c>
      <c r="D39" s="0" t="s">
        <v>3291</v>
      </c>
      <c r="E39" s="0" t="s">
        <v>3292</v>
      </c>
      <c r="F39" s="0" t="s">
        <v>3219</v>
      </c>
      <c r="G39" s="0" t="s">
        <v>1151</v>
      </c>
    </row>
    <row customHeight="1" ht="11.25">
      <c r="A40" s="714" t="s">
        <v>16</v>
      </c>
      <c r="B40" s="0" t="s">
        <v>1043</v>
      </c>
      <c r="C40" s="0" t="s">
        <v>3293</v>
      </c>
      <c r="D40" s="0" t="s">
        <v>3294</v>
      </c>
      <c r="E40" s="0" t="s">
        <v>3295</v>
      </c>
      <c r="F40" s="0" t="s">
        <v>3219</v>
      </c>
      <c r="G40" s="0" t="s">
        <v>1159</v>
      </c>
    </row>
    <row customHeight="1" ht="11.25">
      <c r="A41" s="714" t="s">
        <v>16</v>
      </c>
      <c r="B41" s="0" t="s">
        <v>1043</v>
      </c>
      <c r="C41" s="0" t="s">
        <v>3293</v>
      </c>
      <c r="D41" s="0" t="s">
        <v>3296</v>
      </c>
      <c r="E41" s="0" t="s">
        <v>3297</v>
      </c>
      <c r="F41" s="0" t="s">
        <v>3219</v>
      </c>
      <c r="G41" s="0" t="s">
        <v>1169</v>
      </c>
    </row>
    <row customHeight="1" ht="11.25">
      <c r="A42" s="714" t="s">
        <v>16</v>
      </c>
      <c r="B42" s="0" t="s">
        <v>1043</v>
      </c>
      <c r="C42" s="0" t="s">
        <v>3293</v>
      </c>
      <c r="D42" s="0" t="s">
        <v>1043</v>
      </c>
      <c r="E42" s="0" t="s">
        <v>3293</v>
      </c>
      <c r="F42" s="0" t="s">
        <v>3216</v>
      </c>
      <c r="G42" s="0" t="s">
        <v>1171</v>
      </c>
    </row>
    <row customHeight="1" ht="11.25">
      <c r="A43" s="714" t="s">
        <v>16</v>
      </c>
      <c r="B43" s="0" t="s">
        <v>1043</v>
      </c>
      <c r="C43" s="0" t="s">
        <v>3293</v>
      </c>
      <c r="D43" s="0" t="s">
        <v>3298</v>
      </c>
      <c r="E43" s="0" t="s">
        <v>3299</v>
      </c>
      <c r="F43" s="0" t="s">
        <v>3219</v>
      </c>
      <c r="G43" s="0" t="s">
        <v>1173</v>
      </c>
    </row>
    <row customHeight="1" ht="11.25">
      <c r="A44" s="714" t="s">
        <v>16</v>
      </c>
      <c r="B44" s="0" t="s">
        <v>1043</v>
      </c>
      <c r="C44" s="0" t="s">
        <v>3293</v>
      </c>
      <c r="D44" s="0" t="s">
        <v>3300</v>
      </c>
      <c r="E44" s="0" t="s">
        <v>3301</v>
      </c>
      <c r="F44" s="0" t="s">
        <v>3246</v>
      </c>
      <c r="G44" s="0" t="s">
        <v>1175</v>
      </c>
    </row>
    <row customHeight="1" ht="11.25">
      <c r="A45" s="714" t="s">
        <v>16</v>
      </c>
      <c r="B45" s="0" t="s">
        <v>1043</v>
      </c>
      <c r="C45" s="0" t="s">
        <v>3293</v>
      </c>
      <c r="D45" s="0" t="s">
        <v>3302</v>
      </c>
      <c r="E45" s="0" t="s">
        <v>3303</v>
      </c>
      <c r="F45" s="0" t="s">
        <v>3235</v>
      </c>
      <c r="G45" s="0" t="s">
        <v>1177</v>
      </c>
    </row>
    <row customHeight="1" ht="11.25">
      <c r="A46" s="714" t="s">
        <v>16</v>
      </c>
      <c r="B46" s="0" t="s">
        <v>1043</v>
      </c>
      <c r="C46" s="0" t="s">
        <v>3293</v>
      </c>
      <c r="D46" s="0" t="s">
        <v>1044</v>
      </c>
      <c r="E46" s="0" t="s">
        <v>1045</v>
      </c>
      <c r="F46" s="0" t="s">
        <v>3235</v>
      </c>
      <c r="G46" s="0" t="s">
        <v>1792</v>
      </c>
    </row>
    <row customHeight="1" ht="11.25">
      <c r="A47" s="714" t="s">
        <v>16</v>
      </c>
      <c r="B47" s="0" t="s">
        <v>1043</v>
      </c>
      <c r="C47" s="0" t="s">
        <v>3293</v>
      </c>
      <c r="D47" s="0" t="s">
        <v>3304</v>
      </c>
      <c r="E47" s="0" t="s">
        <v>3305</v>
      </c>
      <c r="F47" s="0" t="s">
        <v>3219</v>
      </c>
      <c r="G47" s="0" t="s">
        <v>1798</v>
      </c>
    </row>
    <row customHeight="1" ht="11.25">
      <c r="A48" s="714" t="s">
        <v>16</v>
      </c>
      <c r="B48" s="0" t="s">
        <v>1043</v>
      </c>
      <c r="C48" s="0" t="s">
        <v>3293</v>
      </c>
      <c r="D48" s="0" t="s">
        <v>3306</v>
      </c>
      <c r="E48" s="0" t="s">
        <v>3307</v>
      </c>
      <c r="F48" s="0" t="s">
        <v>3219</v>
      </c>
      <c r="G48" s="0" t="s">
        <v>1803</v>
      </c>
    </row>
    <row customHeight="1" ht="11.25">
      <c r="A49" s="714" t="s">
        <v>16</v>
      </c>
      <c r="B49" s="0" t="s">
        <v>1043</v>
      </c>
      <c r="C49" s="0" t="s">
        <v>3293</v>
      </c>
      <c r="D49" s="0" t="s">
        <v>3308</v>
      </c>
      <c r="E49" s="0" t="s">
        <v>3309</v>
      </c>
      <c r="F49" s="0" t="s">
        <v>3219</v>
      </c>
      <c r="G49" s="0" t="s">
        <v>1806</v>
      </c>
    </row>
    <row customHeight="1" ht="11.25">
      <c r="A50" s="714" t="s">
        <v>16</v>
      </c>
      <c r="B50" s="0" t="s">
        <v>1043</v>
      </c>
      <c r="C50" s="0" t="s">
        <v>3293</v>
      </c>
      <c r="D50" s="0" t="s">
        <v>3310</v>
      </c>
      <c r="E50" s="0" t="s">
        <v>3311</v>
      </c>
      <c r="F50" s="0" t="s">
        <v>3219</v>
      </c>
      <c r="G50" s="0" t="s">
        <v>1810</v>
      </c>
    </row>
    <row customHeight="1" ht="11.25">
      <c r="A51" s="714" t="s">
        <v>16</v>
      </c>
      <c r="B51" s="0" t="s">
        <v>1043</v>
      </c>
      <c r="C51" s="0" t="s">
        <v>3293</v>
      </c>
      <c r="D51" s="0" t="s">
        <v>3312</v>
      </c>
      <c r="E51" s="0" t="s">
        <v>3313</v>
      </c>
      <c r="F51" s="0" t="s">
        <v>3219</v>
      </c>
      <c r="G51" s="0" t="s">
        <v>1815</v>
      </c>
    </row>
    <row customHeight="1" ht="11.25">
      <c r="A52" s="714" t="s">
        <v>16</v>
      </c>
      <c r="B52" s="0" t="s">
        <v>1043</v>
      </c>
      <c r="C52" s="0" t="s">
        <v>3293</v>
      </c>
      <c r="D52" s="0" t="s">
        <v>3314</v>
      </c>
      <c r="E52" s="0" t="s">
        <v>3315</v>
      </c>
      <c r="F52" s="0" t="s">
        <v>3219</v>
      </c>
      <c r="G52" s="0" t="s">
        <v>1819</v>
      </c>
    </row>
    <row customHeight="1" ht="11.25">
      <c r="A53" s="714" t="s">
        <v>16</v>
      </c>
      <c r="B53" s="0" t="s">
        <v>1043</v>
      </c>
      <c r="C53" s="0" t="s">
        <v>3293</v>
      </c>
      <c r="D53" s="0" t="s">
        <v>3316</v>
      </c>
      <c r="E53" s="0" t="s">
        <v>3317</v>
      </c>
      <c r="F53" s="0" t="s">
        <v>3219</v>
      </c>
      <c r="G53" s="0" t="s">
        <v>1821</v>
      </c>
    </row>
    <row customHeight="1" ht="11.25">
      <c r="A54" s="714" t="s">
        <v>16</v>
      </c>
      <c r="B54" s="0" t="s">
        <v>1043</v>
      </c>
      <c r="C54" s="0" t="s">
        <v>3293</v>
      </c>
      <c r="D54" s="0" t="s">
        <v>3318</v>
      </c>
      <c r="E54" s="0" t="s">
        <v>3319</v>
      </c>
      <c r="F54" s="0" t="s">
        <v>3219</v>
      </c>
      <c r="G54" s="0" t="s">
        <v>1824</v>
      </c>
    </row>
    <row customHeight="1" ht="11.25">
      <c r="A55" s="714" t="s">
        <v>16</v>
      </c>
      <c r="B55" s="0" t="s">
        <v>3320</v>
      </c>
      <c r="C55" s="0" t="s">
        <v>3321</v>
      </c>
      <c r="D55" s="0" t="s">
        <v>3322</v>
      </c>
      <c r="E55" s="0" t="s">
        <v>3323</v>
      </c>
      <c r="F55" s="0" t="s">
        <v>3219</v>
      </c>
      <c r="G55" s="0" t="s">
        <v>1828</v>
      </c>
    </row>
    <row customHeight="1" ht="11.25">
      <c r="A56" s="714" t="s">
        <v>16</v>
      </c>
      <c r="B56" s="0" t="s">
        <v>3320</v>
      </c>
      <c r="C56" s="0" t="s">
        <v>3321</v>
      </c>
      <c r="D56" s="0" t="s">
        <v>3324</v>
      </c>
      <c r="E56" s="0" t="s">
        <v>3325</v>
      </c>
      <c r="F56" s="0" t="s">
        <v>3219</v>
      </c>
      <c r="G56" s="0" t="s">
        <v>1831</v>
      </c>
    </row>
    <row customHeight="1" ht="11.25">
      <c r="A57" s="714" t="s">
        <v>16</v>
      </c>
      <c r="B57" s="0" t="s">
        <v>3320</v>
      </c>
      <c r="C57" s="0" t="s">
        <v>3321</v>
      </c>
      <c r="D57" s="0" t="s">
        <v>3326</v>
      </c>
      <c r="E57" s="0" t="s">
        <v>3327</v>
      </c>
      <c r="F57" s="0" t="s">
        <v>3219</v>
      </c>
      <c r="G57" s="0" t="s">
        <v>1834</v>
      </c>
    </row>
    <row customHeight="1" ht="11.25">
      <c r="A58" s="714" t="s">
        <v>16</v>
      </c>
      <c r="B58" s="0" t="s">
        <v>3320</v>
      </c>
      <c r="C58" s="0" t="s">
        <v>3321</v>
      </c>
      <c r="D58" s="0" t="s">
        <v>3328</v>
      </c>
      <c r="E58" s="0" t="s">
        <v>3329</v>
      </c>
      <c r="F58" s="0" t="s">
        <v>3219</v>
      </c>
      <c r="G58" s="0" t="s">
        <v>1837</v>
      </c>
    </row>
    <row customHeight="1" ht="11.25">
      <c r="A59" s="714" t="s">
        <v>16</v>
      </c>
      <c r="B59" s="0" t="s">
        <v>3320</v>
      </c>
      <c r="C59" s="0" t="s">
        <v>3321</v>
      </c>
      <c r="D59" s="0" t="s">
        <v>3320</v>
      </c>
      <c r="E59" s="0" t="s">
        <v>3321</v>
      </c>
      <c r="F59" s="0" t="s">
        <v>3216</v>
      </c>
      <c r="G59" s="0" t="s">
        <v>1841</v>
      </c>
    </row>
    <row customHeight="1" ht="11.25">
      <c r="A60" s="714" t="s">
        <v>16</v>
      </c>
      <c r="B60" s="0" t="s">
        <v>3320</v>
      </c>
      <c r="C60" s="0" t="s">
        <v>3321</v>
      </c>
      <c r="D60" s="0" t="s">
        <v>3330</v>
      </c>
      <c r="E60" s="0" t="s">
        <v>3331</v>
      </c>
      <c r="F60" s="0" t="s">
        <v>3219</v>
      </c>
      <c r="G60" s="0" t="s">
        <v>1844</v>
      </c>
    </row>
    <row customHeight="1" ht="11.25">
      <c r="A61" s="714" t="s">
        <v>16</v>
      </c>
      <c r="B61" s="0" t="s">
        <v>3320</v>
      </c>
      <c r="C61" s="0" t="s">
        <v>3321</v>
      </c>
      <c r="D61" s="0" t="s">
        <v>3332</v>
      </c>
      <c r="E61" s="0" t="s">
        <v>3333</v>
      </c>
      <c r="F61" s="0" t="s">
        <v>3222</v>
      </c>
      <c r="G61" s="0" t="s">
        <v>3334</v>
      </c>
    </row>
    <row customHeight="1" ht="11.25">
      <c r="A62" s="714" t="s">
        <v>16</v>
      </c>
      <c r="B62" s="0" t="s">
        <v>3320</v>
      </c>
      <c r="C62" s="0" t="s">
        <v>3321</v>
      </c>
      <c r="D62" s="0" t="s">
        <v>3335</v>
      </c>
      <c r="E62" s="0" t="s">
        <v>3336</v>
      </c>
      <c r="F62" s="0" t="s">
        <v>3219</v>
      </c>
      <c r="G62" s="0" t="s">
        <v>3337</v>
      </c>
    </row>
    <row customHeight="1" ht="11.25">
      <c r="A63" s="714" t="s">
        <v>16</v>
      </c>
      <c r="B63" s="0" t="s">
        <v>3320</v>
      </c>
      <c r="C63" s="0" t="s">
        <v>3321</v>
      </c>
      <c r="D63" s="0" t="s">
        <v>3338</v>
      </c>
      <c r="E63" s="0" t="s">
        <v>3339</v>
      </c>
      <c r="F63" s="0" t="s">
        <v>3219</v>
      </c>
      <c r="G63" s="0" t="s">
        <v>3340</v>
      </c>
    </row>
    <row customHeight="1" ht="11.25">
      <c r="A64" s="714" t="s">
        <v>16</v>
      </c>
      <c r="B64" s="0" t="s">
        <v>3320</v>
      </c>
      <c r="C64" s="0" t="s">
        <v>3321</v>
      </c>
      <c r="D64" s="0" t="s">
        <v>3341</v>
      </c>
      <c r="E64" s="0" t="s">
        <v>3342</v>
      </c>
      <c r="F64" s="0" t="s">
        <v>3219</v>
      </c>
      <c r="G64" s="0" t="s">
        <v>3343</v>
      </c>
    </row>
    <row customHeight="1" ht="11.25">
      <c r="A65" s="714" t="s">
        <v>16</v>
      </c>
      <c r="B65" s="0" t="s">
        <v>3320</v>
      </c>
      <c r="C65" s="0" t="s">
        <v>3321</v>
      </c>
      <c r="D65" s="0" t="s">
        <v>3344</v>
      </c>
      <c r="E65" s="0" t="s">
        <v>3345</v>
      </c>
      <c r="F65" s="0" t="s">
        <v>3219</v>
      </c>
      <c r="G65" s="0" t="s">
        <v>3346</v>
      </c>
    </row>
    <row customHeight="1" ht="11.25">
      <c r="A66" s="714" t="s">
        <v>16</v>
      </c>
      <c r="B66" s="0" t="s">
        <v>3320</v>
      </c>
      <c r="C66" s="0" t="s">
        <v>3321</v>
      </c>
      <c r="D66" s="0" t="s">
        <v>3347</v>
      </c>
      <c r="E66" s="0" t="s">
        <v>3348</v>
      </c>
      <c r="F66" s="0" t="s">
        <v>3219</v>
      </c>
      <c r="G66" s="0" t="s">
        <v>3349</v>
      </c>
    </row>
    <row customHeight="1" ht="11.25">
      <c r="A67" s="714" t="s">
        <v>16</v>
      </c>
      <c r="B67" s="0" t="s">
        <v>3320</v>
      </c>
      <c r="C67" s="0" t="s">
        <v>3321</v>
      </c>
      <c r="D67" s="0" t="s">
        <v>3350</v>
      </c>
      <c r="E67" s="0" t="s">
        <v>3351</v>
      </c>
      <c r="F67" s="0" t="s">
        <v>3219</v>
      </c>
      <c r="G67" s="0" t="s">
        <v>2149</v>
      </c>
    </row>
    <row customHeight="1" ht="11.25">
      <c r="A68" s="714" t="s">
        <v>16</v>
      </c>
      <c r="B68" s="0" t="s">
        <v>3320</v>
      </c>
      <c r="C68" s="0" t="s">
        <v>3321</v>
      </c>
      <c r="D68" s="0" t="s">
        <v>3352</v>
      </c>
      <c r="E68" s="0" t="s">
        <v>3353</v>
      </c>
      <c r="F68" s="0" t="s">
        <v>3219</v>
      </c>
      <c r="G68" s="0" t="s">
        <v>3354</v>
      </c>
    </row>
    <row customHeight="1" ht="11.25">
      <c r="A69" s="714" t="s">
        <v>16</v>
      </c>
      <c r="B69" s="0" t="s">
        <v>3320</v>
      </c>
      <c r="C69" s="0" t="s">
        <v>3321</v>
      </c>
      <c r="D69" s="0" t="s">
        <v>3355</v>
      </c>
      <c r="E69" s="0" t="s">
        <v>3356</v>
      </c>
      <c r="F69" s="0" t="s">
        <v>3219</v>
      </c>
      <c r="G69" s="0" t="s">
        <v>2352</v>
      </c>
    </row>
    <row customHeight="1" ht="11.25">
      <c r="A70" s="714" t="s">
        <v>16</v>
      </c>
      <c r="B70" s="0" t="s">
        <v>3320</v>
      </c>
      <c r="C70" s="0" t="s">
        <v>3321</v>
      </c>
      <c r="D70" s="0" t="s">
        <v>3357</v>
      </c>
      <c r="E70" s="0" t="s">
        <v>3358</v>
      </c>
      <c r="F70" s="0" t="s">
        <v>3219</v>
      </c>
      <c r="G70" s="0" t="s">
        <v>3359</v>
      </c>
    </row>
    <row customHeight="1" ht="11.25">
      <c r="A71" s="714" t="s">
        <v>16</v>
      </c>
      <c r="B71" s="0" t="s">
        <v>3320</v>
      </c>
      <c r="C71" s="0" t="s">
        <v>3321</v>
      </c>
      <c r="D71" s="0" t="s">
        <v>3360</v>
      </c>
      <c r="E71" s="0" t="s">
        <v>3361</v>
      </c>
      <c r="F71" s="0" t="s">
        <v>3219</v>
      </c>
      <c r="G71" s="0" t="s">
        <v>3362</v>
      </c>
    </row>
    <row customHeight="1" ht="11.25">
      <c r="A72" s="714" t="s">
        <v>16</v>
      </c>
      <c r="B72" s="0" t="s">
        <v>3320</v>
      </c>
      <c r="C72" s="0" t="s">
        <v>3321</v>
      </c>
      <c r="D72" s="0" t="s">
        <v>3363</v>
      </c>
      <c r="E72" s="0" t="s">
        <v>3364</v>
      </c>
      <c r="F72" s="0" t="s">
        <v>3219</v>
      </c>
      <c r="G72" s="0" t="s">
        <v>3365</v>
      </c>
    </row>
    <row customHeight="1" ht="11.25">
      <c r="A73" s="714" t="s">
        <v>16</v>
      </c>
      <c r="B73" s="0" t="s">
        <v>3320</v>
      </c>
      <c r="C73" s="0" t="s">
        <v>3321</v>
      </c>
      <c r="D73" s="0" t="s">
        <v>3366</v>
      </c>
      <c r="E73" s="0" t="s">
        <v>3367</v>
      </c>
      <c r="F73" s="0" t="s">
        <v>3219</v>
      </c>
      <c r="G73" s="0" t="s">
        <v>3368</v>
      </c>
    </row>
    <row customHeight="1" ht="11.25">
      <c r="A74" s="714" t="s">
        <v>16</v>
      </c>
      <c r="B74" s="0" t="s">
        <v>3320</v>
      </c>
      <c r="C74" s="0" t="s">
        <v>3321</v>
      </c>
      <c r="D74" s="0" t="s">
        <v>3369</v>
      </c>
      <c r="E74" s="0" t="s">
        <v>3370</v>
      </c>
      <c r="F74" s="0" t="s">
        <v>3219</v>
      </c>
      <c r="G74" s="0" t="s">
        <v>3371</v>
      </c>
    </row>
    <row customHeight="1" ht="11.25">
      <c r="A75" s="714" t="s">
        <v>16</v>
      </c>
      <c r="B75" s="0" t="s">
        <v>1154</v>
      </c>
      <c r="C75" s="0" t="s">
        <v>1155</v>
      </c>
      <c r="D75" s="0" t="s">
        <v>1154</v>
      </c>
      <c r="E75" s="0" t="s">
        <v>1155</v>
      </c>
      <c r="F75" s="0" t="s">
        <v>3372</v>
      </c>
      <c r="G75" s="0" t="s">
        <v>3373</v>
      </c>
    </row>
    <row customHeight="1" ht="11.25">
      <c r="A76" s="714" t="s">
        <v>16</v>
      </c>
      <c r="B76" s="0" t="s">
        <v>1030</v>
      </c>
      <c r="C76" s="0" t="s">
        <v>1031</v>
      </c>
      <c r="D76" s="0" t="s">
        <v>1030</v>
      </c>
      <c r="E76" s="0" t="s">
        <v>1031</v>
      </c>
      <c r="F76" s="0" t="s">
        <v>3372</v>
      </c>
      <c r="G76" s="0" t="s">
        <v>3374</v>
      </c>
    </row>
    <row customHeight="1" ht="11.25">
      <c r="A77" s="714" t="s">
        <v>16</v>
      </c>
      <c r="B77" s="0" t="s">
        <v>3375</v>
      </c>
      <c r="C77" s="0" t="s">
        <v>3376</v>
      </c>
      <c r="D77" s="0" t="s">
        <v>3377</v>
      </c>
      <c r="E77" s="0" t="s">
        <v>3378</v>
      </c>
      <c r="F77" s="0" t="s">
        <v>3219</v>
      </c>
      <c r="G77" s="0" t="s">
        <v>3379</v>
      </c>
    </row>
    <row customHeight="1" ht="11.25">
      <c r="A78" s="714" t="s">
        <v>16</v>
      </c>
      <c r="B78" s="0" t="s">
        <v>3375</v>
      </c>
      <c r="C78" s="0" t="s">
        <v>3376</v>
      </c>
      <c r="D78" s="0" t="s">
        <v>3380</v>
      </c>
      <c r="E78" s="0" t="s">
        <v>3381</v>
      </c>
      <c r="F78" s="0" t="s">
        <v>3219</v>
      </c>
      <c r="G78" s="0" t="s">
        <v>3382</v>
      </c>
    </row>
    <row customHeight="1" ht="11.25">
      <c r="A79" s="714" t="s">
        <v>16</v>
      </c>
      <c r="B79" s="0" t="s">
        <v>3375</v>
      </c>
      <c r="C79" s="0" t="s">
        <v>3376</v>
      </c>
      <c r="D79" s="0" t="s">
        <v>3383</v>
      </c>
      <c r="E79" s="0" t="s">
        <v>3384</v>
      </c>
      <c r="F79" s="0" t="s">
        <v>3219</v>
      </c>
      <c r="G79" s="0" t="s">
        <v>3385</v>
      </c>
    </row>
    <row customHeight="1" ht="11.25">
      <c r="A80" s="714" t="s">
        <v>16</v>
      </c>
      <c r="B80" s="0" t="s">
        <v>3375</v>
      </c>
      <c r="C80" s="0" t="s">
        <v>3376</v>
      </c>
      <c r="D80" s="0" t="s">
        <v>3386</v>
      </c>
      <c r="E80" s="0" t="s">
        <v>3387</v>
      </c>
      <c r="F80" s="0" t="s">
        <v>3219</v>
      </c>
      <c r="G80" s="0" t="s">
        <v>3388</v>
      </c>
    </row>
    <row customHeight="1" ht="11.25">
      <c r="A81" s="714" t="s">
        <v>16</v>
      </c>
      <c r="B81" s="0" t="s">
        <v>3375</v>
      </c>
      <c r="C81" s="0" t="s">
        <v>3376</v>
      </c>
      <c r="D81" s="0" t="s">
        <v>3389</v>
      </c>
      <c r="E81" s="0" t="s">
        <v>3390</v>
      </c>
      <c r="F81" s="0" t="s">
        <v>3219</v>
      </c>
      <c r="G81" s="0" t="s">
        <v>3391</v>
      </c>
    </row>
    <row customHeight="1" ht="11.25">
      <c r="A82" s="714" t="s">
        <v>16</v>
      </c>
      <c r="B82" s="0" t="s">
        <v>3375</v>
      </c>
      <c r="C82" s="0" t="s">
        <v>3376</v>
      </c>
      <c r="D82" s="0" t="s">
        <v>3392</v>
      </c>
      <c r="E82" s="0" t="s">
        <v>3393</v>
      </c>
      <c r="F82" s="0" t="s">
        <v>3219</v>
      </c>
      <c r="G82" s="0" t="s">
        <v>3394</v>
      </c>
    </row>
    <row customHeight="1" ht="11.25">
      <c r="A83" s="714" t="s">
        <v>16</v>
      </c>
      <c r="B83" s="0" t="s">
        <v>3375</v>
      </c>
      <c r="C83" s="0" t="s">
        <v>3376</v>
      </c>
      <c r="D83" s="0" t="s">
        <v>3395</v>
      </c>
      <c r="E83" s="0" t="s">
        <v>3396</v>
      </c>
      <c r="F83" s="0" t="s">
        <v>3219</v>
      </c>
      <c r="G83" s="0" t="s">
        <v>3397</v>
      </c>
    </row>
    <row customHeight="1" ht="11.25">
      <c r="A84" s="714" t="s">
        <v>16</v>
      </c>
      <c r="B84" s="0" t="s">
        <v>3375</v>
      </c>
      <c r="C84" s="0" t="s">
        <v>3376</v>
      </c>
      <c r="D84" s="0" t="s">
        <v>3398</v>
      </c>
      <c r="E84" s="0" t="s">
        <v>3399</v>
      </c>
      <c r="F84" s="0" t="s">
        <v>3219</v>
      </c>
      <c r="G84" s="0" t="s">
        <v>3400</v>
      </c>
    </row>
    <row customHeight="1" ht="11.25">
      <c r="A85" s="714" t="s">
        <v>16</v>
      </c>
      <c r="B85" s="0" t="s">
        <v>3375</v>
      </c>
      <c r="C85" s="0" t="s">
        <v>3376</v>
      </c>
      <c r="D85" s="0" t="s">
        <v>3401</v>
      </c>
      <c r="E85" s="0" t="s">
        <v>3402</v>
      </c>
      <c r="F85" s="0" t="s">
        <v>3219</v>
      </c>
      <c r="G85" s="0" t="s">
        <v>3403</v>
      </c>
    </row>
    <row customHeight="1" ht="11.25">
      <c r="A86" s="714" t="s">
        <v>16</v>
      </c>
      <c r="B86" s="0" t="s">
        <v>3375</v>
      </c>
      <c r="C86" s="0" t="s">
        <v>3376</v>
      </c>
      <c r="D86" s="0" t="s">
        <v>3375</v>
      </c>
      <c r="E86" s="0" t="s">
        <v>3376</v>
      </c>
      <c r="F86" s="0" t="s">
        <v>3216</v>
      </c>
      <c r="G86" s="0" t="s">
        <v>3404</v>
      </c>
    </row>
    <row customHeight="1" ht="11.25">
      <c r="A87" s="714" t="s">
        <v>16</v>
      </c>
      <c r="B87" s="0" t="s">
        <v>3375</v>
      </c>
      <c r="C87" s="0" t="s">
        <v>3376</v>
      </c>
      <c r="D87" s="0" t="s">
        <v>3405</v>
      </c>
      <c r="E87" s="0" t="s">
        <v>3406</v>
      </c>
      <c r="F87" s="0" t="s">
        <v>3219</v>
      </c>
      <c r="G87" s="0" t="s">
        <v>3407</v>
      </c>
    </row>
    <row customHeight="1" ht="11.25">
      <c r="A88" s="714" t="s">
        <v>16</v>
      </c>
      <c r="B88" s="0" t="s">
        <v>3375</v>
      </c>
      <c r="C88" s="0" t="s">
        <v>3376</v>
      </c>
      <c r="D88" s="0" t="s">
        <v>3408</v>
      </c>
      <c r="E88" s="0" t="s">
        <v>3409</v>
      </c>
      <c r="F88" s="0" t="s">
        <v>3219</v>
      </c>
      <c r="G88" s="0" t="s">
        <v>3410</v>
      </c>
    </row>
    <row customHeight="1" ht="11.25">
      <c r="A89" s="714" t="s">
        <v>16</v>
      </c>
      <c r="B89" s="0" t="s">
        <v>3375</v>
      </c>
      <c r="C89" s="0" t="s">
        <v>3376</v>
      </c>
      <c r="D89" s="0" t="s">
        <v>3411</v>
      </c>
      <c r="E89" s="0" t="s">
        <v>3412</v>
      </c>
      <c r="F89" s="0" t="s">
        <v>3219</v>
      </c>
      <c r="G89" s="0" t="s">
        <v>3413</v>
      </c>
    </row>
    <row customHeight="1" ht="11.25">
      <c r="A90" s="714" t="s">
        <v>16</v>
      </c>
      <c r="B90" s="0" t="s">
        <v>3375</v>
      </c>
      <c r="C90" s="0" t="s">
        <v>3376</v>
      </c>
      <c r="D90" s="0" t="s">
        <v>3414</v>
      </c>
      <c r="E90" s="0" t="s">
        <v>3415</v>
      </c>
      <c r="F90" s="0" t="s">
        <v>3219</v>
      </c>
      <c r="G90" s="0" t="s">
        <v>3416</v>
      </c>
    </row>
    <row customHeight="1" ht="11.25">
      <c r="A91" s="714" t="s">
        <v>16</v>
      </c>
      <c r="B91" s="0" t="s">
        <v>3375</v>
      </c>
      <c r="C91" s="0" t="s">
        <v>3376</v>
      </c>
      <c r="D91" s="0" t="s">
        <v>3417</v>
      </c>
      <c r="E91" s="0" t="s">
        <v>3418</v>
      </c>
      <c r="F91" s="0" t="s">
        <v>3219</v>
      </c>
      <c r="G91" s="0" t="s">
        <v>3419</v>
      </c>
    </row>
    <row customHeight="1" ht="11.25">
      <c r="A92" s="714" t="s">
        <v>16</v>
      </c>
      <c r="B92" s="0" t="s">
        <v>3375</v>
      </c>
      <c r="C92" s="0" t="s">
        <v>3376</v>
      </c>
      <c r="D92" s="0" t="s">
        <v>3420</v>
      </c>
      <c r="E92" s="0" t="s">
        <v>3421</v>
      </c>
      <c r="F92" s="0" t="s">
        <v>3219</v>
      </c>
      <c r="G92" s="0" t="s">
        <v>3422</v>
      </c>
    </row>
    <row customHeight="1" ht="11.25">
      <c r="A93" s="714" t="s">
        <v>16</v>
      </c>
      <c r="B93" s="0" t="s">
        <v>3375</v>
      </c>
      <c r="C93" s="0" t="s">
        <v>3376</v>
      </c>
      <c r="D93" s="0" t="s">
        <v>3423</v>
      </c>
      <c r="E93" s="0" t="s">
        <v>3424</v>
      </c>
      <c r="F93" s="0" t="s">
        <v>3219</v>
      </c>
      <c r="G93" s="0" t="s">
        <v>3425</v>
      </c>
    </row>
    <row customHeight="1" ht="11.25">
      <c r="A94" s="714" t="s">
        <v>16</v>
      </c>
      <c r="B94" s="0" t="s">
        <v>3375</v>
      </c>
      <c r="C94" s="0" t="s">
        <v>3376</v>
      </c>
      <c r="D94" s="0" t="s">
        <v>3426</v>
      </c>
      <c r="E94" s="0" t="s">
        <v>3427</v>
      </c>
      <c r="F94" s="0" t="s">
        <v>3219</v>
      </c>
      <c r="G94" s="0" t="s">
        <v>3428</v>
      </c>
    </row>
    <row customHeight="1" ht="11.25">
      <c r="A95" s="714" t="s">
        <v>16</v>
      </c>
      <c r="B95" s="0" t="s">
        <v>3375</v>
      </c>
      <c r="C95" s="0" t="s">
        <v>3376</v>
      </c>
      <c r="D95" s="0" t="s">
        <v>3429</v>
      </c>
      <c r="E95" s="0" t="s">
        <v>3430</v>
      </c>
      <c r="F95" s="0" t="s">
        <v>3219</v>
      </c>
      <c r="G95" s="0" t="s">
        <v>3431</v>
      </c>
    </row>
    <row customHeight="1" ht="11.25">
      <c r="A96" s="714" t="s">
        <v>16</v>
      </c>
      <c r="B96" s="0" t="s">
        <v>3375</v>
      </c>
      <c r="C96" s="0" t="s">
        <v>3376</v>
      </c>
      <c r="D96" s="0" t="s">
        <v>3432</v>
      </c>
      <c r="E96" s="0" t="s">
        <v>3433</v>
      </c>
      <c r="F96" s="0" t="s">
        <v>3219</v>
      </c>
      <c r="G96" s="0" t="s">
        <v>3434</v>
      </c>
    </row>
    <row customHeight="1" ht="11.25">
      <c r="A97" s="714" t="s">
        <v>16</v>
      </c>
      <c r="B97" s="0" t="s">
        <v>3375</v>
      </c>
      <c r="C97" s="0" t="s">
        <v>3376</v>
      </c>
      <c r="D97" s="0" t="s">
        <v>3435</v>
      </c>
      <c r="E97" s="0" t="s">
        <v>3436</v>
      </c>
      <c r="F97" s="0" t="s">
        <v>3219</v>
      </c>
      <c r="G97" s="0" t="s">
        <v>3437</v>
      </c>
    </row>
    <row customHeight="1" ht="11.25">
      <c r="A98" s="714" t="s">
        <v>16</v>
      </c>
      <c r="B98" s="0" t="s">
        <v>3375</v>
      </c>
      <c r="C98" s="0" t="s">
        <v>3376</v>
      </c>
      <c r="D98" s="0" t="s">
        <v>3438</v>
      </c>
      <c r="E98" s="0" t="s">
        <v>3439</v>
      </c>
      <c r="F98" s="0" t="s">
        <v>3219</v>
      </c>
      <c r="G98" s="0" t="s">
        <v>3440</v>
      </c>
    </row>
    <row customHeight="1" ht="11.25">
      <c r="A99" s="714" t="s">
        <v>16</v>
      </c>
      <c r="B99" s="0" t="s">
        <v>3441</v>
      </c>
      <c r="C99" s="0" t="s">
        <v>3442</v>
      </c>
      <c r="D99" s="0" t="s">
        <v>3443</v>
      </c>
      <c r="E99" s="0" t="s">
        <v>3444</v>
      </c>
      <c r="F99" s="0" t="s">
        <v>3219</v>
      </c>
      <c r="G99" s="0" t="s">
        <v>3445</v>
      </c>
    </row>
    <row customHeight="1" ht="11.25">
      <c r="A100" s="714" t="s">
        <v>16</v>
      </c>
      <c r="B100" s="0" t="s">
        <v>3441</v>
      </c>
      <c r="C100" s="0" t="s">
        <v>3442</v>
      </c>
      <c r="D100" s="0" t="s">
        <v>3446</v>
      </c>
      <c r="E100" s="0" t="s">
        <v>3447</v>
      </c>
      <c r="F100" s="0" t="s">
        <v>3219</v>
      </c>
      <c r="G100" s="0" t="s">
        <v>3448</v>
      </c>
    </row>
    <row customHeight="1" ht="11.25">
      <c r="A101" s="714" t="s">
        <v>16</v>
      </c>
      <c r="B101" s="0" t="s">
        <v>3441</v>
      </c>
      <c r="C101" s="0" t="s">
        <v>3442</v>
      </c>
      <c r="D101" s="0" t="s">
        <v>3449</v>
      </c>
      <c r="E101" s="0" t="s">
        <v>3450</v>
      </c>
      <c r="F101" s="0" t="s">
        <v>3219</v>
      </c>
      <c r="G101" s="0" t="s">
        <v>3451</v>
      </c>
    </row>
    <row customHeight="1" ht="11.25">
      <c r="A102" s="714" t="s">
        <v>16</v>
      </c>
      <c r="B102" s="0" t="s">
        <v>3441</v>
      </c>
      <c r="C102" s="0" t="s">
        <v>3442</v>
      </c>
      <c r="D102" s="0" t="s">
        <v>3452</v>
      </c>
      <c r="E102" s="0" t="s">
        <v>3453</v>
      </c>
      <c r="F102" s="0" t="s">
        <v>3219</v>
      </c>
      <c r="G102" s="0" t="s">
        <v>3454</v>
      </c>
    </row>
    <row customHeight="1" ht="11.25">
      <c r="A103" s="714" t="s">
        <v>16</v>
      </c>
      <c r="B103" s="0" t="s">
        <v>3441</v>
      </c>
      <c r="C103" s="0" t="s">
        <v>3442</v>
      </c>
      <c r="D103" s="0" t="s">
        <v>3455</v>
      </c>
      <c r="E103" s="0" t="s">
        <v>3456</v>
      </c>
      <c r="F103" s="0" t="s">
        <v>3219</v>
      </c>
      <c r="G103" s="0" t="s">
        <v>3457</v>
      </c>
    </row>
    <row customHeight="1" ht="11.25">
      <c r="A104" s="714" t="s">
        <v>16</v>
      </c>
      <c r="B104" s="0" t="s">
        <v>3441</v>
      </c>
      <c r="C104" s="0" t="s">
        <v>3442</v>
      </c>
      <c r="D104" s="0" t="s">
        <v>3458</v>
      </c>
      <c r="E104" s="0" t="s">
        <v>3459</v>
      </c>
      <c r="F104" s="0" t="s">
        <v>3219</v>
      </c>
      <c r="G104" s="0" t="s">
        <v>3460</v>
      </c>
    </row>
    <row customHeight="1" ht="11.25">
      <c r="A105" s="714" t="s">
        <v>16</v>
      </c>
      <c r="B105" s="0" t="s">
        <v>3441</v>
      </c>
      <c r="C105" s="0" t="s">
        <v>3442</v>
      </c>
      <c r="D105" s="0" t="s">
        <v>3461</v>
      </c>
      <c r="E105" s="0" t="s">
        <v>3462</v>
      </c>
      <c r="F105" s="0" t="s">
        <v>3219</v>
      </c>
      <c r="G105" s="0" t="s">
        <v>3463</v>
      </c>
    </row>
    <row customHeight="1" ht="11.25">
      <c r="A106" s="714" t="s">
        <v>16</v>
      </c>
      <c r="B106" s="0" t="s">
        <v>3441</v>
      </c>
      <c r="C106" s="0" t="s">
        <v>3442</v>
      </c>
      <c r="D106" s="0" t="s">
        <v>3464</v>
      </c>
      <c r="E106" s="0" t="s">
        <v>3465</v>
      </c>
      <c r="F106" s="0" t="s">
        <v>3219</v>
      </c>
      <c r="G106" s="0" t="s">
        <v>3466</v>
      </c>
    </row>
    <row customHeight="1" ht="11.25">
      <c r="A107" s="714" t="s">
        <v>16</v>
      </c>
      <c r="B107" s="0" t="s">
        <v>3441</v>
      </c>
      <c r="C107" s="0" t="s">
        <v>3442</v>
      </c>
      <c r="D107" s="0" t="s">
        <v>3467</v>
      </c>
      <c r="E107" s="0" t="s">
        <v>3468</v>
      </c>
      <c r="F107" s="0" t="s">
        <v>3219</v>
      </c>
      <c r="G107" s="0" t="s">
        <v>3469</v>
      </c>
    </row>
    <row customHeight="1" ht="11.25">
      <c r="A108" s="714" t="s">
        <v>16</v>
      </c>
      <c r="B108" s="0" t="s">
        <v>3441</v>
      </c>
      <c r="C108" s="0" t="s">
        <v>3442</v>
      </c>
      <c r="D108" s="0" t="s">
        <v>3470</v>
      </c>
      <c r="E108" s="0" t="s">
        <v>3471</v>
      </c>
      <c r="F108" s="0" t="s">
        <v>3219</v>
      </c>
      <c r="G108" s="0" t="s">
        <v>3472</v>
      </c>
    </row>
    <row customHeight="1" ht="11.25">
      <c r="A109" s="714" t="s">
        <v>16</v>
      </c>
      <c r="B109" s="0" t="s">
        <v>3441</v>
      </c>
      <c r="C109" s="0" t="s">
        <v>3442</v>
      </c>
      <c r="D109" s="0" t="s">
        <v>3473</v>
      </c>
      <c r="E109" s="0" t="s">
        <v>3474</v>
      </c>
      <c r="F109" s="0" t="s">
        <v>3219</v>
      </c>
      <c r="G109" s="0" t="s">
        <v>3475</v>
      </c>
    </row>
    <row customHeight="1" ht="11.25">
      <c r="A110" s="714" t="s">
        <v>16</v>
      </c>
      <c r="B110" s="0" t="s">
        <v>3441</v>
      </c>
      <c r="C110" s="0" t="s">
        <v>3442</v>
      </c>
      <c r="D110" s="0" t="s">
        <v>3441</v>
      </c>
      <c r="E110" s="0" t="s">
        <v>3442</v>
      </c>
      <c r="F110" s="0" t="s">
        <v>3216</v>
      </c>
      <c r="G110" s="0" t="s">
        <v>3476</v>
      </c>
    </row>
    <row customHeight="1" ht="11.25">
      <c r="A111" s="714" t="s">
        <v>16</v>
      </c>
      <c r="B111" s="0" t="s">
        <v>3441</v>
      </c>
      <c r="C111" s="0" t="s">
        <v>3442</v>
      </c>
      <c r="D111" s="0" t="s">
        <v>3477</v>
      </c>
      <c r="E111" s="0" t="s">
        <v>3478</v>
      </c>
      <c r="F111" s="0" t="s">
        <v>3219</v>
      </c>
      <c r="G111" s="0" t="s">
        <v>3479</v>
      </c>
    </row>
    <row customHeight="1" ht="11.25">
      <c r="A112" s="714" t="s">
        <v>16</v>
      </c>
      <c r="B112" s="0" t="s">
        <v>3441</v>
      </c>
      <c r="C112" s="0" t="s">
        <v>3442</v>
      </c>
      <c r="D112" s="0" t="s">
        <v>3480</v>
      </c>
      <c r="E112" s="0" t="s">
        <v>3481</v>
      </c>
      <c r="F112" s="0" t="s">
        <v>3219</v>
      </c>
      <c r="G112" s="0" t="s">
        <v>3482</v>
      </c>
    </row>
    <row customHeight="1" ht="11.25">
      <c r="A113" s="714" t="s">
        <v>16</v>
      </c>
      <c r="B113" s="0" t="s">
        <v>3441</v>
      </c>
      <c r="C113" s="0" t="s">
        <v>3442</v>
      </c>
      <c r="D113" s="0" t="s">
        <v>3483</v>
      </c>
      <c r="E113" s="0" t="s">
        <v>3484</v>
      </c>
      <c r="F113" s="0" t="s">
        <v>3219</v>
      </c>
      <c r="G113" s="0" t="s">
        <v>3485</v>
      </c>
    </row>
    <row customHeight="1" ht="11.25">
      <c r="A114" s="714" t="s">
        <v>16</v>
      </c>
      <c r="B114" s="0" t="s">
        <v>3486</v>
      </c>
      <c r="C114" s="0" t="s">
        <v>3487</v>
      </c>
      <c r="D114" s="0" t="s">
        <v>3488</v>
      </c>
      <c r="E114" s="0" t="s">
        <v>3489</v>
      </c>
      <c r="F114" s="0" t="s">
        <v>3222</v>
      </c>
      <c r="G114" s="0" t="s">
        <v>3490</v>
      </c>
    </row>
    <row customHeight="1" ht="11.25">
      <c r="A115" s="714" t="s">
        <v>16</v>
      </c>
      <c r="B115" s="0" t="s">
        <v>3486</v>
      </c>
      <c r="C115" s="0" t="s">
        <v>3487</v>
      </c>
      <c r="D115" s="0" t="s">
        <v>3464</v>
      </c>
      <c r="E115" s="0" t="s">
        <v>3491</v>
      </c>
      <c r="F115" s="0" t="s">
        <v>3219</v>
      </c>
      <c r="G115" s="0" t="s">
        <v>3492</v>
      </c>
    </row>
    <row customHeight="1" ht="11.25">
      <c r="A116" s="714" t="s">
        <v>16</v>
      </c>
      <c r="B116" s="0" t="s">
        <v>3486</v>
      </c>
      <c r="C116" s="0" t="s">
        <v>3487</v>
      </c>
      <c r="D116" s="0" t="s">
        <v>3493</v>
      </c>
      <c r="E116" s="0" t="s">
        <v>3494</v>
      </c>
      <c r="F116" s="0" t="s">
        <v>3219</v>
      </c>
      <c r="G116" s="0" t="s">
        <v>3495</v>
      </c>
    </row>
    <row customHeight="1" ht="11.25">
      <c r="A117" s="714" t="s">
        <v>16</v>
      </c>
      <c r="B117" s="0" t="s">
        <v>3486</v>
      </c>
      <c r="C117" s="0" t="s">
        <v>3487</v>
      </c>
      <c r="D117" s="0" t="s">
        <v>3496</v>
      </c>
      <c r="E117" s="0" t="s">
        <v>3497</v>
      </c>
      <c r="F117" s="0" t="s">
        <v>3219</v>
      </c>
      <c r="G117" s="0" t="s">
        <v>3498</v>
      </c>
    </row>
    <row customHeight="1" ht="11.25">
      <c r="A118" s="714" t="s">
        <v>16</v>
      </c>
      <c r="B118" s="0" t="s">
        <v>3486</v>
      </c>
      <c r="C118" s="0" t="s">
        <v>3487</v>
      </c>
      <c r="D118" s="0" t="s">
        <v>3499</v>
      </c>
      <c r="E118" s="0" t="s">
        <v>3500</v>
      </c>
      <c r="F118" s="0" t="s">
        <v>3219</v>
      </c>
      <c r="G118" s="0" t="s">
        <v>3501</v>
      </c>
    </row>
    <row customHeight="1" ht="11.25">
      <c r="A119" s="714" t="s">
        <v>16</v>
      </c>
      <c r="B119" s="0" t="s">
        <v>3486</v>
      </c>
      <c r="C119" s="0" t="s">
        <v>3487</v>
      </c>
      <c r="D119" s="0" t="s">
        <v>3502</v>
      </c>
      <c r="E119" s="0" t="s">
        <v>3503</v>
      </c>
      <c r="F119" s="0" t="s">
        <v>3246</v>
      </c>
      <c r="G119" s="0" t="s">
        <v>3504</v>
      </c>
    </row>
    <row customHeight="1" ht="11.25">
      <c r="A120" s="714" t="s">
        <v>16</v>
      </c>
      <c r="B120" s="0" t="s">
        <v>3486</v>
      </c>
      <c r="C120" s="0" t="s">
        <v>3487</v>
      </c>
      <c r="D120" s="0" t="s">
        <v>3505</v>
      </c>
      <c r="E120" s="0" t="s">
        <v>3506</v>
      </c>
      <c r="F120" s="0" t="s">
        <v>3219</v>
      </c>
      <c r="G120" s="0" t="s">
        <v>3507</v>
      </c>
    </row>
    <row customHeight="1" ht="11.25">
      <c r="A121" s="714" t="s">
        <v>16</v>
      </c>
      <c r="B121" s="0" t="s">
        <v>3486</v>
      </c>
      <c r="C121" s="0" t="s">
        <v>3487</v>
      </c>
      <c r="D121" s="0" t="s">
        <v>3508</v>
      </c>
      <c r="E121" s="0" t="s">
        <v>3509</v>
      </c>
      <c r="F121" s="0" t="s">
        <v>3219</v>
      </c>
      <c r="G121" s="0" t="s">
        <v>3510</v>
      </c>
    </row>
    <row customHeight="1" ht="11.25">
      <c r="A122" s="714" t="s">
        <v>16</v>
      </c>
      <c r="B122" s="0" t="s">
        <v>3486</v>
      </c>
      <c r="C122" s="0" t="s">
        <v>3487</v>
      </c>
      <c r="D122" s="0" t="s">
        <v>3486</v>
      </c>
      <c r="E122" s="0" t="s">
        <v>3487</v>
      </c>
      <c r="F122" s="0" t="s">
        <v>3216</v>
      </c>
      <c r="G122" s="0" t="s">
        <v>3511</v>
      </c>
    </row>
    <row customHeight="1" ht="11.25">
      <c r="A123" s="714" t="s">
        <v>16</v>
      </c>
      <c r="B123" s="0" t="s">
        <v>3486</v>
      </c>
      <c r="C123" s="0" t="s">
        <v>3487</v>
      </c>
      <c r="D123" s="0" t="s">
        <v>3512</v>
      </c>
      <c r="E123" s="0" t="s">
        <v>3513</v>
      </c>
      <c r="F123" s="0" t="s">
        <v>3219</v>
      </c>
      <c r="G123" s="0" t="s">
        <v>3514</v>
      </c>
    </row>
    <row customHeight="1" ht="11.25">
      <c r="A124" s="714" t="s">
        <v>16</v>
      </c>
      <c r="B124" s="0" t="s">
        <v>3486</v>
      </c>
      <c r="C124" s="0" t="s">
        <v>3487</v>
      </c>
      <c r="D124" s="0" t="s">
        <v>3515</v>
      </c>
      <c r="E124" s="0" t="s">
        <v>3516</v>
      </c>
      <c r="F124" s="0" t="s">
        <v>3219</v>
      </c>
      <c r="G124" s="0" t="s">
        <v>3517</v>
      </c>
    </row>
    <row customHeight="1" ht="11.25">
      <c r="A125" s="714" t="s">
        <v>16</v>
      </c>
      <c r="B125" s="0" t="s">
        <v>3486</v>
      </c>
      <c r="C125" s="0" t="s">
        <v>3487</v>
      </c>
      <c r="D125" s="0" t="s">
        <v>3518</v>
      </c>
      <c r="E125" s="0" t="s">
        <v>3519</v>
      </c>
      <c r="F125" s="0" t="s">
        <v>3219</v>
      </c>
      <c r="G125" s="0" t="s">
        <v>3520</v>
      </c>
    </row>
    <row customHeight="1" ht="11.25">
      <c r="A126" s="714" t="s">
        <v>16</v>
      </c>
      <c r="B126" s="0" t="s">
        <v>3486</v>
      </c>
      <c r="C126" s="0" t="s">
        <v>3487</v>
      </c>
      <c r="D126" s="0" t="s">
        <v>3521</v>
      </c>
      <c r="E126" s="0" t="s">
        <v>3522</v>
      </c>
      <c r="F126" s="0" t="s">
        <v>3235</v>
      </c>
      <c r="G126" s="0" t="s">
        <v>3523</v>
      </c>
    </row>
    <row customHeight="1" ht="11.25">
      <c r="A127" s="714" t="s">
        <v>16</v>
      </c>
      <c r="B127" s="0" t="s">
        <v>3486</v>
      </c>
      <c r="C127" s="0" t="s">
        <v>3487</v>
      </c>
      <c r="D127" s="0" t="s">
        <v>3524</v>
      </c>
      <c r="E127" s="0" t="s">
        <v>3525</v>
      </c>
      <c r="F127" s="0" t="s">
        <v>3235</v>
      </c>
      <c r="G127" s="0" t="s">
        <v>3526</v>
      </c>
    </row>
    <row customHeight="1" ht="11.25">
      <c r="A128" s="714" t="s">
        <v>16</v>
      </c>
      <c r="B128" s="0" t="s">
        <v>3486</v>
      </c>
      <c r="C128" s="0" t="s">
        <v>3487</v>
      </c>
      <c r="D128" s="0" t="s">
        <v>3527</v>
      </c>
      <c r="E128" s="0" t="s">
        <v>3528</v>
      </c>
      <c r="F128" s="0" t="s">
        <v>3219</v>
      </c>
      <c r="G128" s="0" t="s">
        <v>3529</v>
      </c>
    </row>
    <row customHeight="1" ht="11.25">
      <c r="A129" s="714" t="s">
        <v>16</v>
      </c>
      <c r="B129" s="0" t="s">
        <v>3486</v>
      </c>
      <c r="C129" s="0" t="s">
        <v>3487</v>
      </c>
      <c r="D129" s="0" t="s">
        <v>3530</v>
      </c>
      <c r="E129" s="0" t="s">
        <v>3531</v>
      </c>
      <c r="F129" s="0" t="s">
        <v>3219</v>
      </c>
      <c r="G129" s="0" t="s">
        <v>3532</v>
      </c>
    </row>
    <row customHeight="1" ht="11.25">
      <c r="A130" s="714" t="s">
        <v>16</v>
      </c>
      <c r="B130" s="0" t="s">
        <v>3533</v>
      </c>
      <c r="C130" s="0" t="s">
        <v>3534</v>
      </c>
      <c r="D130" s="0" t="s">
        <v>3533</v>
      </c>
      <c r="E130" s="0" t="s">
        <v>3534</v>
      </c>
      <c r="F130" s="0" t="s">
        <v>3535</v>
      </c>
      <c r="G130" s="0" t="s">
        <v>3536</v>
      </c>
    </row>
    <row customHeight="1" ht="11.25">
      <c r="A131" s="714" t="s">
        <v>16</v>
      </c>
      <c r="B131" s="0" t="s">
        <v>3537</v>
      </c>
      <c r="C131" s="0" t="s">
        <v>3538</v>
      </c>
      <c r="D131" s="0" t="s">
        <v>3539</v>
      </c>
      <c r="E131" s="0" t="s">
        <v>3540</v>
      </c>
      <c r="F131" s="0" t="s">
        <v>3219</v>
      </c>
      <c r="G131" s="0" t="s">
        <v>3541</v>
      </c>
    </row>
    <row customHeight="1" ht="11.25">
      <c r="A132" s="714" t="s">
        <v>16</v>
      </c>
      <c r="B132" s="0" t="s">
        <v>3537</v>
      </c>
      <c r="C132" s="0" t="s">
        <v>3538</v>
      </c>
      <c r="D132" s="0" t="s">
        <v>3542</v>
      </c>
      <c r="E132" s="0" t="s">
        <v>3543</v>
      </c>
      <c r="F132" s="0" t="s">
        <v>3219</v>
      </c>
      <c r="G132" s="0" t="s">
        <v>3544</v>
      </c>
    </row>
    <row customHeight="1" ht="11.25">
      <c r="A133" s="714" t="s">
        <v>16</v>
      </c>
      <c r="B133" s="0" t="s">
        <v>3537</v>
      </c>
      <c r="C133" s="0" t="s">
        <v>3538</v>
      </c>
      <c r="D133" s="0" t="s">
        <v>3545</v>
      </c>
      <c r="E133" s="0" t="s">
        <v>3546</v>
      </c>
      <c r="F133" s="0" t="s">
        <v>3219</v>
      </c>
      <c r="G133" s="0" t="s">
        <v>3547</v>
      </c>
    </row>
    <row customHeight="1" ht="11.25">
      <c r="A134" s="714" t="s">
        <v>16</v>
      </c>
      <c r="B134" s="0" t="s">
        <v>3537</v>
      </c>
      <c r="C134" s="0" t="s">
        <v>3538</v>
      </c>
      <c r="D134" s="0" t="s">
        <v>3548</v>
      </c>
      <c r="E134" s="0" t="s">
        <v>3549</v>
      </c>
      <c r="F134" s="0" t="s">
        <v>3219</v>
      </c>
      <c r="G134" s="0" t="s">
        <v>3550</v>
      </c>
    </row>
    <row customHeight="1" ht="11.25">
      <c r="A135" s="714" t="s">
        <v>16</v>
      </c>
      <c r="B135" s="0" t="s">
        <v>3537</v>
      </c>
      <c r="C135" s="0" t="s">
        <v>3538</v>
      </c>
      <c r="D135" s="0" t="s">
        <v>3551</v>
      </c>
      <c r="E135" s="0" t="s">
        <v>3552</v>
      </c>
      <c r="F135" s="0" t="s">
        <v>3219</v>
      </c>
      <c r="G135" s="0" t="s">
        <v>3553</v>
      </c>
    </row>
    <row customHeight="1" ht="11.25">
      <c r="A136" s="714" t="s">
        <v>16</v>
      </c>
      <c r="B136" s="0" t="s">
        <v>3537</v>
      </c>
      <c r="C136" s="0" t="s">
        <v>3538</v>
      </c>
      <c r="D136" s="0" t="s">
        <v>3554</v>
      </c>
      <c r="E136" s="0" t="s">
        <v>3555</v>
      </c>
      <c r="F136" s="0" t="s">
        <v>3219</v>
      </c>
      <c r="G136" s="0" t="s">
        <v>3556</v>
      </c>
    </row>
    <row customHeight="1" ht="11.25">
      <c r="A137" s="714" t="s">
        <v>16</v>
      </c>
      <c r="B137" s="0" t="s">
        <v>3537</v>
      </c>
      <c r="C137" s="0" t="s">
        <v>3538</v>
      </c>
      <c r="D137" s="0" t="s">
        <v>3537</v>
      </c>
      <c r="E137" s="0" t="s">
        <v>3538</v>
      </c>
      <c r="F137" s="0" t="s">
        <v>3216</v>
      </c>
      <c r="G137" s="0" t="s">
        <v>3557</v>
      </c>
    </row>
    <row customHeight="1" ht="11.25">
      <c r="A138" s="714" t="s">
        <v>16</v>
      </c>
      <c r="B138" s="0" t="s">
        <v>3537</v>
      </c>
      <c r="C138" s="0" t="s">
        <v>3538</v>
      </c>
      <c r="D138" s="0" t="s">
        <v>3558</v>
      </c>
      <c r="E138" s="0" t="s">
        <v>3559</v>
      </c>
      <c r="F138" s="0" t="s">
        <v>3235</v>
      </c>
      <c r="G138" s="0" t="s">
        <v>3560</v>
      </c>
    </row>
    <row customHeight="1" ht="11.25">
      <c r="A139" s="714" t="s">
        <v>16</v>
      </c>
      <c r="B139" s="0" t="s">
        <v>3537</v>
      </c>
      <c r="C139" s="0" t="s">
        <v>3538</v>
      </c>
      <c r="D139" s="0" t="s">
        <v>3561</v>
      </c>
      <c r="E139" s="0" t="s">
        <v>3562</v>
      </c>
      <c r="F139" s="0" t="s">
        <v>3219</v>
      </c>
      <c r="G139" s="0" t="s">
        <v>3563</v>
      </c>
    </row>
    <row customHeight="1" ht="11.25">
      <c r="A140" s="714" t="s">
        <v>16</v>
      </c>
      <c r="B140" s="0" t="s">
        <v>1074</v>
      </c>
      <c r="C140" s="0" t="s">
        <v>3564</v>
      </c>
      <c r="D140" s="0" t="s">
        <v>3565</v>
      </c>
      <c r="E140" s="0" t="s">
        <v>3566</v>
      </c>
      <c r="F140" s="0" t="s">
        <v>3219</v>
      </c>
      <c r="G140" s="0" t="s">
        <v>3567</v>
      </c>
    </row>
    <row customHeight="1" ht="11.25">
      <c r="A141" s="714" t="s">
        <v>16</v>
      </c>
      <c r="B141" s="0" t="s">
        <v>1074</v>
      </c>
      <c r="C141" s="0" t="s">
        <v>3564</v>
      </c>
      <c r="D141" s="0" t="s">
        <v>1075</v>
      </c>
      <c r="E141" s="0" t="s">
        <v>1076</v>
      </c>
      <c r="F141" s="0" t="s">
        <v>3222</v>
      </c>
      <c r="G141" s="0" t="s">
        <v>3568</v>
      </c>
    </row>
    <row customHeight="1" ht="11.25">
      <c r="A142" s="714" t="s">
        <v>16</v>
      </c>
      <c r="B142" s="0" t="s">
        <v>1074</v>
      </c>
      <c r="C142" s="0" t="s">
        <v>3564</v>
      </c>
      <c r="D142" s="0" t="s">
        <v>3569</v>
      </c>
      <c r="E142" s="0" t="s">
        <v>3570</v>
      </c>
      <c r="F142" s="0" t="s">
        <v>3246</v>
      </c>
      <c r="G142" s="0" t="s">
        <v>3571</v>
      </c>
    </row>
    <row customHeight="1" ht="11.25">
      <c r="A143" s="714" t="s">
        <v>16</v>
      </c>
      <c r="B143" s="0" t="s">
        <v>1074</v>
      </c>
      <c r="C143" s="0" t="s">
        <v>3564</v>
      </c>
      <c r="D143" s="0" t="s">
        <v>3572</v>
      </c>
      <c r="E143" s="0" t="s">
        <v>3573</v>
      </c>
      <c r="F143" s="0" t="s">
        <v>3235</v>
      </c>
      <c r="G143" s="0" t="s">
        <v>3574</v>
      </c>
    </row>
    <row customHeight="1" ht="11.25">
      <c r="A144" s="714" t="s">
        <v>16</v>
      </c>
      <c r="B144" s="0" t="s">
        <v>1074</v>
      </c>
      <c r="C144" s="0" t="s">
        <v>3564</v>
      </c>
      <c r="D144" s="0" t="s">
        <v>3575</v>
      </c>
      <c r="E144" s="0" t="s">
        <v>3576</v>
      </c>
      <c r="F144" s="0" t="s">
        <v>3235</v>
      </c>
      <c r="G144" s="0" t="s">
        <v>3577</v>
      </c>
    </row>
    <row customHeight="1" ht="11.25">
      <c r="A145" s="714" t="s">
        <v>16</v>
      </c>
      <c r="B145" s="0" t="s">
        <v>1074</v>
      </c>
      <c r="C145" s="0" t="s">
        <v>3564</v>
      </c>
      <c r="D145" s="0" t="s">
        <v>1090</v>
      </c>
      <c r="E145" s="0" t="s">
        <v>1091</v>
      </c>
      <c r="F145" s="0" t="s">
        <v>3235</v>
      </c>
      <c r="G145" s="0" t="s">
        <v>3578</v>
      </c>
    </row>
    <row customHeight="1" ht="11.25">
      <c r="A146" s="714" t="s">
        <v>16</v>
      </c>
      <c r="B146" s="0" t="s">
        <v>1074</v>
      </c>
      <c r="C146" s="0" t="s">
        <v>3564</v>
      </c>
      <c r="D146" s="0" t="s">
        <v>1074</v>
      </c>
      <c r="E146" s="0" t="s">
        <v>3564</v>
      </c>
      <c r="F146" s="0" t="s">
        <v>3216</v>
      </c>
      <c r="G146" s="0" t="s">
        <v>3579</v>
      </c>
    </row>
    <row customHeight="1" ht="11.25">
      <c r="A147" s="714" t="s">
        <v>16</v>
      </c>
      <c r="B147" s="0" t="s">
        <v>3580</v>
      </c>
      <c r="C147" s="0" t="s">
        <v>3581</v>
      </c>
      <c r="D147" s="0" t="s">
        <v>3582</v>
      </c>
      <c r="E147" s="0" t="s">
        <v>3583</v>
      </c>
      <c r="F147" s="0" t="s">
        <v>3219</v>
      </c>
      <c r="G147" s="0" t="s">
        <v>3584</v>
      </c>
    </row>
    <row customHeight="1" ht="11.25">
      <c r="A148" s="714" t="s">
        <v>16</v>
      </c>
      <c r="B148" s="0" t="s">
        <v>3580</v>
      </c>
      <c r="C148" s="0" t="s">
        <v>3581</v>
      </c>
      <c r="D148" s="0" t="s">
        <v>3585</v>
      </c>
      <c r="E148" s="0" t="s">
        <v>3586</v>
      </c>
      <c r="F148" s="0" t="s">
        <v>3219</v>
      </c>
      <c r="G148" s="0" t="s">
        <v>3587</v>
      </c>
    </row>
    <row customHeight="1" ht="11.25">
      <c r="A149" s="714" t="s">
        <v>16</v>
      </c>
      <c r="B149" s="0" t="s">
        <v>3580</v>
      </c>
      <c r="C149" s="0" t="s">
        <v>3581</v>
      </c>
      <c r="D149" s="0" t="s">
        <v>3588</v>
      </c>
      <c r="E149" s="0" t="s">
        <v>3589</v>
      </c>
      <c r="F149" s="0" t="s">
        <v>3219</v>
      </c>
      <c r="G149" s="0" t="s">
        <v>3590</v>
      </c>
    </row>
    <row customHeight="1" ht="11.25">
      <c r="A150" s="714" t="s">
        <v>16</v>
      </c>
      <c r="B150" s="0" t="s">
        <v>3580</v>
      </c>
      <c r="C150" s="0" t="s">
        <v>3581</v>
      </c>
      <c r="D150" s="0" t="s">
        <v>3591</v>
      </c>
      <c r="E150" s="0" t="s">
        <v>3592</v>
      </c>
      <c r="F150" s="0" t="s">
        <v>3219</v>
      </c>
      <c r="G150" s="0" t="s">
        <v>3593</v>
      </c>
    </row>
    <row customHeight="1" ht="11.25">
      <c r="A151" s="714" t="s">
        <v>16</v>
      </c>
      <c r="B151" s="0" t="s">
        <v>3580</v>
      </c>
      <c r="C151" s="0" t="s">
        <v>3581</v>
      </c>
      <c r="D151" s="0" t="s">
        <v>3594</v>
      </c>
      <c r="E151" s="0" t="s">
        <v>3595</v>
      </c>
      <c r="F151" s="0" t="s">
        <v>3219</v>
      </c>
      <c r="G151" s="0" t="s">
        <v>3596</v>
      </c>
    </row>
    <row customHeight="1" ht="11.25">
      <c r="A152" s="714" t="s">
        <v>16</v>
      </c>
      <c r="B152" s="0" t="s">
        <v>3580</v>
      </c>
      <c r="C152" s="0" t="s">
        <v>3581</v>
      </c>
      <c r="D152" s="0" t="s">
        <v>3597</v>
      </c>
      <c r="E152" s="0" t="s">
        <v>3598</v>
      </c>
      <c r="F152" s="0" t="s">
        <v>3219</v>
      </c>
      <c r="G152" s="0" t="s">
        <v>3599</v>
      </c>
    </row>
    <row customHeight="1" ht="11.25">
      <c r="A153" s="714" t="s">
        <v>16</v>
      </c>
      <c r="B153" s="0" t="s">
        <v>3580</v>
      </c>
      <c r="C153" s="0" t="s">
        <v>3581</v>
      </c>
      <c r="D153" s="0" t="s">
        <v>3600</v>
      </c>
      <c r="E153" s="0" t="s">
        <v>3601</v>
      </c>
      <c r="F153" s="0" t="s">
        <v>3219</v>
      </c>
      <c r="G153" s="0" t="s">
        <v>3602</v>
      </c>
    </row>
    <row customHeight="1" ht="11.25">
      <c r="A154" s="714" t="s">
        <v>16</v>
      </c>
      <c r="B154" s="0" t="s">
        <v>3580</v>
      </c>
      <c r="C154" s="0" t="s">
        <v>3581</v>
      </c>
      <c r="D154" s="0" t="s">
        <v>3603</v>
      </c>
      <c r="E154" s="0" t="s">
        <v>3604</v>
      </c>
      <c r="F154" s="0" t="s">
        <v>3235</v>
      </c>
      <c r="G154" s="0" t="s">
        <v>3605</v>
      </c>
    </row>
    <row customHeight="1" ht="11.25">
      <c r="A155" s="714" t="s">
        <v>16</v>
      </c>
      <c r="B155" s="0" t="s">
        <v>3580</v>
      </c>
      <c r="C155" s="0" t="s">
        <v>3581</v>
      </c>
      <c r="D155" s="0" t="s">
        <v>3580</v>
      </c>
      <c r="E155" s="0" t="s">
        <v>3581</v>
      </c>
      <c r="F155" s="0" t="s">
        <v>3216</v>
      </c>
      <c r="G155" s="0" t="s">
        <v>3606</v>
      </c>
    </row>
    <row customHeight="1" ht="11.25">
      <c r="A156" s="714" t="s">
        <v>16</v>
      </c>
      <c r="B156" s="0" t="s">
        <v>3580</v>
      </c>
      <c r="C156" s="0" t="s">
        <v>3581</v>
      </c>
      <c r="D156" s="0" t="s">
        <v>3607</v>
      </c>
      <c r="E156" s="0" t="s">
        <v>3608</v>
      </c>
      <c r="F156" s="0" t="s">
        <v>3219</v>
      </c>
      <c r="G156" s="0" t="s">
        <v>3609</v>
      </c>
    </row>
    <row customHeight="1" ht="11.25">
      <c r="A157" s="714" t="s">
        <v>16</v>
      </c>
      <c r="B157" s="0" t="s">
        <v>3580</v>
      </c>
      <c r="C157" s="0" t="s">
        <v>3581</v>
      </c>
      <c r="D157" s="0" t="s">
        <v>3610</v>
      </c>
      <c r="E157" s="0" t="s">
        <v>3611</v>
      </c>
      <c r="F157" s="0" t="s">
        <v>3219</v>
      </c>
      <c r="G157" s="0" t="s">
        <v>3612</v>
      </c>
    </row>
    <row customHeight="1" ht="11.25">
      <c r="A158" s="714" t="s">
        <v>16</v>
      </c>
      <c r="B158" s="0" t="s">
        <v>3580</v>
      </c>
      <c r="C158" s="0" t="s">
        <v>3581</v>
      </c>
      <c r="D158" s="0" t="s">
        <v>3613</v>
      </c>
      <c r="E158" s="0" t="s">
        <v>3614</v>
      </c>
      <c r="F158" s="0" t="s">
        <v>3219</v>
      </c>
      <c r="G158" s="0" t="s">
        <v>3615</v>
      </c>
    </row>
    <row customHeight="1" ht="11.25">
      <c r="A159" s="714" t="s">
        <v>16</v>
      </c>
      <c r="B159" s="0" t="s">
        <v>3616</v>
      </c>
      <c r="C159" s="0" t="s">
        <v>3617</v>
      </c>
      <c r="D159" s="0" t="s">
        <v>3618</v>
      </c>
      <c r="E159" s="0" t="s">
        <v>3619</v>
      </c>
      <c r="F159" s="0" t="s">
        <v>3219</v>
      </c>
      <c r="G159" s="0" t="s">
        <v>3620</v>
      </c>
    </row>
    <row customHeight="1" ht="11.25">
      <c r="A160" s="714" t="s">
        <v>16</v>
      </c>
      <c r="B160" s="0" t="s">
        <v>3616</v>
      </c>
      <c r="C160" s="0" t="s">
        <v>3617</v>
      </c>
      <c r="D160" s="0" t="s">
        <v>3621</v>
      </c>
      <c r="E160" s="0" t="s">
        <v>3622</v>
      </c>
      <c r="F160" s="0" t="s">
        <v>3246</v>
      </c>
      <c r="G160" s="0" t="s">
        <v>3623</v>
      </c>
    </row>
    <row customHeight="1" ht="11.25">
      <c r="A161" s="714" t="s">
        <v>16</v>
      </c>
      <c r="B161" s="0" t="s">
        <v>3616</v>
      </c>
      <c r="C161" s="0" t="s">
        <v>3617</v>
      </c>
      <c r="D161" s="0" t="s">
        <v>3624</v>
      </c>
      <c r="E161" s="0" t="s">
        <v>3625</v>
      </c>
      <c r="F161" s="0" t="s">
        <v>3219</v>
      </c>
      <c r="G161" s="0" t="s">
        <v>3626</v>
      </c>
    </row>
    <row customHeight="1" ht="11.25">
      <c r="A162" s="714" t="s">
        <v>16</v>
      </c>
      <c r="B162" s="0" t="s">
        <v>3616</v>
      </c>
      <c r="C162" s="0" t="s">
        <v>3617</v>
      </c>
      <c r="D162" s="0" t="s">
        <v>3616</v>
      </c>
      <c r="E162" s="0" t="s">
        <v>3617</v>
      </c>
      <c r="F162" s="0" t="s">
        <v>3216</v>
      </c>
      <c r="G162" s="0" t="s">
        <v>3627</v>
      </c>
    </row>
    <row customHeight="1" ht="11.25">
      <c r="A163" s="714" t="s">
        <v>16</v>
      </c>
      <c r="B163" s="0" t="s">
        <v>3616</v>
      </c>
      <c r="C163" s="0" t="s">
        <v>3617</v>
      </c>
      <c r="D163" s="0" t="s">
        <v>3628</v>
      </c>
      <c r="E163" s="0" t="s">
        <v>3629</v>
      </c>
      <c r="F163" s="0" t="s">
        <v>3219</v>
      </c>
      <c r="G163" s="0" t="s">
        <v>3630</v>
      </c>
    </row>
    <row customHeight="1" ht="11.25">
      <c r="A164" s="714" t="s">
        <v>16</v>
      </c>
      <c r="B164" s="0" t="s">
        <v>3616</v>
      </c>
      <c r="C164" s="0" t="s">
        <v>3617</v>
      </c>
      <c r="D164" s="0" t="s">
        <v>3631</v>
      </c>
      <c r="E164" s="0" t="s">
        <v>3632</v>
      </c>
      <c r="F164" s="0" t="s">
        <v>3219</v>
      </c>
      <c r="G164" s="0" t="s">
        <v>3633</v>
      </c>
    </row>
    <row customHeight="1" ht="11.25">
      <c r="A165" s="714" t="s">
        <v>16</v>
      </c>
      <c r="B165" s="0" t="s">
        <v>3616</v>
      </c>
      <c r="C165" s="0" t="s">
        <v>3617</v>
      </c>
      <c r="D165" s="0" t="s">
        <v>3634</v>
      </c>
      <c r="E165" s="0" t="s">
        <v>3635</v>
      </c>
      <c r="F165" s="0" t="s">
        <v>3219</v>
      </c>
      <c r="G165" s="0" t="s">
        <v>3636</v>
      </c>
    </row>
    <row customHeight="1" ht="11.25">
      <c r="A166" s="714" t="s">
        <v>16</v>
      </c>
      <c r="B166" s="0" t="s">
        <v>3637</v>
      </c>
      <c r="C166" s="0" t="s">
        <v>3638</v>
      </c>
      <c r="D166" s="0" t="s">
        <v>3639</v>
      </c>
      <c r="E166" s="0" t="s">
        <v>3640</v>
      </c>
      <c r="F166" s="0" t="s">
        <v>3219</v>
      </c>
      <c r="G166" s="0" t="s">
        <v>3641</v>
      </c>
    </row>
    <row customHeight="1" ht="11.25">
      <c r="A167" s="714" t="s">
        <v>16</v>
      </c>
      <c r="B167" s="0" t="s">
        <v>3637</v>
      </c>
      <c r="C167" s="0" t="s">
        <v>3638</v>
      </c>
      <c r="D167" s="0" t="s">
        <v>3642</v>
      </c>
      <c r="E167" s="0" t="s">
        <v>3643</v>
      </c>
      <c r="F167" s="0" t="s">
        <v>3219</v>
      </c>
      <c r="G167" s="0" t="s">
        <v>3644</v>
      </c>
    </row>
    <row customHeight="1" ht="11.25">
      <c r="A168" s="714" t="s">
        <v>16</v>
      </c>
      <c r="B168" s="0" t="s">
        <v>3637</v>
      </c>
      <c r="C168" s="0" t="s">
        <v>3638</v>
      </c>
      <c r="D168" s="0" t="s">
        <v>3645</v>
      </c>
      <c r="E168" s="0" t="s">
        <v>3646</v>
      </c>
      <c r="F168" s="0" t="s">
        <v>3219</v>
      </c>
      <c r="G168" s="0" t="s">
        <v>3647</v>
      </c>
    </row>
    <row customHeight="1" ht="11.25">
      <c r="A169" s="714" t="s">
        <v>16</v>
      </c>
      <c r="B169" s="0" t="s">
        <v>3637</v>
      </c>
      <c r="C169" s="0" t="s">
        <v>3638</v>
      </c>
      <c r="D169" s="0" t="s">
        <v>3648</v>
      </c>
      <c r="E169" s="0" t="s">
        <v>3649</v>
      </c>
      <c r="F169" s="0" t="s">
        <v>3219</v>
      </c>
      <c r="G169" s="0" t="s">
        <v>3650</v>
      </c>
    </row>
    <row customHeight="1" ht="11.25">
      <c r="A170" s="714" t="s">
        <v>16</v>
      </c>
      <c r="B170" s="0" t="s">
        <v>3637</v>
      </c>
      <c r="C170" s="0" t="s">
        <v>3638</v>
      </c>
      <c r="D170" s="0" t="s">
        <v>3651</v>
      </c>
      <c r="E170" s="0" t="s">
        <v>3652</v>
      </c>
      <c r="F170" s="0" t="s">
        <v>3219</v>
      </c>
      <c r="G170" s="0" t="s">
        <v>3653</v>
      </c>
    </row>
    <row customHeight="1" ht="11.25">
      <c r="A171" s="714" t="s">
        <v>16</v>
      </c>
      <c r="B171" s="0" t="s">
        <v>3637</v>
      </c>
      <c r="C171" s="0" t="s">
        <v>3638</v>
      </c>
      <c r="D171" s="0" t="s">
        <v>3654</v>
      </c>
      <c r="E171" s="0" t="s">
        <v>3655</v>
      </c>
      <c r="F171" s="0" t="s">
        <v>3219</v>
      </c>
      <c r="G171" s="0" t="s">
        <v>3656</v>
      </c>
    </row>
    <row customHeight="1" ht="11.25">
      <c r="A172" s="714" t="s">
        <v>16</v>
      </c>
      <c r="B172" s="0" t="s">
        <v>3637</v>
      </c>
      <c r="C172" s="0" t="s">
        <v>3638</v>
      </c>
      <c r="D172" s="0" t="s">
        <v>3657</v>
      </c>
      <c r="E172" s="0" t="s">
        <v>3658</v>
      </c>
      <c r="F172" s="0" t="s">
        <v>3219</v>
      </c>
      <c r="G172" s="0" t="s">
        <v>3659</v>
      </c>
    </row>
    <row customHeight="1" ht="11.25">
      <c r="A173" s="714" t="s">
        <v>16</v>
      </c>
      <c r="B173" s="0" t="s">
        <v>3637</v>
      </c>
      <c r="C173" s="0" t="s">
        <v>3638</v>
      </c>
      <c r="D173" s="0" t="s">
        <v>3660</v>
      </c>
      <c r="E173" s="0" t="s">
        <v>3661</v>
      </c>
      <c r="F173" s="0" t="s">
        <v>3219</v>
      </c>
      <c r="G173" s="0" t="s">
        <v>3662</v>
      </c>
    </row>
    <row customHeight="1" ht="11.25">
      <c r="A174" s="714" t="s">
        <v>16</v>
      </c>
      <c r="B174" s="0" t="s">
        <v>3637</v>
      </c>
      <c r="C174" s="0" t="s">
        <v>3638</v>
      </c>
      <c r="D174" s="0" t="s">
        <v>3663</v>
      </c>
      <c r="E174" s="0" t="s">
        <v>3664</v>
      </c>
      <c r="F174" s="0" t="s">
        <v>3219</v>
      </c>
      <c r="G174" s="0" t="s">
        <v>3665</v>
      </c>
    </row>
    <row customHeight="1" ht="11.25">
      <c r="A175" s="714" t="s">
        <v>16</v>
      </c>
      <c r="B175" s="0" t="s">
        <v>3637</v>
      </c>
      <c r="C175" s="0" t="s">
        <v>3638</v>
      </c>
      <c r="D175" s="0" t="s">
        <v>3666</v>
      </c>
      <c r="E175" s="0" t="s">
        <v>3667</v>
      </c>
      <c r="F175" s="0" t="s">
        <v>3219</v>
      </c>
      <c r="G175" s="0" t="s">
        <v>3668</v>
      </c>
    </row>
    <row customHeight="1" ht="11.25">
      <c r="A176" s="714" t="s">
        <v>16</v>
      </c>
      <c r="B176" s="0" t="s">
        <v>3637</v>
      </c>
      <c r="C176" s="0" t="s">
        <v>3638</v>
      </c>
      <c r="D176" s="0" t="s">
        <v>3669</v>
      </c>
      <c r="E176" s="0" t="s">
        <v>3670</v>
      </c>
      <c r="F176" s="0" t="s">
        <v>3219</v>
      </c>
      <c r="G176" s="0" t="s">
        <v>3671</v>
      </c>
    </row>
    <row customHeight="1" ht="11.25">
      <c r="A177" s="714" t="s">
        <v>16</v>
      </c>
      <c r="B177" s="0" t="s">
        <v>3637</v>
      </c>
      <c r="C177" s="0" t="s">
        <v>3638</v>
      </c>
      <c r="D177" s="0" t="s">
        <v>3672</v>
      </c>
      <c r="E177" s="0" t="s">
        <v>3673</v>
      </c>
      <c r="F177" s="0" t="s">
        <v>3219</v>
      </c>
      <c r="G177" s="0" t="s">
        <v>3674</v>
      </c>
    </row>
    <row customHeight="1" ht="11.25">
      <c r="A178" s="714" t="s">
        <v>16</v>
      </c>
      <c r="B178" s="0" t="s">
        <v>3637</v>
      </c>
      <c r="C178" s="0" t="s">
        <v>3638</v>
      </c>
      <c r="D178" s="0" t="s">
        <v>3675</v>
      </c>
      <c r="E178" s="0" t="s">
        <v>3676</v>
      </c>
      <c r="F178" s="0" t="s">
        <v>3219</v>
      </c>
      <c r="G178" s="0" t="s">
        <v>3677</v>
      </c>
    </row>
    <row customHeight="1" ht="11.25">
      <c r="A179" s="714" t="s">
        <v>16</v>
      </c>
      <c r="B179" s="0" t="s">
        <v>3637</v>
      </c>
      <c r="C179" s="0" t="s">
        <v>3638</v>
      </c>
      <c r="D179" s="0" t="s">
        <v>3678</v>
      </c>
      <c r="E179" s="0" t="s">
        <v>3679</v>
      </c>
      <c r="F179" s="0" t="s">
        <v>3219</v>
      </c>
      <c r="G179" s="0" t="s">
        <v>3680</v>
      </c>
    </row>
    <row customHeight="1" ht="11.25">
      <c r="A180" s="714" t="s">
        <v>16</v>
      </c>
      <c r="B180" s="0" t="s">
        <v>3637</v>
      </c>
      <c r="C180" s="0" t="s">
        <v>3638</v>
      </c>
      <c r="D180" s="0" t="s">
        <v>3681</v>
      </c>
      <c r="E180" s="0" t="s">
        <v>3682</v>
      </c>
      <c r="F180" s="0" t="s">
        <v>3219</v>
      </c>
      <c r="G180" s="0" t="s">
        <v>3683</v>
      </c>
    </row>
    <row customHeight="1" ht="11.25">
      <c r="A181" s="714" t="s">
        <v>16</v>
      </c>
      <c r="B181" s="0" t="s">
        <v>3637</v>
      </c>
      <c r="C181" s="0" t="s">
        <v>3638</v>
      </c>
      <c r="D181" s="0" t="s">
        <v>3684</v>
      </c>
      <c r="E181" s="0" t="s">
        <v>3685</v>
      </c>
      <c r="F181" s="0" t="s">
        <v>3219</v>
      </c>
      <c r="G181" s="0" t="s">
        <v>3686</v>
      </c>
    </row>
    <row customHeight="1" ht="11.25">
      <c r="A182" s="714" t="s">
        <v>16</v>
      </c>
      <c r="B182" s="0" t="s">
        <v>3637</v>
      </c>
      <c r="C182" s="0" t="s">
        <v>3638</v>
      </c>
      <c r="D182" s="0" t="s">
        <v>3637</v>
      </c>
      <c r="E182" s="0" t="s">
        <v>3638</v>
      </c>
      <c r="F182" s="0" t="s">
        <v>3216</v>
      </c>
      <c r="G182" s="0" t="s">
        <v>3687</v>
      </c>
    </row>
    <row customHeight="1" ht="11.25">
      <c r="A183" s="714" t="s">
        <v>16</v>
      </c>
      <c r="B183" s="0" t="s">
        <v>3637</v>
      </c>
      <c r="C183" s="0" t="s">
        <v>3638</v>
      </c>
      <c r="D183" s="0" t="s">
        <v>3688</v>
      </c>
      <c r="E183" s="0" t="s">
        <v>3689</v>
      </c>
      <c r="F183" s="0" t="s">
        <v>3219</v>
      </c>
      <c r="G183" s="0" t="s">
        <v>3690</v>
      </c>
    </row>
    <row customHeight="1" ht="11.25">
      <c r="A184" s="714" t="s">
        <v>16</v>
      </c>
      <c r="B184" s="0" t="s">
        <v>3637</v>
      </c>
      <c r="C184" s="0" t="s">
        <v>3638</v>
      </c>
      <c r="D184" s="0" t="s">
        <v>3691</v>
      </c>
      <c r="E184" s="0" t="s">
        <v>3692</v>
      </c>
      <c r="F184" s="0" t="s">
        <v>3219</v>
      </c>
      <c r="G184" s="0" t="s">
        <v>3693</v>
      </c>
    </row>
    <row customHeight="1" ht="11.25">
      <c r="A185" s="714" t="s">
        <v>16</v>
      </c>
      <c r="B185" s="0" t="s">
        <v>1055</v>
      </c>
      <c r="C185" s="0" t="s">
        <v>3694</v>
      </c>
      <c r="D185" s="0" t="s">
        <v>3695</v>
      </c>
      <c r="E185" s="0" t="s">
        <v>3696</v>
      </c>
      <c r="F185" s="0" t="s">
        <v>3219</v>
      </c>
      <c r="G185" s="0" t="s">
        <v>3697</v>
      </c>
    </row>
    <row customHeight="1" ht="11.25">
      <c r="A186" s="714" t="s">
        <v>16</v>
      </c>
      <c r="B186" s="0" t="s">
        <v>1055</v>
      </c>
      <c r="C186" s="0" t="s">
        <v>3694</v>
      </c>
      <c r="D186" s="0" t="s">
        <v>3698</v>
      </c>
      <c r="E186" s="0" t="s">
        <v>3699</v>
      </c>
      <c r="F186" s="0" t="s">
        <v>3219</v>
      </c>
      <c r="G186" s="0" t="s">
        <v>3700</v>
      </c>
    </row>
    <row customHeight="1" ht="11.25">
      <c r="A187" s="714" t="s">
        <v>16</v>
      </c>
      <c r="B187" s="0" t="s">
        <v>1055</v>
      </c>
      <c r="C187" s="0" t="s">
        <v>3694</v>
      </c>
      <c r="D187" s="0" t="s">
        <v>3701</v>
      </c>
      <c r="E187" s="0" t="s">
        <v>3702</v>
      </c>
      <c r="F187" s="0" t="s">
        <v>3219</v>
      </c>
      <c r="G187" s="0" t="s">
        <v>3703</v>
      </c>
    </row>
    <row customHeight="1" ht="11.25">
      <c r="A188" s="714" t="s">
        <v>16</v>
      </c>
      <c r="B188" s="0" t="s">
        <v>1055</v>
      </c>
      <c r="C188" s="0" t="s">
        <v>3694</v>
      </c>
      <c r="D188" s="0" t="s">
        <v>3704</v>
      </c>
      <c r="E188" s="0" t="s">
        <v>3705</v>
      </c>
      <c r="F188" s="0" t="s">
        <v>3219</v>
      </c>
      <c r="G188" s="0" t="s">
        <v>3706</v>
      </c>
    </row>
    <row customHeight="1" ht="11.25">
      <c r="A189" s="714" t="s">
        <v>16</v>
      </c>
      <c r="B189" s="0" t="s">
        <v>1055</v>
      </c>
      <c r="C189" s="0" t="s">
        <v>3694</v>
      </c>
      <c r="D189" s="0" t="s">
        <v>3707</v>
      </c>
      <c r="E189" s="0" t="s">
        <v>3708</v>
      </c>
      <c r="F189" s="0" t="s">
        <v>3219</v>
      </c>
      <c r="G189" s="0" t="s">
        <v>3709</v>
      </c>
    </row>
    <row customHeight="1" ht="11.25">
      <c r="A190" s="714" t="s">
        <v>16</v>
      </c>
      <c r="B190" s="0" t="s">
        <v>1055</v>
      </c>
      <c r="C190" s="0" t="s">
        <v>3694</v>
      </c>
      <c r="D190" s="0" t="s">
        <v>3710</v>
      </c>
      <c r="E190" s="0" t="s">
        <v>3711</v>
      </c>
      <c r="F190" s="0" t="s">
        <v>3219</v>
      </c>
      <c r="G190" s="0" t="s">
        <v>3712</v>
      </c>
    </row>
    <row customHeight="1" ht="11.25">
      <c r="A191" s="714" t="s">
        <v>16</v>
      </c>
      <c r="B191" s="0" t="s">
        <v>1055</v>
      </c>
      <c r="C191" s="0" t="s">
        <v>3694</v>
      </c>
      <c r="D191" s="0" t="s">
        <v>3713</v>
      </c>
      <c r="E191" s="0" t="s">
        <v>3714</v>
      </c>
      <c r="F191" s="0" t="s">
        <v>3219</v>
      </c>
      <c r="G191" s="0" t="s">
        <v>3715</v>
      </c>
    </row>
    <row customHeight="1" ht="11.25">
      <c r="A192" s="714" t="s">
        <v>16</v>
      </c>
      <c r="B192" s="0" t="s">
        <v>1055</v>
      </c>
      <c r="C192" s="0" t="s">
        <v>3694</v>
      </c>
      <c r="D192" s="0" t="s">
        <v>3716</v>
      </c>
      <c r="E192" s="0" t="s">
        <v>3717</v>
      </c>
      <c r="F192" s="0" t="s">
        <v>3219</v>
      </c>
      <c r="G192" s="0" t="s">
        <v>3718</v>
      </c>
    </row>
    <row customHeight="1" ht="11.25">
      <c r="A193" s="714" t="s">
        <v>16</v>
      </c>
      <c r="B193" s="0" t="s">
        <v>1055</v>
      </c>
      <c r="C193" s="0" t="s">
        <v>3694</v>
      </c>
      <c r="D193" s="0" t="s">
        <v>3719</v>
      </c>
      <c r="E193" s="0" t="s">
        <v>3720</v>
      </c>
      <c r="F193" s="0" t="s">
        <v>3219</v>
      </c>
      <c r="G193" s="0" t="s">
        <v>3721</v>
      </c>
    </row>
    <row customHeight="1" ht="11.25">
      <c r="A194" s="714" t="s">
        <v>16</v>
      </c>
      <c r="B194" s="0" t="s">
        <v>1055</v>
      </c>
      <c r="C194" s="0" t="s">
        <v>3694</v>
      </c>
      <c r="D194" s="0" t="s">
        <v>3722</v>
      </c>
      <c r="E194" s="0" t="s">
        <v>3723</v>
      </c>
      <c r="F194" s="0" t="s">
        <v>3219</v>
      </c>
      <c r="G194" s="0" t="s">
        <v>3724</v>
      </c>
    </row>
    <row customHeight="1" ht="11.25">
      <c r="A195" s="714" t="s">
        <v>16</v>
      </c>
      <c r="B195" s="0" t="s">
        <v>1055</v>
      </c>
      <c r="C195" s="0" t="s">
        <v>3694</v>
      </c>
      <c r="D195" s="0" t="s">
        <v>3725</v>
      </c>
      <c r="E195" s="0" t="s">
        <v>3726</v>
      </c>
      <c r="F195" s="0" t="s">
        <v>3219</v>
      </c>
      <c r="G195" s="0" t="s">
        <v>3727</v>
      </c>
    </row>
    <row customHeight="1" ht="11.25">
      <c r="A196" s="714" t="s">
        <v>16</v>
      </c>
      <c r="B196" s="0" t="s">
        <v>1055</v>
      </c>
      <c r="C196" s="0" t="s">
        <v>3694</v>
      </c>
      <c r="D196" s="0" t="s">
        <v>3728</v>
      </c>
      <c r="E196" s="0" t="s">
        <v>3729</v>
      </c>
      <c r="F196" s="0" t="s">
        <v>3219</v>
      </c>
      <c r="G196" s="0" t="s">
        <v>3730</v>
      </c>
    </row>
    <row customHeight="1" ht="11.25">
      <c r="A197" s="714" t="s">
        <v>16</v>
      </c>
      <c r="B197" s="0" t="s">
        <v>1055</v>
      </c>
      <c r="C197" s="0" t="s">
        <v>3694</v>
      </c>
      <c r="D197" s="0" t="s">
        <v>3731</v>
      </c>
      <c r="E197" s="0" t="s">
        <v>3732</v>
      </c>
      <c r="F197" s="0" t="s">
        <v>3219</v>
      </c>
      <c r="G197" s="0" t="s">
        <v>3733</v>
      </c>
    </row>
    <row customHeight="1" ht="11.25">
      <c r="A198" s="714" t="s">
        <v>16</v>
      </c>
      <c r="B198" s="0" t="s">
        <v>1055</v>
      </c>
      <c r="C198" s="0" t="s">
        <v>3694</v>
      </c>
      <c r="D198" s="0" t="s">
        <v>3734</v>
      </c>
      <c r="E198" s="0" t="s">
        <v>3735</v>
      </c>
      <c r="F198" s="0" t="s">
        <v>3219</v>
      </c>
      <c r="G198" s="0" t="s">
        <v>3736</v>
      </c>
    </row>
    <row customHeight="1" ht="11.25">
      <c r="A199" s="714" t="s">
        <v>16</v>
      </c>
      <c r="B199" s="0" t="s">
        <v>1055</v>
      </c>
      <c r="C199" s="0" t="s">
        <v>3694</v>
      </c>
      <c r="D199" s="0" t="s">
        <v>3737</v>
      </c>
      <c r="E199" s="0" t="s">
        <v>3738</v>
      </c>
      <c r="F199" s="0" t="s">
        <v>3219</v>
      </c>
      <c r="G199" s="0" t="s">
        <v>3739</v>
      </c>
    </row>
    <row customHeight="1" ht="11.25">
      <c r="A200" s="714" t="s">
        <v>16</v>
      </c>
      <c r="B200" s="0" t="s">
        <v>1055</v>
      </c>
      <c r="C200" s="0" t="s">
        <v>3694</v>
      </c>
      <c r="D200" s="0" t="s">
        <v>1056</v>
      </c>
      <c r="E200" s="0" t="s">
        <v>1057</v>
      </c>
      <c r="F200" s="0" t="s">
        <v>3219</v>
      </c>
      <c r="G200" s="0" t="s">
        <v>3740</v>
      </c>
    </row>
    <row customHeight="1" ht="11.25">
      <c r="A201" s="714" t="s">
        <v>16</v>
      </c>
      <c r="B201" s="0" t="s">
        <v>1055</v>
      </c>
      <c r="C201" s="0" t="s">
        <v>3694</v>
      </c>
      <c r="D201" s="0" t="s">
        <v>3741</v>
      </c>
      <c r="E201" s="0" t="s">
        <v>3742</v>
      </c>
      <c r="F201" s="0" t="s">
        <v>3219</v>
      </c>
      <c r="G201" s="0" t="s">
        <v>3743</v>
      </c>
    </row>
    <row customHeight="1" ht="11.25">
      <c r="A202" s="714" t="s">
        <v>16</v>
      </c>
      <c r="B202" s="0" t="s">
        <v>1055</v>
      </c>
      <c r="C202" s="0" t="s">
        <v>3694</v>
      </c>
      <c r="D202" s="0" t="s">
        <v>3744</v>
      </c>
      <c r="E202" s="0" t="s">
        <v>3745</v>
      </c>
      <c r="F202" s="0" t="s">
        <v>3219</v>
      </c>
      <c r="G202" s="0" t="s">
        <v>3746</v>
      </c>
    </row>
    <row customHeight="1" ht="11.25">
      <c r="A203" s="714" t="s">
        <v>16</v>
      </c>
      <c r="B203" s="0" t="s">
        <v>1055</v>
      </c>
      <c r="C203" s="0" t="s">
        <v>3694</v>
      </c>
      <c r="D203" s="0" t="s">
        <v>3747</v>
      </c>
      <c r="E203" s="0" t="s">
        <v>3748</v>
      </c>
      <c r="F203" s="0" t="s">
        <v>3219</v>
      </c>
      <c r="G203" s="0" t="s">
        <v>3749</v>
      </c>
    </row>
    <row customHeight="1" ht="11.25">
      <c r="A204" s="714" t="s">
        <v>16</v>
      </c>
      <c r="B204" s="0" t="s">
        <v>1055</v>
      </c>
      <c r="C204" s="0" t="s">
        <v>3694</v>
      </c>
      <c r="D204" s="0" t="s">
        <v>3750</v>
      </c>
      <c r="E204" s="0" t="s">
        <v>3751</v>
      </c>
      <c r="F204" s="0" t="s">
        <v>3219</v>
      </c>
      <c r="G204" s="0" t="s">
        <v>3752</v>
      </c>
    </row>
    <row customHeight="1" ht="11.25">
      <c r="A205" s="714" t="s">
        <v>16</v>
      </c>
      <c r="B205" s="0" t="s">
        <v>1055</v>
      </c>
      <c r="C205" s="0" t="s">
        <v>3694</v>
      </c>
      <c r="D205" s="0" t="s">
        <v>3753</v>
      </c>
      <c r="E205" s="0" t="s">
        <v>3754</v>
      </c>
      <c r="F205" s="0" t="s">
        <v>3235</v>
      </c>
      <c r="G205" s="0" t="s">
        <v>3755</v>
      </c>
    </row>
    <row customHeight="1" ht="11.25">
      <c r="A206" s="714" t="s">
        <v>16</v>
      </c>
      <c r="B206" s="0" t="s">
        <v>1055</v>
      </c>
      <c r="C206" s="0" t="s">
        <v>3694</v>
      </c>
      <c r="D206" s="0" t="s">
        <v>3756</v>
      </c>
      <c r="E206" s="0" t="s">
        <v>3757</v>
      </c>
      <c r="F206" s="0" t="s">
        <v>3219</v>
      </c>
      <c r="G206" s="0" t="s">
        <v>3758</v>
      </c>
    </row>
    <row customHeight="1" ht="11.25">
      <c r="A207" s="714" t="s">
        <v>16</v>
      </c>
      <c r="B207" s="0" t="s">
        <v>1055</v>
      </c>
      <c r="C207" s="0" t="s">
        <v>3694</v>
      </c>
      <c r="D207" s="0" t="s">
        <v>3759</v>
      </c>
      <c r="E207" s="0" t="s">
        <v>3760</v>
      </c>
      <c r="F207" s="0" t="s">
        <v>3219</v>
      </c>
      <c r="G207" s="0" t="s">
        <v>3761</v>
      </c>
    </row>
    <row customHeight="1" ht="11.25">
      <c r="A208" s="714" t="s">
        <v>16</v>
      </c>
      <c r="B208" s="0" t="s">
        <v>1055</v>
      </c>
      <c r="C208" s="0" t="s">
        <v>3694</v>
      </c>
      <c r="D208" s="0" t="s">
        <v>3762</v>
      </c>
      <c r="E208" s="0" t="s">
        <v>3763</v>
      </c>
      <c r="F208" s="0" t="s">
        <v>3219</v>
      </c>
      <c r="G208" s="0" t="s">
        <v>3764</v>
      </c>
    </row>
    <row customHeight="1" ht="11.25">
      <c r="A209" s="714" t="s">
        <v>16</v>
      </c>
      <c r="B209" s="0" t="s">
        <v>1055</v>
      </c>
      <c r="C209" s="0" t="s">
        <v>3694</v>
      </c>
      <c r="D209" s="0" t="s">
        <v>3765</v>
      </c>
      <c r="E209" s="0" t="s">
        <v>3766</v>
      </c>
      <c r="F209" s="0" t="s">
        <v>3219</v>
      </c>
      <c r="G209" s="0" t="s">
        <v>3767</v>
      </c>
    </row>
    <row customHeight="1" ht="11.25">
      <c r="A210" s="714" t="s">
        <v>16</v>
      </c>
      <c r="B210" s="0" t="s">
        <v>1055</v>
      </c>
      <c r="C210" s="0" t="s">
        <v>3694</v>
      </c>
      <c r="D210" s="0" t="s">
        <v>3768</v>
      </c>
      <c r="E210" s="0" t="s">
        <v>3769</v>
      </c>
      <c r="F210" s="0" t="s">
        <v>3219</v>
      </c>
      <c r="G210" s="0" t="s">
        <v>3770</v>
      </c>
    </row>
    <row customHeight="1" ht="11.25">
      <c r="A211" s="714" t="s">
        <v>16</v>
      </c>
      <c r="B211" s="0" t="s">
        <v>1055</v>
      </c>
      <c r="C211" s="0" t="s">
        <v>3694</v>
      </c>
      <c r="D211" s="0" t="s">
        <v>1055</v>
      </c>
      <c r="E211" s="0" t="s">
        <v>3694</v>
      </c>
      <c r="F211" s="0" t="s">
        <v>3216</v>
      </c>
      <c r="G211" s="0" t="s">
        <v>3771</v>
      </c>
    </row>
    <row customHeight="1" ht="11.25">
      <c r="A212" s="714" t="s">
        <v>16</v>
      </c>
      <c r="B212" s="0" t="s">
        <v>1055</v>
      </c>
      <c r="C212" s="0" t="s">
        <v>3694</v>
      </c>
      <c r="D212" s="0" t="s">
        <v>3772</v>
      </c>
      <c r="E212" s="0" t="s">
        <v>3773</v>
      </c>
      <c r="F212" s="0" t="s">
        <v>3219</v>
      </c>
      <c r="G212" s="0" t="s">
        <v>3774</v>
      </c>
    </row>
    <row customHeight="1" ht="11.25">
      <c r="A213" s="714" t="s">
        <v>16</v>
      </c>
      <c r="B213" s="0" t="s">
        <v>3775</v>
      </c>
      <c r="C213" s="0" t="s">
        <v>3776</v>
      </c>
      <c r="D213" s="0" t="s">
        <v>3777</v>
      </c>
      <c r="E213" s="0" t="s">
        <v>3778</v>
      </c>
      <c r="F213" s="0" t="s">
        <v>3219</v>
      </c>
      <c r="G213" s="0" t="s">
        <v>3779</v>
      </c>
    </row>
    <row customHeight="1" ht="11.25">
      <c r="A214" s="714" t="s">
        <v>16</v>
      </c>
      <c r="B214" s="0" t="s">
        <v>3775</v>
      </c>
      <c r="C214" s="0" t="s">
        <v>3776</v>
      </c>
      <c r="D214" s="0" t="s">
        <v>3780</v>
      </c>
      <c r="E214" s="0" t="s">
        <v>3781</v>
      </c>
      <c r="F214" s="0" t="s">
        <v>3219</v>
      </c>
      <c r="G214" s="0" t="s">
        <v>3782</v>
      </c>
    </row>
    <row customHeight="1" ht="11.25">
      <c r="A215" s="714" t="s">
        <v>16</v>
      </c>
      <c r="B215" s="0" t="s">
        <v>3775</v>
      </c>
      <c r="C215" s="0" t="s">
        <v>3776</v>
      </c>
      <c r="D215" s="0" t="s">
        <v>3783</v>
      </c>
      <c r="E215" s="0" t="s">
        <v>3784</v>
      </c>
      <c r="F215" s="0" t="s">
        <v>3219</v>
      </c>
      <c r="G215" s="0" t="s">
        <v>3785</v>
      </c>
    </row>
    <row customHeight="1" ht="11.25">
      <c r="A216" s="714" t="s">
        <v>16</v>
      </c>
      <c r="B216" s="0" t="s">
        <v>3775</v>
      </c>
      <c r="C216" s="0" t="s">
        <v>3776</v>
      </c>
      <c r="D216" s="0" t="s">
        <v>3786</v>
      </c>
      <c r="E216" s="0" t="s">
        <v>3787</v>
      </c>
      <c r="F216" s="0" t="s">
        <v>3219</v>
      </c>
      <c r="G216" s="0" t="s">
        <v>3788</v>
      </c>
    </row>
    <row customHeight="1" ht="11.25">
      <c r="A217" s="714" t="s">
        <v>16</v>
      </c>
      <c r="B217" s="0" t="s">
        <v>3775</v>
      </c>
      <c r="C217" s="0" t="s">
        <v>3776</v>
      </c>
      <c r="D217" s="0" t="s">
        <v>3789</v>
      </c>
      <c r="E217" s="0" t="s">
        <v>3790</v>
      </c>
      <c r="F217" s="0" t="s">
        <v>3219</v>
      </c>
      <c r="G217" s="0" t="s">
        <v>3791</v>
      </c>
    </row>
    <row customHeight="1" ht="11.25">
      <c r="A218" s="714" t="s">
        <v>16</v>
      </c>
      <c r="B218" s="0" t="s">
        <v>3775</v>
      </c>
      <c r="C218" s="0" t="s">
        <v>3776</v>
      </c>
      <c r="D218" s="0" t="s">
        <v>3792</v>
      </c>
      <c r="E218" s="0" t="s">
        <v>3793</v>
      </c>
      <c r="F218" s="0" t="s">
        <v>3219</v>
      </c>
      <c r="G218" s="0" t="s">
        <v>3794</v>
      </c>
    </row>
    <row customHeight="1" ht="11.25">
      <c r="A219" s="714" t="s">
        <v>16</v>
      </c>
      <c r="B219" s="0" t="s">
        <v>3775</v>
      </c>
      <c r="C219" s="0" t="s">
        <v>3776</v>
      </c>
      <c r="D219" s="0" t="s">
        <v>3795</v>
      </c>
      <c r="E219" s="0" t="s">
        <v>3796</v>
      </c>
      <c r="F219" s="0" t="s">
        <v>3219</v>
      </c>
      <c r="G219" s="0" t="s">
        <v>3797</v>
      </c>
    </row>
    <row customHeight="1" ht="11.25">
      <c r="A220" s="714" t="s">
        <v>16</v>
      </c>
      <c r="B220" s="0" t="s">
        <v>3775</v>
      </c>
      <c r="C220" s="0" t="s">
        <v>3776</v>
      </c>
      <c r="D220" s="0" t="s">
        <v>3798</v>
      </c>
      <c r="E220" s="0" t="s">
        <v>3799</v>
      </c>
      <c r="F220" s="0" t="s">
        <v>3219</v>
      </c>
      <c r="G220" s="0" t="s">
        <v>3800</v>
      </c>
    </row>
    <row customHeight="1" ht="11.25">
      <c r="A221" s="714" t="s">
        <v>16</v>
      </c>
      <c r="B221" s="0" t="s">
        <v>3775</v>
      </c>
      <c r="C221" s="0" t="s">
        <v>3776</v>
      </c>
      <c r="D221" s="0" t="s">
        <v>3801</v>
      </c>
      <c r="E221" s="0" t="s">
        <v>3802</v>
      </c>
      <c r="F221" s="0" t="s">
        <v>3219</v>
      </c>
      <c r="G221" s="0" t="s">
        <v>3803</v>
      </c>
    </row>
    <row customHeight="1" ht="11.25">
      <c r="A222" s="714" t="s">
        <v>16</v>
      </c>
      <c r="B222" s="0" t="s">
        <v>3775</v>
      </c>
      <c r="C222" s="0" t="s">
        <v>3776</v>
      </c>
      <c r="D222" s="0" t="s">
        <v>3804</v>
      </c>
      <c r="E222" s="0" t="s">
        <v>3805</v>
      </c>
      <c r="F222" s="0" t="s">
        <v>3219</v>
      </c>
      <c r="G222" s="0" t="s">
        <v>3806</v>
      </c>
    </row>
    <row customHeight="1" ht="11.25">
      <c r="A223" s="714" t="s">
        <v>16</v>
      </c>
      <c r="B223" s="0" t="s">
        <v>3775</v>
      </c>
      <c r="C223" s="0" t="s">
        <v>3776</v>
      </c>
      <c r="D223" s="0" t="s">
        <v>3807</v>
      </c>
      <c r="E223" s="0" t="s">
        <v>3808</v>
      </c>
      <c r="F223" s="0" t="s">
        <v>3219</v>
      </c>
      <c r="G223" s="0" t="s">
        <v>3809</v>
      </c>
    </row>
    <row customHeight="1" ht="11.25">
      <c r="A224" s="714" t="s">
        <v>16</v>
      </c>
      <c r="B224" s="0" t="s">
        <v>3775</v>
      </c>
      <c r="C224" s="0" t="s">
        <v>3776</v>
      </c>
      <c r="D224" s="0" t="s">
        <v>3810</v>
      </c>
      <c r="E224" s="0" t="s">
        <v>3811</v>
      </c>
      <c r="F224" s="0" t="s">
        <v>3219</v>
      </c>
      <c r="G224" s="0" t="s">
        <v>3812</v>
      </c>
    </row>
    <row customHeight="1" ht="11.25">
      <c r="A225" s="714" t="s">
        <v>16</v>
      </c>
      <c r="B225" s="0" t="s">
        <v>3775</v>
      </c>
      <c r="C225" s="0" t="s">
        <v>3776</v>
      </c>
      <c r="D225" s="0" t="s">
        <v>3813</v>
      </c>
      <c r="E225" s="0" t="s">
        <v>3814</v>
      </c>
      <c r="F225" s="0" t="s">
        <v>3235</v>
      </c>
      <c r="G225" s="0" t="s">
        <v>3815</v>
      </c>
    </row>
    <row customHeight="1" ht="11.25">
      <c r="A226" s="714" t="s">
        <v>16</v>
      </c>
      <c r="B226" s="0" t="s">
        <v>3775</v>
      </c>
      <c r="C226" s="0" t="s">
        <v>3776</v>
      </c>
      <c r="D226" s="0" t="s">
        <v>3816</v>
      </c>
      <c r="E226" s="0" t="s">
        <v>3817</v>
      </c>
      <c r="F226" s="0" t="s">
        <v>3235</v>
      </c>
      <c r="G226" s="0" t="s">
        <v>3818</v>
      </c>
    </row>
    <row customHeight="1" ht="11.25">
      <c r="A227" s="714" t="s">
        <v>16</v>
      </c>
      <c r="B227" s="0" t="s">
        <v>3775</v>
      </c>
      <c r="C227" s="0" t="s">
        <v>3776</v>
      </c>
      <c r="D227" s="0" t="s">
        <v>3819</v>
      </c>
      <c r="E227" s="0" t="s">
        <v>3820</v>
      </c>
      <c r="F227" s="0" t="s">
        <v>3235</v>
      </c>
      <c r="G227" s="0" t="s">
        <v>3821</v>
      </c>
    </row>
    <row customHeight="1" ht="11.25">
      <c r="A228" s="714" t="s">
        <v>16</v>
      </c>
      <c r="B228" s="0" t="s">
        <v>3775</v>
      </c>
      <c r="C228" s="0" t="s">
        <v>3776</v>
      </c>
      <c r="D228" s="0" t="s">
        <v>3822</v>
      </c>
      <c r="E228" s="0" t="s">
        <v>3823</v>
      </c>
      <c r="F228" s="0" t="s">
        <v>3219</v>
      </c>
      <c r="G228" s="0" t="s">
        <v>3824</v>
      </c>
    </row>
    <row customHeight="1" ht="11.25">
      <c r="A229" s="714" t="s">
        <v>16</v>
      </c>
      <c r="B229" s="0" t="s">
        <v>3775</v>
      </c>
      <c r="C229" s="0" t="s">
        <v>3776</v>
      </c>
      <c r="D229" s="0" t="s">
        <v>3825</v>
      </c>
      <c r="E229" s="0" t="s">
        <v>3826</v>
      </c>
      <c r="F229" s="0" t="s">
        <v>3219</v>
      </c>
      <c r="G229" s="0" t="s">
        <v>3827</v>
      </c>
    </row>
    <row customHeight="1" ht="11.25">
      <c r="A230" s="714" t="s">
        <v>16</v>
      </c>
      <c r="B230" s="0" t="s">
        <v>3775</v>
      </c>
      <c r="C230" s="0" t="s">
        <v>3776</v>
      </c>
      <c r="D230" s="0" t="s">
        <v>3828</v>
      </c>
      <c r="E230" s="0" t="s">
        <v>3829</v>
      </c>
      <c r="F230" s="0" t="s">
        <v>3219</v>
      </c>
      <c r="G230" s="0" t="s">
        <v>3830</v>
      </c>
    </row>
    <row customHeight="1" ht="11.25">
      <c r="A231" s="714" t="s">
        <v>16</v>
      </c>
      <c r="B231" s="0" t="s">
        <v>3775</v>
      </c>
      <c r="C231" s="0" t="s">
        <v>3776</v>
      </c>
      <c r="D231" s="0" t="s">
        <v>3831</v>
      </c>
      <c r="E231" s="0" t="s">
        <v>3832</v>
      </c>
      <c r="F231" s="0" t="s">
        <v>3219</v>
      </c>
      <c r="G231" s="0" t="s">
        <v>3833</v>
      </c>
    </row>
    <row customHeight="1" ht="11.25">
      <c r="A232" s="714" t="s">
        <v>16</v>
      </c>
      <c r="B232" s="0" t="s">
        <v>3775</v>
      </c>
      <c r="C232" s="0" t="s">
        <v>3776</v>
      </c>
      <c r="D232" s="0" t="s">
        <v>3834</v>
      </c>
      <c r="E232" s="0" t="s">
        <v>3835</v>
      </c>
      <c r="F232" s="0" t="s">
        <v>3219</v>
      </c>
      <c r="G232" s="0" t="s">
        <v>3836</v>
      </c>
    </row>
    <row customHeight="1" ht="11.25">
      <c r="A233" s="714" t="s">
        <v>16</v>
      </c>
      <c r="B233" s="0" t="s">
        <v>3775</v>
      </c>
      <c r="C233" s="0" t="s">
        <v>3776</v>
      </c>
      <c r="D233" s="0" t="s">
        <v>3775</v>
      </c>
      <c r="E233" s="0" t="s">
        <v>3776</v>
      </c>
      <c r="F233" s="0" t="s">
        <v>3216</v>
      </c>
      <c r="G233" s="0" t="s">
        <v>3837</v>
      </c>
    </row>
    <row customHeight="1" ht="11.25">
      <c r="A234" s="714" t="s">
        <v>16</v>
      </c>
      <c r="B234" s="0" t="s">
        <v>3838</v>
      </c>
      <c r="C234" s="0" t="s">
        <v>3839</v>
      </c>
      <c r="D234" s="0" t="s">
        <v>3840</v>
      </c>
      <c r="E234" s="0" t="s">
        <v>3841</v>
      </c>
      <c r="F234" s="0" t="s">
        <v>3219</v>
      </c>
      <c r="G234" s="0" t="s">
        <v>3842</v>
      </c>
    </row>
    <row customHeight="1" ht="11.25">
      <c r="A235" s="714" t="s">
        <v>16</v>
      </c>
      <c r="B235" s="0" t="s">
        <v>3838</v>
      </c>
      <c r="C235" s="0" t="s">
        <v>3839</v>
      </c>
      <c r="D235" s="0" t="s">
        <v>3843</v>
      </c>
      <c r="E235" s="0" t="s">
        <v>3844</v>
      </c>
      <c r="F235" s="0" t="s">
        <v>3219</v>
      </c>
      <c r="G235" s="0" t="s">
        <v>3845</v>
      </c>
    </row>
    <row customHeight="1" ht="11.25">
      <c r="A236" s="714" t="s">
        <v>16</v>
      </c>
      <c r="B236" s="0" t="s">
        <v>3838</v>
      </c>
      <c r="C236" s="0" t="s">
        <v>3839</v>
      </c>
      <c r="D236" s="0" t="s">
        <v>3846</v>
      </c>
      <c r="E236" s="0" t="s">
        <v>3847</v>
      </c>
      <c r="F236" s="0" t="s">
        <v>3246</v>
      </c>
      <c r="G236" s="0" t="s">
        <v>3848</v>
      </c>
    </row>
    <row customHeight="1" ht="11.25">
      <c r="A237" s="714" t="s">
        <v>16</v>
      </c>
      <c r="B237" s="0" t="s">
        <v>3838</v>
      </c>
      <c r="C237" s="0" t="s">
        <v>3839</v>
      </c>
      <c r="D237" s="0" t="s">
        <v>3849</v>
      </c>
      <c r="E237" s="0" t="s">
        <v>3850</v>
      </c>
      <c r="F237" s="0" t="s">
        <v>3219</v>
      </c>
      <c r="G237" s="0" t="s">
        <v>3851</v>
      </c>
    </row>
    <row customHeight="1" ht="11.25">
      <c r="A238" s="714" t="s">
        <v>16</v>
      </c>
      <c r="B238" s="0" t="s">
        <v>3838</v>
      </c>
      <c r="C238" s="0" t="s">
        <v>3839</v>
      </c>
      <c r="D238" s="0" t="s">
        <v>3852</v>
      </c>
      <c r="E238" s="0" t="s">
        <v>3853</v>
      </c>
      <c r="F238" s="0" t="s">
        <v>3219</v>
      </c>
      <c r="G238" s="0" t="s">
        <v>3854</v>
      </c>
    </row>
    <row customHeight="1" ht="11.25">
      <c r="A239" s="714" t="s">
        <v>16</v>
      </c>
      <c r="B239" s="0" t="s">
        <v>3838</v>
      </c>
      <c r="C239" s="0" t="s">
        <v>3839</v>
      </c>
      <c r="D239" s="0" t="s">
        <v>3855</v>
      </c>
      <c r="E239" s="0" t="s">
        <v>3856</v>
      </c>
      <c r="F239" s="0" t="s">
        <v>3219</v>
      </c>
      <c r="G239" s="0" t="s">
        <v>3857</v>
      </c>
    </row>
    <row customHeight="1" ht="11.25">
      <c r="A240" s="714" t="s">
        <v>16</v>
      </c>
      <c r="B240" s="0" t="s">
        <v>3838</v>
      </c>
      <c r="C240" s="0" t="s">
        <v>3839</v>
      </c>
      <c r="D240" s="0" t="s">
        <v>3838</v>
      </c>
      <c r="E240" s="0" t="s">
        <v>3839</v>
      </c>
      <c r="F240" s="0" t="s">
        <v>3216</v>
      </c>
      <c r="G240" s="0" t="s">
        <v>3858</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29B8B6-65A7-9F66-8B19-1AFFD01B1D88}" mc:Ignorable="x14ac xr xr2 xr3">
  <sheetPr>
    <tabColor rgb="FFFFCC99"/>
  </sheetPr>
  <dimension ref="A1:I68"/>
  <sheetViews>
    <sheetView topLeftCell="A1" showGridLines="0" workbookViewId="0">
      <selection activeCell="A1" sqref="A1"/>
    </sheetView>
  </sheetViews>
  <sheetFormatPr defaultColWidth="9.140625" customHeight="1" defaultRowHeight="11.25"/>
  <cols>
    <col min="1" max="1" style="19985" width="13.8515625" customWidth="1"/>
    <col min="2" max="2" style="19985" width="10.421875" customWidth="1"/>
    <col min="3" max="3" style="19985" width="7.57421875" customWidth="1"/>
    <col min="4" max="4" style="19985" width="13.8515625" customWidth="1"/>
    <col min="5" max="5" style="19985" width="11.57421875" customWidth="1"/>
    <col min="6" max="6" style="19985" width="16.28125" customWidth="1"/>
    <col min="7" max="7" style="19985" width="16.00390625" customWidth="1"/>
    <col min="8" max="9" style="19985" width="16.140625" customWidth="1"/>
  </cols>
  <sheetData>
    <row customHeight="1" ht="11.25">
      <c r="A1" s="1176" t="s">
        <v>3859</v>
      </c>
      <c r="B1" s="1176" t="s">
        <v>3860</v>
      </c>
      <c r="C1" s="1500" t="s">
        <v>3861</v>
      </c>
      <c r="D1" s="1176" t="s">
        <v>3862</v>
      </c>
      <c r="E1" s="1176" t="s">
        <v>3863</v>
      </c>
      <c r="F1" s="1500" t="s">
        <v>3864</v>
      </c>
      <c r="G1" s="1500" t="s">
        <v>3865</v>
      </c>
      <c r="H1" s="1500" t="s">
        <v>3866</v>
      </c>
      <c r="I1" s="1500" t="s">
        <v>3867</v>
      </c>
    </row>
    <row customHeight="1" ht="11.25">
      <c r="A2" s="5724" t="s">
        <v>106</v>
      </c>
      <c r="B2" s="5724" t="s">
        <v>3868</v>
      </c>
      <c r="C2" s="5724" t="s">
        <v>22</v>
      </c>
      <c r="D2" s="5724" t="s">
        <v>3869</v>
      </c>
      <c r="E2" s="5724" t="s">
        <v>3870</v>
      </c>
      <c r="F2" s="5724" t="s">
        <v>22</v>
      </c>
      <c r="G2" s="5724" t="s">
        <v>22</v>
      </c>
      <c r="H2" s="5724" t="s">
        <v>22</v>
      </c>
      <c r="I2" s="5724" t="s">
        <v>22</v>
      </c>
    </row>
    <row customHeight="1" ht="11.25">
      <c r="A3" s="5724" t="s">
        <v>107</v>
      </c>
      <c r="B3" s="5724" t="s">
        <v>3871</v>
      </c>
      <c r="C3" s="5724" t="s">
        <v>22</v>
      </c>
      <c r="D3" s="5724" t="s">
        <v>3872</v>
      </c>
      <c r="E3" s="5724" t="s">
        <v>3873</v>
      </c>
      <c r="F3" s="5724" t="s">
        <v>22</v>
      </c>
      <c r="G3" s="5724" t="s">
        <v>22</v>
      </c>
      <c r="H3" s="5724" t="s">
        <v>22</v>
      </c>
      <c r="I3" s="5724" t="s">
        <v>22</v>
      </c>
    </row>
    <row customHeight="1" ht="11.25">
      <c r="A4" s="5724" t="s">
        <v>90</v>
      </c>
      <c r="B4" s="5724" t="s">
        <v>3874</v>
      </c>
      <c r="C4" s="5724" t="s">
        <v>22</v>
      </c>
      <c r="D4" s="5724" t="s">
        <v>3872</v>
      </c>
      <c r="E4" s="5724" t="s">
        <v>3873</v>
      </c>
      <c r="F4" s="5724" t="s">
        <v>22</v>
      </c>
      <c r="G4" s="5724" t="s">
        <v>22</v>
      </c>
      <c r="H4" s="5724" t="s">
        <v>22</v>
      </c>
      <c r="I4" s="5724" t="s">
        <v>22</v>
      </c>
    </row>
    <row customHeight="1" ht="11.25">
      <c r="A5" s="5724" t="s">
        <v>91</v>
      </c>
      <c r="B5" s="5724" t="s">
        <v>3875</v>
      </c>
      <c r="C5" s="5724" t="s">
        <v>22</v>
      </c>
      <c r="D5" s="5724" t="s">
        <v>3876</v>
      </c>
      <c r="E5" s="5724" t="s">
        <v>3873</v>
      </c>
      <c r="F5" s="5724" t="s">
        <v>22</v>
      </c>
      <c r="G5" s="5724" t="s">
        <v>22</v>
      </c>
      <c r="H5" s="5724" t="s">
        <v>22</v>
      </c>
      <c r="I5" s="5724" t="s">
        <v>22</v>
      </c>
    </row>
    <row customHeight="1" ht="11.25">
      <c r="A6" s="5724" t="s">
        <v>108</v>
      </c>
      <c r="B6" s="5724" t="s">
        <v>3877</v>
      </c>
      <c r="C6" s="5724" t="s">
        <v>22</v>
      </c>
      <c r="D6" s="5724" t="s">
        <v>3876</v>
      </c>
      <c r="E6" s="5724" t="s">
        <v>3878</v>
      </c>
      <c r="F6" s="5724" t="s">
        <v>22</v>
      </c>
      <c r="G6" s="5724" t="s">
        <v>22</v>
      </c>
      <c r="H6" s="5724" t="s">
        <v>22</v>
      </c>
      <c r="I6" s="5724" t="s">
        <v>22</v>
      </c>
    </row>
    <row customHeight="1" ht="11.25">
      <c r="A7" s="5724" t="s">
        <v>92</v>
      </c>
      <c r="B7" s="5724" t="s">
        <v>3879</v>
      </c>
      <c r="C7" s="5724" t="s">
        <v>22</v>
      </c>
      <c r="D7" s="5724" t="s">
        <v>3876</v>
      </c>
      <c r="E7" s="5724" t="s">
        <v>3873</v>
      </c>
      <c r="F7" s="5724" t="s">
        <v>22</v>
      </c>
      <c r="G7" s="5724" t="s">
        <v>22</v>
      </c>
      <c r="H7" s="5724" t="s">
        <v>22</v>
      </c>
      <c r="I7" s="5724" t="s">
        <v>22</v>
      </c>
    </row>
    <row customHeight="1" ht="11.25">
      <c r="A8" s="5724" t="s">
        <v>93</v>
      </c>
      <c r="B8" s="5724" t="s">
        <v>3880</v>
      </c>
      <c r="C8" s="5724" t="s">
        <v>22</v>
      </c>
      <c r="D8" s="5724" t="s">
        <v>3876</v>
      </c>
      <c r="E8" s="5724" t="s">
        <v>3878</v>
      </c>
      <c r="F8" s="5724" t="s">
        <v>22</v>
      </c>
      <c r="G8" s="5724" t="s">
        <v>22</v>
      </c>
      <c r="H8" s="5724" t="s">
        <v>22</v>
      </c>
      <c r="I8" s="5724" t="s">
        <v>22</v>
      </c>
    </row>
    <row customHeight="1" ht="11.25">
      <c r="A9" s="5724" t="s">
        <v>109</v>
      </c>
      <c r="B9" s="5724" t="s">
        <v>3881</v>
      </c>
      <c r="C9" s="5724" t="s">
        <v>22</v>
      </c>
      <c r="D9" s="5724" t="s">
        <v>3876</v>
      </c>
      <c r="E9" s="5724" t="s">
        <v>3878</v>
      </c>
      <c r="F9" s="5724" t="s">
        <v>22</v>
      </c>
      <c r="G9" s="5724" t="s">
        <v>22</v>
      </c>
      <c r="H9" s="5724" t="s">
        <v>22</v>
      </c>
      <c r="I9" s="5724" t="s">
        <v>22</v>
      </c>
    </row>
    <row customHeight="1" ht="11.25">
      <c r="A10" s="5724" t="s">
        <v>145</v>
      </c>
      <c r="B10" s="5724" t="s">
        <v>3882</v>
      </c>
      <c r="C10" s="5724" t="s">
        <v>22</v>
      </c>
      <c r="D10" s="5724" t="s">
        <v>3876</v>
      </c>
      <c r="E10" s="5724" t="s">
        <v>3878</v>
      </c>
      <c r="F10" s="5724" t="s">
        <v>22</v>
      </c>
      <c r="G10" s="5724" t="s">
        <v>22</v>
      </c>
      <c r="H10" s="5724" t="s">
        <v>22</v>
      </c>
      <c r="I10" s="5724" t="s">
        <v>22</v>
      </c>
    </row>
    <row customHeight="1" ht="11.25">
      <c r="A11" s="5724" t="s">
        <v>146</v>
      </c>
      <c r="B11" s="5724" t="s">
        <v>3883</v>
      </c>
      <c r="C11" s="5724" t="s">
        <v>22</v>
      </c>
      <c r="D11" s="5724" t="s">
        <v>3872</v>
      </c>
      <c r="E11" s="5724" t="s">
        <v>3878</v>
      </c>
      <c r="F11" s="5724" t="s">
        <v>22</v>
      </c>
      <c r="G11" s="5724" t="s">
        <v>22</v>
      </c>
      <c r="H11" s="5724" t="s">
        <v>22</v>
      </c>
      <c r="I11" s="5724" t="s">
        <v>22</v>
      </c>
    </row>
    <row customHeight="1" ht="11.25">
      <c r="A12" s="5724" t="s">
        <v>147</v>
      </c>
      <c r="B12" s="5724" t="s">
        <v>3884</v>
      </c>
      <c r="C12" s="5724" t="s">
        <v>22</v>
      </c>
      <c r="D12" s="5724" t="s">
        <v>3876</v>
      </c>
      <c r="E12" s="5724" t="s">
        <v>3885</v>
      </c>
      <c r="F12" s="5724" t="s">
        <v>22</v>
      </c>
      <c r="G12" s="5724" t="s">
        <v>22</v>
      </c>
      <c r="H12" s="5724" t="s">
        <v>22</v>
      </c>
      <c r="I12" s="5724" t="s">
        <v>22</v>
      </c>
    </row>
    <row customHeight="1" ht="11.25">
      <c r="A13" s="5724" t="s">
        <v>148</v>
      </c>
      <c r="B13" s="5724" t="s">
        <v>3886</v>
      </c>
      <c r="C13" s="5724" t="s">
        <v>22</v>
      </c>
      <c r="D13" s="5724" t="s">
        <v>3872</v>
      </c>
      <c r="E13" s="5724" t="s">
        <v>3887</v>
      </c>
      <c r="F13" s="5724" t="s">
        <v>22</v>
      </c>
      <c r="G13" s="5724" t="s">
        <v>22</v>
      </c>
      <c r="H13" s="5724" t="s">
        <v>22</v>
      </c>
      <c r="I13" s="5724" t="s">
        <v>22</v>
      </c>
    </row>
    <row customHeight="1" ht="11.25">
      <c r="A14" s="5724" t="s">
        <v>149</v>
      </c>
      <c r="B14" s="5724" t="s">
        <v>3888</v>
      </c>
      <c r="C14" s="5724" t="s">
        <v>22</v>
      </c>
      <c r="D14" s="5724" t="s">
        <v>3876</v>
      </c>
      <c r="E14" s="5724" t="s">
        <v>3889</v>
      </c>
      <c r="F14" s="5724" t="s">
        <v>22</v>
      </c>
      <c r="G14" s="5724" t="s">
        <v>22</v>
      </c>
      <c r="H14" s="5724" t="s">
        <v>22</v>
      </c>
      <c r="I14" s="5724" t="s">
        <v>22</v>
      </c>
    </row>
    <row customHeight="1" ht="11.25">
      <c r="A15" s="5724" t="s">
        <v>150</v>
      </c>
      <c r="B15" s="5724" t="s">
        <v>3890</v>
      </c>
      <c r="C15" s="5724" t="s">
        <v>22</v>
      </c>
      <c r="D15" s="5724" t="s">
        <v>3876</v>
      </c>
      <c r="E15" s="5724" t="s">
        <v>3889</v>
      </c>
      <c r="F15" s="5724" t="s">
        <v>22</v>
      </c>
      <c r="G15" s="5724" t="s">
        <v>22</v>
      </c>
      <c r="H15" s="5724" t="s">
        <v>22</v>
      </c>
      <c r="I15" s="5724" t="s">
        <v>22</v>
      </c>
    </row>
    <row customHeight="1" ht="11.25">
      <c r="A16" s="5724" t="s">
        <v>1049</v>
      </c>
      <c r="B16" s="5724" t="s">
        <v>3891</v>
      </c>
      <c r="C16" s="5724" t="s">
        <v>22</v>
      </c>
      <c r="D16" s="5724" t="s">
        <v>3869</v>
      </c>
      <c r="E16" s="5724" t="s">
        <v>985</v>
      </c>
      <c r="F16" s="5724" t="s">
        <v>22</v>
      </c>
      <c r="G16" s="5724" t="s">
        <v>22</v>
      </c>
      <c r="H16" s="5724" t="s">
        <v>22</v>
      </c>
      <c r="I16" s="5724" t="s">
        <v>22</v>
      </c>
    </row>
    <row customHeight="1" ht="11.25">
      <c r="A17" s="5724" t="s">
        <v>1098</v>
      </c>
      <c r="B17" s="5724" t="s">
        <v>3892</v>
      </c>
      <c r="C17" s="5724" t="s">
        <v>22</v>
      </c>
      <c r="D17" s="5724" t="s">
        <v>3872</v>
      </c>
      <c r="E17" s="5724" t="s">
        <v>3873</v>
      </c>
      <c r="F17" s="5724" t="s">
        <v>22</v>
      </c>
      <c r="G17" s="5724" t="s">
        <v>22</v>
      </c>
      <c r="H17" s="5724" t="s">
        <v>22</v>
      </c>
      <c r="I17" s="5724" t="s">
        <v>22</v>
      </c>
    </row>
    <row customHeight="1" ht="11.25">
      <c r="A18" s="5724" t="s">
        <v>1100</v>
      </c>
      <c r="B18" s="5724" t="s">
        <v>3893</v>
      </c>
      <c r="C18" s="5724" t="s">
        <v>22</v>
      </c>
      <c r="D18" s="5724" t="s">
        <v>3894</v>
      </c>
      <c r="E18" s="5724" t="s">
        <v>3887</v>
      </c>
      <c r="F18" s="5724" t="s">
        <v>22</v>
      </c>
      <c r="G18" s="5724" t="s">
        <v>22</v>
      </c>
      <c r="H18" s="5724" t="s">
        <v>22</v>
      </c>
      <c r="I18" s="5724" t="s">
        <v>22</v>
      </c>
    </row>
    <row customHeight="1" ht="11.25">
      <c r="A19" s="5724" t="s">
        <v>1102</v>
      </c>
      <c r="B19" s="5724" t="s">
        <v>3895</v>
      </c>
      <c r="C19" s="5724" t="s">
        <v>22</v>
      </c>
      <c r="D19" s="5724" t="s">
        <v>3896</v>
      </c>
      <c r="E19" s="5724" t="s">
        <v>3897</v>
      </c>
      <c r="F19" s="5724" t="s">
        <v>22</v>
      </c>
      <c r="G19" s="5724" t="s">
        <v>22</v>
      </c>
      <c r="H19" s="5724" t="s">
        <v>22</v>
      </c>
      <c r="I19" s="5724" t="s">
        <v>22</v>
      </c>
    </row>
    <row customHeight="1" ht="11.25">
      <c r="A20" s="5724" t="s">
        <v>1108</v>
      </c>
      <c r="B20" s="5724" t="s">
        <v>3898</v>
      </c>
      <c r="C20" s="5724" t="s">
        <v>22</v>
      </c>
      <c r="D20" s="5724" t="s">
        <v>3899</v>
      </c>
      <c r="E20" s="5724" t="s">
        <v>3873</v>
      </c>
      <c r="F20" s="5724" t="s">
        <v>22</v>
      </c>
      <c r="G20" s="5724" t="s">
        <v>22</v>
      </c>
      <c r="H20" s="5724" t="s">
        <v>22</v>
      </c>
      <c r="I20" s="5724" t="s">
        <v>22</v>
      </c>
    </row>
    <row customHeight="1" ht="11.25">
      <c r="A21" s="5724" t="s">
        <v>1110</v>
      </c>
      <c r="B21" s="5724" t="s">
        <v>3900</v>
      </c>
      <c r="C21" s="5724" t="s">
        <v>22</v>
      </c>
      <c r="D21" s="5724" t="s">
        <v>3901</v>
      </c>
      <c r="E21" s="5724" t="s">
        <v>3902</v>
      </c>
      <c r="F21" s="5724" t="s">
        <v>22</v>
      </c>
      <c r="G21" s="5724" t="s">
        <v>22</v>
      </c>
      <c r="H21" s="5724" t="s">
        <v>22</v>
      </c>
      <c r="I21" s="5724" t="s">
        <v>22</v>
      </c>
    </row>
    <row customHeight="1" ht="11.25">
      <c r="A22" s="5724" t="s">
        <v>1112</v>
      </c>
      <c r="B22" s="5724" t="s">
        <v>3903</v>
      </c>
      <c r="C22" s="5724" t="s">
        <v>22</v>
      </c>
      <c r="D22" s="5724" t="s">
        <v>3904</v>
      </c>
      <c r="E22" s="5724" t="s">
        <v>3905</v>
      </c>
      <c r="F22" s="5724" t="s">
        <v>22</v>
      </c>
      <c r="G22" s="5724" t="s">
        <v>22</v>
      </c>
      <c r="H22" s="5724" t="s">
        <v>22</v>
      </c>
      <c r="I22" s="5724" t="s">
        <v>22</v>
      </c>
    </row>
    <row customHeight="1" ht="11.25">
      <c r="A23" s="5724" t="s">
        <v>1114</v>
      </c>
      <c r="B23" s="5724" t="s">
        <v>3906</v>
      </c>
      <c r="C23" s="5724" t="s">
        <v>22</v>
      </c>
      <c r="D23" s="5724" t="s">
        <v>3876</v>
      </c>
      <c r="E23" s="5724" t="s">
        <v>3907</v>
      </c>
      <c r="F23" s="5724" t="s">
        <v>22</v>
      </c>
      <c r="G23" s="5724" t="s">
        <v>22</v>
      </c>
      <c r="H23" s="5724" t="s">
        <v>22</v>
      </c>
      <c r="I23" s="5724" t="s">
        <v>22</v>
      </c>
    </row>
    <row customHeight="1" ht="11.25">
      <c r="A24" s="5724" t="s">
        <v>1116</v>
      </c>
      <c r="B24" s="5724" t="s">
        <v>3908</v>
      </c>
      <c r="C24" s="5724" t="s">
        <v>22</v>
      </c>
      <c r="D24" s="5724" t="s">
        <v>3872</v>
      </c>
      <c r="E24" s="5724" t="s">
        <v>3909</v>
      </c>
      <c r="F24" s="5724" t="s">
        <v>22</v>
      </c>
      <c r="G24" s="5724" t="s">
        <v>22</v>
      </c>
      <c r="H24" s="5724" t="s">
        <v>22</v>
      </c>
      <c r="I24" s="5724" t="s">
        <v>22</v>
      </c>
    </row>
    <row customHeight="1" ht="11.25">
      <c r="A25" s="5724" t="s">
        <v>1118</v>
      </c>
      <c r="B25" s="5724" t="s">
        <v>3910</v>
      </c>
      <c r="C25" s="5724" t="s">
        <v>22</v>
      </c>
      <c r="D25" s="5724" t="s">
        <v>3876</v>
      </c>
      <c r="E25" s="5724" t="s">
        <v>3911</v>
      </c>
      <c r="F25" s="5724" t="s">
        <v>22</v>
      </c>
      <c r="G25" s="5724" t="s">
        <v>22</v>
      </c>
      <c r="H25" s="5724" t="s">
        <v>22</v>
      </c>
      <c r="I25" s="5724" t="s">
        <v>22</v>
      </c>
    </row>
    <row customHeight="1" ht="11.25">
      <c r="A26" s="5724" t="s">
        <v>1121</v>
      </c>
      <c r="B26" s="5724" t="s">
        <v>3912</v>
      </c>
      <c r="C26" s="5724" t="s">
        <v>22</v>
      </c>
      <c r="D26" s="5724" t="s">
        <v>3913</v>
      </c>
      <c r="E26" s="5724" t="s">
        <v>3914</v>
      </c>
      <c r="F26" s="5724" t="s">
        <v>22</v>
      </c>
      <c r="G26" s="5724" t="s">
        <v>22</v>
      </c>
      <c r="H26" s="5724" t="s">
        <v>22</v>
      </c>
      <c r="I26" s="5724" t="s">
        <v>22</v>
      </c>
    </row>
    <row customHeight="1" ht="11.25">
      <c r="A27" s="5724" t="s">
        <v>1123</v>
      </c>
      <c r="B27" s="5724" t="s">
        <v>3915</v>
      </c>
      <c r="C27" s="5724" t="s">
        <v>22</v>
      </c>
      <c r="D27" s="5724" t="s">
        <v>3916</v>
      </c>
      <c r="E27" s="5724" t="s">
        <v>3917</v>
      </c>
      <c r="F27" s="5724" t="s">
        <v>22</v>
      </c>
      <c r="G27" s="5724" t="s">
        <v>22</v>
      </c>
      <c r="H27" s="5724" t="s">
        <v>22</v>
      </c>
      <c r="I27" s="5724" t="s">
        <v>22</v>
      </c>
    </row>
    <row customHeight="1" ht="11.25">
      <c r="A28" s="5724" t="s">
        <v>1125</v>
      </c>
      <c r="B28" s="5724" t="s">
        <v>3918</v>
      </c>
      <c r="C28" s="5724" t="s">
        <v>22</v>
      </c>
      <c r="D28" s="5724" t="s">
        <v>3916</v>
      </c>
      <c r="E28" s="5724" t="s">
        <v>3870</v>
      </c>
      <c r="F28" s="5724" t="s">
        <v>22</v>
      </c>
      <c r="G28" s="5724" t="s">
        <v>22</v>
      </c>
      <c r="H28" s="5724" t="s">
        <v>22</v>
      </c>
      <c r="I28" s="5724" t="s">
        <v>22</v>
      </c>
    </row>
    <row customHeight="1" ht="11.25">
      <c r="A29" s="5724" t="s">
        <v>1127</v>
      </c>
      <c r="B29" s="5724" t="s">
        <v>3919</v>
      </c>
      <c r="C29" s="5724" t="s">
        <v>22</v>
      </c>
      <c r="D29" s="5724" t="s">
        <v>3872</v>
      </c>
      <c r="E29" s="5724" t="s">
        <v>3887</v>
      </c>
      <c r="F29" s="5724" t="s">
        <v>22</v>
      </c>
      <c r="G29" s="5724" t="s">
        <v>22</v>
      </c>
      <c r="H29" s="5724" t="s">
        <v>22</v>
      </c>
      <c r="I29" s="5724" t="s">
        <v>22</v>
      </c>
    </row>
    <row customHeight="1" ht="11.25">
      <c r="A30" s="5724" t="s">
        <v>1129</v>
      </c>
      <c r="B30" s="5724" t="s">
        <v>3920</v>
      </c>
      <c r="C30" s="5724" t="s">
        <v>22</v>
      </c>
      <c r="D30" s="5724" t="s">
        <v>3872</v>
      </c>
      <c r="E30" s="5724" t="s">
        <v>3921</v>
      </c>
      <c r="F30" s="5724" t="s">
        <v>22</v>
      </c>
      <c r="G30" s="5724" t="s">
        <v>22</v>
      </c>
      <c r="H30" s="5724" t="s">
        <v>22</v>
      </c>
      <c r="I30" s="5724" t="s">
        <v>22</v>
      </c>
    </row>
    <row customHeight="1" ht="11.25">
      <c r="A31" s="5724" t="s">
        <v>1131</v>
      </c>
      <c r="B31" s="5724" t="s">
        <v>3922</v>
      </c>
      <c r="C31" s="5724" t="s">
        <v>22</v>
      </c>
      <c r="D31" s="5724" t="s">
        <v>3901</v>
      </c>
      <c r="E31" s="5724" t="s">
        <v>3923</v>
      </c>
      <c r="F31" s="5724" t="s">
        <v>22</v>
      </c>
      <c r="G31" s="5724" t="s">
        <v>22</v>
      </c>
      <c r="H31" s="5724" t="s">
        <v>22</v>
      </c>
      <c r="I31" s="5724" t="s">
        <v>22</v>
      </c>
    </row>
    <row customHeight="1" ht="11.25">
      <c r="A32" s="5724" t="s">
        <v>1133</v>
      </c>
      <c r="B32" s="5724" t="s">
        <v>3924</v>
      </c>
      <c r="C32" s="5724" t="s">
        <v>22</v>
      </c>
      <c r="D32" s="5724" t="s">
        <v>3916</v>
      </c>
      <c r="E32" s="5724" t="s">
        <v>3897</v>
      </c>
      <c r="F32" s="5724" t="s">
        <v>22</v>
      </c>
      <c r="G32" s="5724" t="s">
        <v>22</v>
      </c>
      <c r="H32" s="5724" t="s">
        <v>22</v>
      </c>
      <c r="I32" s="5724" t="s">
        <v>22</v>
      </c>
    </row>
    <row customHeight="1" ht="11.25">
      <c r="A33" s="5724" t="s">
        <v>1135</v>
      </c>
      <c r="B33" s="5724" t="s">
        <v>3925</v>
      </c>
      <c r="C33" s="5724" t="s">
        <v>22</v>
      </c>
      <c r="D33" s="5724" t="s">
        <v>3916</v>
      </c>
      <c r="E33" s="5724" t="s">
        <v>3878</v>
      </c>
      <c r="F33" s="5724" t="s">
        <v>22</v>
      </c>
      <c r="G33" s="5724" t="s">
        <v>22</v>
      </c>
      <c r="H33" s="5724" t="s">
        <v>22</v>
      </c>
      <c r="I33" s="5724" t="s">
        <v>22</v>
      </c>
    </row>
    <row customHeight="1" ht="11.25">
      <c r="A34" s="5724" t="s">
        <v>1137</v>
      </c>
      <c r="B34" s="5724" t="s">
        <v>3926</v>
      </c>
      <c r="C34" s="5724" t="s">
        <v>22</v>
      </c>
      <c r="D34" s="5724" t="s">
        <v>3916</v>
      </c>
      <c r="E34" s="5724" t="s">
        <v>3909</v>
      </c>
      <c r="F34" s="5724" t="s">
        <v>22</v>
      </c>
      <c r="G34" s="5724" t="s">
        <v>22</v>
      </c>
      <c r="H34" s="5724" t="s">
        <v>22</v>
      </c>
      <c r="I34" s="5724" t="s">
        <v>22</v>
      </c>
    </row>
    <row customHeight="1" ht="11.25">
      <c r="A35" s="5724" t="s">
        <v>1140</v>
      </c>
      <c r="B35" s="5724" t="s">
        <v>3927</v>
      </c>
      <c r="C35" s="5724" t="s">
        <v>22</v>
      </c>
      <c r="D35" s="5724" t="s">
        <v>3928</v>
      </c>
      <c r="E35" s="5724" t="s">
        <v>3923</v>
      </c>
      <c r="F35" s="5724" t="s">
        <v>22</v>
      </c>
      <c r="G35" s="5724" t="s">
        <v>22</v>
      </c>
      <c r="H35" s="5724" t="s">
        <v>22</v>
      </c>
      <c r="I35" s="5724" t="s">
        <v>22</v>
      </c>
    </row>
    <row customHeight="1" ht="11.25">
      <c r="A36" s="5724" t="s">
        <v>1144</v>
      </c>
      <c r="B36" s="5724" t="s">
        <v>3929</v>
      </c>
      <c r="C36" s="5724" t="s">
        <v>22</v>
      </c>
      <c r="D36" s="5724" t="s">
        <v>3930</v>
      </c>
      <c r="E36" s="5724" t="s">
        <v>3931</v>
      </c>
      <c r="F36" s="5724" t="s">
        <v>22</v>
      </c>
      <c r="G36" s="5724" t="s">
        <v>22</v>
      </c>
      <c r="H36" s="5724" t="s">
        <v>22</v>
      </c>
      <c r="I36" s="5724" t="s">
        <v>22</v>
      </c>
    </row>
    <row customHeight="1" ht="11.25">
      <c r="A37" s="5724" t="s">
        <v>1146</v>
      </c>
      <c r="B37" s="5724" t="s">
        <v>3932</v>
      </c>
      <c r="C37" s="5724" t="s">
        <v>22</v>
      </c>
      <c r="D37" s="5724" t="s">
        <v>3901</v>
      </c>
      <c r="E37" s="5724" t="s">
        <v>3902</v>
      </c>
      <c r="F37" s="5724" t="s">
        <v>22</v>
      </c>
      <c r="G37" s="5724" t="s">
        <v>22</v>
      </c>
      <c r="H37" s="5724" t="s">
        <v>22</v>
      </c>
      <c r="I37" s="5724" t="s">
        <v>22</v>
      </c>
    </row>
    <row customHeight="1" ht="11.25">
      <c r="A38" s="5724" t="s">
        <v>1149</v>
      </c>
      <c r="B38" s="5724" t="s">
        <v>3933</v>
      </c>
      <c r="C38" s="5724" t="s">
        <v>22</v>
      </c>
      <c r="D38" s="5724" t="s">
        <v>3869</v>
      </c>
      <c r="E38" s="5724" t="s">
        <v>3934</v>
      </c>
      <c r="F38" s="5724" t="s">
        <v>22</v>
      </c>
      <c r="G38" s="5724" t="s">
        <v>22</v>
      </c>
      <c r="H38" s="5724" t="s">
        <v>22</v>
      </c>
      <c r="I38" s="5724" t="s">
        <v>22</v>
      </c>
    </row>
    <row customHeight="1" ht="11.25">
      <c r="A39" s="5724" t="s">
        <v>1151</v>
      </c>
      <c r="B39" s="5724" t="s">
        <v>3935</v>
      </c>
      <c r="C39" s="5724" t="s">
        <v>22</v>
      </c>
      <c r="D39" s="5724" t="s">
        <v>3936</v>
      </c>
      <c r="E39" s="5724" t="s">
        <v>3937</v>
      </c>
      <c r="F39" s="5724" t="s">
        <v>22</v>
      </c>
      <c r="G39" s="5724" t="s">
        <v>22</v>
      </c>
      <c r="H39" s="5724" t="s">
        <v>22</v>
      </c>
      <c r="I39" s="5724" t="s">
        <v>22</v>
      </c>
    </row>
    <row customHeight="1" ht="11.25">
      <c r="A40" s="5724" t="s">
        <v>1159</v>
      </c>
      <c r="B40" s="5724" t="s">
        <v>3938</v>
      </c>
      <c r="C40" s="5724" t="s">
        <v>22</v>
      </c>
      <c r="D40" s="5724" t="s">
        <v>3939</v>
      </c>
      <c r="E40" s="5724" t="s">
        <v>3923</v>
      </c>
      <c r="F40" s="5724" t="s">
        <v>22</v>
      </c>
      <c r="G40" s="5724" t="s">
        <v>22</v>
      </c>
      <c r="H40" s="5724" t="s">
        <v>22</v>
      </c>
      <c r="I40" s="5724" t="s">
        <v>22</v>
      </c>
    </row>
    <row customHeight="1" ht="11.25">
      <c r="A41" s="5724" t="s">
        <v>1169</v>
      </c>
      <c r="B41" s="5724" t="s">
        <v>980</v>
      </c>
      <c r="C41" s="5724" t="s">
        <v>22</v>
      </c>
      <c r="D41" s="5724" t="s">
        <v>984</v>
      </c>
      <c r="E41" s="5724" t="s">
        <v>985</v>
      </c>
      <c r="F41" s="5724" t="s">
        <v>22</v>
      </c>
      <c r="G41" s="5724" t="s">
        <v>22</v>
      </c>
      <c r="H41" s="5724" t="s">
        <v>22</v>
      </c>
      <c r="I41" s="5724" t="s">
        <v>22</v>
      </c>
    </row>
    <row customHeight="1" ht="11.25">
      <c r="A42" s="5724" t="s">
        <v>1171</v>
      </c>
      <c r="B42" s="5724" t="s">
        <v>3940</v>
      </c>
      <c r="C42" s="5724" t="s">
        <v>22</v>
      </c>
      <c r="D42" s="5724" t="s">
        <v>3901</v>
      </c>
      <c r="E42" s="5724" t="s">
        <v>3889</v>
      </c>
      <c r="F42" s="5724" t="s">
        <v>22</v>
      </c>
      <c r="G42" s="5724" t="s">
        <v>22</v>
      </c>
      <c r="H42" s="5724" t="s">
        <v>22</v>
      </c>
      <c r="I42" s="5724" t="s">
        <v>22</v>
      </c>
    </row>
    <row customHeight="1" ht="11.25">
      <c r="A43" s="5724" t="s">
        <v>1173</v>
      </c>
      <c r="B43" s="5724" t="s">
        <v>3941</v>
      </c>
      <c r="C43" s="5724" t="s">
        <v>22</v>
      </c>
      <c r="D43" s="5724" t="s">
        <v>3942</v>
      </c>
      <c r="E43" s="5724" t="s">
        <v>3921</v>
      </c>
      <c r="F43" s="5724" t="s">
        <v>22</v>
      </c>
      <c r="G43" s="5724" t="s">
        <v>22</v>
      </c>
      <c r="H43" s="5724" t="s">
        <v>22</v>
      </c>
      <c r="I43" s="5724" t="s">
        <v>22</v>
      </c>
    </row>
    <row customHeight="1" ht="11.25">
      <c r="A44" s="5724" t="s">
        <v>1175</v>
      </c>
      <c r="B44" s="5724" t="s">
        <v>3943</v>
      </c>
      <c r="C44" s="5724" t="s">
        <v>22</v>
      </c>
      <c r="D44" s="5724" t="s">
        <v>3916</v>
      </c>
      <c r="E44" s="5724" t="s">
        <v>3870</v>
      </c>
      <c r="F44" s="5724" t="s">
        <v>22</v>
      </c>
      <c r="G44" s="5724" t="s">
        <v>22</v>
      </c>
      <c r="H44" s="5724" t="s">
        <v>22</v>
      </c>
      <c r="I44" s="5724" t="s">
        <v>22</v>
      </c>
    </row>
    <row customHeight="1" ht="11.25">
      <c r="A45" s="5724" t="s">
        <v>1177</v>
      </c>
      <c r="B45" s="5724" t="s">
        <v>3944</v>
      </c>
      <c r="C45" s="5724" t="s">
        <v>22</v>
      </c>
      <c r="D45" s="5724" t="s">
        <v>3945</v>
      </c>
      <c r="E45" s="5724" t="s">
        <v>3917</v>
      </c>
      <c r="F45" s="5724" t="s">
        <v>22</v>
      </c>
      <c r="G45" s="5724" t="s">
        <v>22</v>
      </c>
      <c r="H45" s="5724" t="s">
        <v>22</v>
      </c>
      <c r="I45" s="5724" t="s">
        <v>22</v>
      </c>
    </row>
    <row customHeight="1" ht="11.25">
      <c r="A46" s="5724" t="s">
        <v>1792</v>
      </c>
      <c r="B46" s="5724" t="s">
        <v>3946</v>
      </c>
      <c r="C46" s="5724" t="s">
        <v>22</v>
      </c>
      <c r="D46" s="5724" t="s">
        <v>3947</v>
      </c>
      <c r="E46" s="5724" t="s">
        <v>3878</v>
      </c>
      <c r="F46" s="5724" t="s">
        <v>22</v>
      </c>
      <c r="G46" s="5724" t="s">
        <v>22</v>
      </c>
      <c r="H46" s="5724" t="s">
        <v>22</v>
      </c>
      <c r="I46" s="5724" t="s">
        <v>22</v>
      </c>
    </row>
    <row customHeight="1" ht="11.25">
      <c r="A47" s="5724" t="s">
        <v>1798</v>
      </c>
      <c r="B47" s="5724" t="s">
        <v>3948</v>
      </c>
      <c r="C47" s="5724" t="s">
        <v>22</v>
      </c>
      <c r="D47" s="5724" t="s">
        <v>3872</v>
      </c>
      <c r="E47" s="5724" t="s">
        <v>3878</v>
      </c>
      <c r="F47" s="5724" t="s">
        <v>22</v>
      </c>
      <c r="G47" s="5724" t="s">
        <v>22</v>
      </c>
      <c r="H47" s="5724" t="s">
        <v>22</v>
      </c>
      <c r="I47" s="5724" t="s">
        <v>22</v>
      </c>
    </row>
    <row customHeight="1" ht="11.25">
      <c r="A48" s="5724" t="s">
        <v>1803</v>
      </c>
      <c r="B48" s="5724" t="s">
        <v>3949</v>
      </c>
      <c r="C48" s="5724" t="s">
        <v>22</v>
      </c>
      <c r="D48" s="5724" t="s">
        <v>3872</v>
      </c>
      <c r="E48" s="5724" t="s">
        <v>3878</v>
      </c>
      <c r="F48" s="5724" t="s">
        <v>22</v>
      </c>
      <c r="G48" s="5724" t="s">
        <v>22</v>
      </c>
      <c r="H48" s="5724" t="s">
        <v>22</v>
      </c>
      <c r="I48" s="5724" t="s">
        <v>22</v>
      </c>
    </row>
    <row customHeight="1" ht="11.25">
      <c r="A49" s="5724" t="s">
        <v>1806</v>
      </c>
      <c r="B49" s="5724" t="s">
        <v>3950</v>
      </c>
      <c r="C49" s="5724" t="s">
        <v>22</v>
      </c>
      <c r="D49" s="5724" t="s">
        <v>3872</v>
      </c>
      <c r="E49" s="5724" t="s">
        <v>3951</v>
      </c>
      <c r="F49" s="5724" t="s">
        <v>22</v>
      </c>
      <c r="G49" s="5724" t="s">
        <v>22</v>
      </c>
      <c r="H49" s="5724" t="s">
        <v>22</v>
      </c>
      <c r="I49" s="5724" t="s">
        <v>22</v>
      </c>
    </row>
    <row customHeight="1" ht="11.25">
      <c r="A50" s="5724" t="s">
        <v>1810</v>
      </c>
      <c r="B50" s="5724" t="s">
        <v>3952</v>
      </c>
      <c r="C50" s="5724" t="s">
        <v>22</v>
      </c>
      <c r="D50" s="5724" t="s">
        <v>3869</v>
      </c>
      <c r="E50" s="5724" t="s">
        <v>3870</v>
      </c>
      <c r="F50" s="5724" t="s">
        <v>22</v>
      </c>
      <c r="G50" s="5724" t="s">
        <v>22</v>
      </c>
      <c r="H50" s="5724" t="s">
        <v>22</v>
      </c>
      <c r="I50" s="5724" t="s">
        <v>22</v>
      </c>
    </row>
    <row customHeight="1" ht="11.25">
      <c r="A51" s="5724" t="s">
        <v>1815</v>
      </c>
      <c r="B51" s="5724" t="s">
        <v>3953</v>
      </c>
      <c r="C51" s="5724" t="s">
        <v>22</v>
      </c>
      <c r="D51" s="5724" t="s">
        <v>3954</v>
      </c>
      <c r="E51" s="5724" t="s">
        <v>3955</v>
      </c>
      <c r="F51" s="5724" t="s">
        <v>22</v>
      </c>
      <c r="G51" s="5724" t="s">
        <v>22</v>
      </c>
      <c r="H51" s="5724" t="s">
        <v>22</v>
      </c>
      <c r="I51" s="5724" t="s">
        <v>22</v>
      </c>
    </row>
    <row customHeight="1" ht="11.25">
      <c r="A52" s="5724" t="s">
        <v>1819</v>
      </c>
      <c r="B52" s="5724" t="s">
        <v>3956</v>
      </c>
      <c r="C52" s="5724" t="s">
        <v>22</v>
      </c>
      <c r="D52" s="5724" t="s">
        <v>3876</v>
      </c>
      <c r="E52" s="5724" t="s">
        <v>3907</v>
      </c>
      <c r="F52" s="5724" t="s">
        <v>22</v>
      </c>
      <c r="G52" s="5724" t="s">
        <v>22</v>
      </c>
      <c r="H52" s="5724" t="s">
        <v>22</v>
      </c>
      <c r="I52" s="5724" t="s">
        <v>22</v>
      </c>
    </row>
    <row customHeight="1" ht="11.25">
      <c r="A53" s="5724" t="s">
        <v>1821</v>
      </c>
      <c r="B53" s="5724" t="s">
        <v>3957</v>
      </c>
      <c r="C53" s="5724" t="s">
        <v>22</v>
      </c>
      <c r="D53" s="5724" t="s">
        <v>3876</v>
      </c>
      <c r="E53" s="5724" t="s">
        <v>3873</v>
      </c>
      <c r="F53" s="5724" t="s">
        <v>22</v>
      </c>
      <c r="G53" s="5724" t="s">
        <v>22</v>
      </c>
      <c r="H53" s="5724" t="s">
        <v>22</v>
      </c>
      <c r="I53" s="5724" t="s">
        <v>22</v>
      </c>
    </row>
    <row customHeight="1" ht="11.25">
      <c r="A54" s="5724" t="s">
        <v>1824</v>
      </c>
      <c r="B54" s="5724" t="s">
        <v>3958</v>
      </c>
      <c r="C54" s="5724" t="s">
        <v>22</v>
      </c>
      <c r="D54" s="5724" t="s">
        <v>3876</v>
      </c>
      <c r="E54" s="5724" t="s">
        <v>3907</v>
      </c>
      <c r="F54" s="5724" t="s">
        <v>22</v>
      </c>
      <c r="G54" s="5724" t="s">
        <v>22</v>
      </c>
      <c r="H54" s="5724" t="s">
        <v>22</v>
      </c>
      <c r="I54" s="5724" t="s">
        <v>22</v>
      </c>
    </row>
    <row customHeight="1" ht="11.25">
      <c r="A55" s="5724" t="s">
        <v>1828</v>
      </c>
      <c r="B55" s="5724" t="s">
        <v>3959</v>
      </c>
      <c r="C55" s="5724" t="s">
        <v>22</v>
      </c>
      <c r="D55" s="5724" t="s">
        <v>3872</v>
      </c>
      <c r="E55" s="5724" t="s">
        <v>3907</v>
      </c>
      <c r="F55" s="5724" t="s">
        <v>22</v>
      </c>
      <c r="G55" s="5724" t="s">
        <v>22</v>
      </c>
      <c r="H55" s="5724" t="s">
        <v>22</v>
      </c>
      <c r="I55" s="5724" t="s">
        <v>22</v>
      </c>
    </row>
    <row customHeight="1" ht="11.25">
      <c r="A56" s="5724" t="s">
        <v>1831</v>
      </c>
      <c r="B56" s="5724" t="s">
        <v>3960</v>
      </c>
      <c r="C56" s="5724" t="s">
        <v>22</v>
      </c>
      <c r="D56" s="5724" t="s">
        <v>3872</v>
      </c>
      <c r="E56" s="5724" t="s">
        <v>3873</v>
      </c>
      <c r="F56" s="5724" t="s">
        <v>22</v>
      </c>
      <c r="G56" s="5724" t="s">
        <v>22</v>
      </c>
      <c r="H56" s="5724" t="s">
        <v>22</v>
      </c>
      <c r="I56" s="5724" t="s">
        <v>22</v>
      </c>
    </row>
    <row customHeight="1" ht="11.25">
      <c r="A57" s="5724" t="s">
        <v>1834</v>
      </c>
      <c r="B57" s="5724" t="s">
        <v>3961</v>
      </c>
      <c r="C57" s="5724" t="s">
        <v>22</v>
      </c>
      <c r="D57" s="5724" t="s">
        <v>3962</v>
      </c>
      <c r="E57" s="5724" t="s">
        <v>3963</v>
      </c>
      <c r="F57" s="5724" t="s">
        <v>22</v>
      </c>
      <c r="G57" s="5724" t="s">
        <v>22</v>
      </c>
      <c r="H57" s="5724" t="s">
        <v>22</v>
      </c>
      <c r="I57" s="5724" t="s">
        <v>22</v>
      </c>
    </row>
    <row customHeight="1" ht="11.25">
      <c r="A58" s="5724" t="s">
        <v>1837</v>
      </c>
      <c r="B58" s="5724" t="s">
        <v>3964</v>
      </c>
      <c r="C58" s="5724" t="s">
        <v>22</v>
      </c>
      <c r="D58" s="5724" t="s">
        <v>3965</v>
      </c>
      <c r="E58" s="5724" t="s">
        <v>3917</v>
      </c>
      <c r="F58" s="5724" t="s">
        <v>22</v>
      </c>
      <c r="G58" s="5724" t="s">
        <v>22</v>
      </c>
      <c r="H58" s="5724" t="s">
        <v>22</v>
      </c>
      <c r="I58" s="5724" t="s">
        <v>22</v>
      </c>
    </row>
    <row customHeight="1" ht="11.25">
      <c r="A59" s="5724" t="s">
        <v>1841</v>
      </c>
      <c r="B59" s="5724" t="s">
        <v>3966</v>
      </c>
      <c r="C59" s="5724" t="s">
        <v>22</v>
      </c>
      <c r="D59" s="5724" t="s">
        <v>3965</v>
      </c>
      <c r="E59" s="5724" t="s">
        <v>3911</v>
      </c>
      <c r="F59" s="5724" t="s">
        <v>22</v>
      </c>
      <c r="G59" s="5724" t="s">
        <v>22</v>
      </c>
      <c r="H59" s="5724" t="s">
        <v>22</v>
      </c>
      <c r="I59" s="5724" t="s">
        <v>22</v>
      </c>
    </row>
    <row customHeight="1" ht="11.25">
      <c r="A60" s="5724" t="s">
        <v>1844</v>
      </c>
      <c r="B60" s="5724" t="s">
        <v>3967</v>
      </c>
      <c r="C60" s="5724" t="s">
        <v>22</v>
      </c>
      <c r="D60" s="5724" t="s">
        <v>3965</v>
      </c>
      <c r="E60" s="5724" t="s">
        <v>3911</v>
      </c>
      <c r="F60" s="5724" t="s">
        <v>22</v>
      </c>
      <c r="G60" s="5724" t="s">
        <v>22</v>
      </c>
      <c r="H60" s="5724" t="s">
        <v>22</v>
      </c>
      <c r="I60" s="5724" t="s">
        <v>22</v>
      </c>
    </row>
    <row customHeight="1" ht="11.25">
      <c r="A61" s="5724" t="s">
        <v>3334</v>
      </c>
      <c r="B61" s="5724" t="s">
        <v>3968</v>
      </c>
      <c r="C61" s="5724" t="s">
        <v>22</v>
      </c>
      <c r="D61" s="5724" t="s">
        <v>3869</v>
      </c>
      <c r="E61" s="5724" t="s">
        <v>3902</v>
      </c>
      <c r="F61" s="5724" t="s">
        <v>22</v>
      </c>
      <c r="G61" s="5724" t="s">
        <v>22</v>
      </c>
      <c r="H61" s="5724" t="s">
        <v>22</v>
      </c>
      <c r="I61" s="5724" t="s">
        <v>22</v>
      </c>
    </row>
    <row customHeight="1" ht="11.25">
      <c r="A62" s="5724" t="s">
        <v>3337</v>
      </c>
      <c r="B62" s="5724" t="s">
        <v>3969</v>
      </c>
      <c r="C62" s="5724" t="s">
        <v>22</v>
      </c>
      <c r="D62" s="5724" t="s">
        <v>3970</v>
      </c>
      <c r="E62" s="5724" t="s">
        <v>3897</v>
      </c>
      <c r="F62" s="5724" t="s">
        <v>22</v>
      </c>
      <c r="G62" s="5724" t="s">
        <v>22</v>
      </c>
      <c r="H62" s="5724" t="s">
        <v>22</v>
      </c>
      <c r="I62" s="5724" t="s">
        <v>22</v>
      </c>
    </row>
    <row customHeight="1" ht="11.25">
      <c r="A63" s="5724" t="s">
        <v>3340</v>
      </c>
      <c r="B63" s="5724" t="s">
        <v>3971</v>
      </c>
      <c r="C63" s="5724" t="s">
        <v>22</v>
      </c>
      <c r="D63" s="5724" t="s">
        <v>3901</v>
      </c>
      <c r="E63" s="5724" t="s">
        <v>3972</v>
      </c>
      <c r="F63" s="5724" t="s">
        <v>22</v>
      </c>
      <c r="G63" s="5724" t="s">
        <v>22</v>
      </c>
      <c r="H63" s="5724" t="s">
        <v>22</v>
      </c>
      <c r="I63" s="5724" t="s">
        <v>22</v>
      </c>
    </row>
    <row customHeight="1" ht="11.25">
      <c r="A64" s="5724" t="s">
        <v>3343</v>
      </c>
      <c r="B64" s="5724" t="s">
        <v>3973</v>
      </c>
      <c r="C64" s="5724" t="s">
        <v>22</v>
      </c>
      <c r="D64" s="5724" t="s">
        <v>3916</v>
      </c>
      <c r="E64" s="5724" t="s">
        <v>3974</v>
      </c>
      <c r="F64" s="5724" t="s">
        <v>22</v>
      </c>
      <c r="G64" s="5724" t="s">
        <v>22</v>
      </c>
      <c r="H64" s="5724" t="s">
        <v>22</v>
      </c>
      <c r="I64" s="5724" t="s">
        <v>22</v>
      </c>
    </row>
    <row customHeight="1" ht="11.25">
      <c r="A65" s="5724" t="s">
        <v>3346</v>
      </c>
      <c r="B65" s="5724" t="s">
        <v>3975</v>
      </c>
      <c r="C65" s="5724" t="s">
        <v>22</v>
      </c>
      <c r="D65" s="5724" t="s">
        <v>3936</v>
      </c>
      <c r="E65" s="5724" t="s">
        <v>3976</v>
      </c>
      <c r="F65" s="5724" t="s">
        <v>22</v>
      </c>
      <c r="G65" s="5724" t="s">
        <v>22</v>
      </c>
      <c r="H65" s="5724" t="s">
        <v>22</v>
      </c>
      <c r="I65" s="5724" t="s">
        <v>22</v>
      </c>
    </row>
    <row customHeight="1" ht="11.25">
      <c r="A66" s="5724" t="s">
        <v>3349</v>
      </c>
      <c r="B66" s="5724" t="s">
        <v>3977</v>
      </c>
      <c r="C66" s="5724" t="s">
        <v>22</v>
      </c>
      <c r="D66" s="5724" t="s">
        <v>3936</v>
      </c>
      <c r="E66" s="5724" t="s">
        <v>3978</v>
      </c>
      <c r="F66" s="5724" t="s">
        <v>22</v>
      </c>
      <c r="G66" s="5724" t="s">
        <v>22</v>
      </c>
      <c r="H66" s="5724" t="s">
        <v>22</v>
      </c>
      <c r="I66" s="5724" t="s">
        <v>22</v>
      </c>
    </row>
    <row customHeight="1" ht="11.25">
      <c r="A67" s="5724" t="s">
        <v>2149</v>
      </c>
      <c r="B67" s="5724" t="s">
        <v>3979</v>
      </c>
      <c r="C67" s="5724" t="s">
        <v>22</v>
      </c>
      <c r="D67" s="5724" t="s">
        <v>3916</v>
      </c>
      <c r="E67" s="5724" t="s">
        <v>3870</v>
      </c>
      <c r="F67" s="5724" t="s">
        <v>22</v>
      </c>
      <c r="G67" s="5724" t="s">
        <v>22</v>
      </c>
      <c r="H67" s="5724" t="s">
        <v>22</v>
      </c>
      <c r="I67" s="5724" t="s">
        <v>22</v>
      </c>
    </row>
    <row customHeight="1" ht="11.25">
      <c r="A68" s="5724" t="s">
        <v>3354</v>
      </c>
      <c r="B68" s="5724" t="s">
        <v>3980</v>
      </c>
      <c r="C68" s="5724" t="s">
        <v>22</v>
      </c>
      <c r="D68" s="5724" t="s">
        <v>3981</v>
      </c>
      <c r="E68" s="5724" t="s">
        <v>3917</v>
      </c>
      <c r="F68" s="5724" t="s">
        <v>22</v>
      </c>
      <c r="G68" s="5724" t="s">
        <v>22</v>
      </c>
      <c r="H68" s="5724" t="s">
        <v>22</v>
      </c>
      <c r="I68" s="5724"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774F42-C863-02B2-9999-5763CB960AAA}" mc:Ignorable="x14ac xr xr2 xr3">
  <sheetPr>
    <tabColor rgb="FFFFCC99"/>
  </sheetPr>
  <dimension ref="A1:AL106"/>
  <sheetViews>
    <sheetView topLeftCell="A1" workbookViewId="0">
      <selection activeCell="A1" sqref="A1"/>
    </sheetView>
  </sheetViews>
  <sheetFormatPr customHeight="1" defaultRowHeight="11.25"/>
  <sheetData>
    <row customHeight="1" ht="11.25">
      <c r="A1" s="0" t="s">
        <v>2369</v>
      </c>
      <c r="B1" s="0" t="s">
        <v>2370</v>
      </c>
      <c r="C1" s="0" t="s">
        <v>2371</v>
      </c>
      <c r="D1" s="0" t="s">
        <v>3982</v>
      </c>
      <c r="E1" s="0" t="s">
        <v>3983</v>
      </c>
      <c r="F1" s="0" t="s">
        <v>3984</v>
      </c>
      <c r="G1" s="0" t="s">
        <v>3985</v>
      </c>
      <c r="H1" s="0" t="s">
        <v>3986</v>
      </c>
      <c r="I1" s="0" t="s">
        <v>3987</v>
      </c>
      <c r="J1" s="0" t="s">
        <v>3988</v>
      </c>
      <c r="K1" s="0" t="s">
        <v>3989</v>
      </c>
      <c r="L1" s="0" t="s">
        <v>3990</v>
      </c>
      <c r="M1" s="0" t="s">
        <v>3991</v>
      </c>
      <c r="N1" s="0" t="s">
        <v>3992</v>
      </c>
      <c r="O1" s="0" t="s">
        <v>3209</v>
      </c>
      <c r="P1" s="0" t="s">
        <v>3211</v>
      </c>
      <c r="Q1" s="0" t="s">
        <v>3212</v>
      </c>
      <c r="R1" s="0" t="s">
        <v>3993</v>
      </c>
      <c r="S1" s="0" t="s">
        <v>3994</v>
      </c>
      <c r="T1" s="0" t="s">
        <v>3995</v>
      </c>
      <c r="U1" s="0" t="s">
        <v>3996</v>
      </c>
      <c r="V1" s="0" t="s">
        <v>3997</v>
      </c>
      <c r="W1" s="0" t="s">
        <v>3998</v>
      </c>
      <c r="X1" s="0" t="s">
        <v>3999</v>
      </c>
      <c r="Y1" s="0" t="s">
        <v>4000</v>
      </c>
      <c r="Z1" s="0" t="s">
        <v>4001</v>
      </c>
      <c r="AA1" s="0" t="s">
        <v>4002</v>
      </c>
      <c r="AB1" s="0" t="s">
        <v>4003</v>
      </c>
      <c r="AC1" s="0" t="s">
        <v>4004</v>
      </c>
      <c r="AD1" s="0" t="s">
        <v>4005</v>
      </c>
      <c r="AE1" s="0" t="s">
        <v>4006</v>
      </c>
      <c r="AF1" s="0" t="s">
        <v>4007</v>
      </c>
      <c r="AG1" s="0" t="s">
        <v>4008</v>
      </c>
      <c r="AH1" s="0" t="s">
        <v>4009</v>
      </c>
      <c r="AI1" s="0" t="s">
        <v>4010</v>
      </c>
      <c r="AJ1" s="0" t="s">
        <v>4011</v>
      </c>
      <c r="AK1" s="0" t="s">
        <v>4012</v>
      </c>
      <c r="AL1" s="0" t="s">
        <v>4013</v>
      </c>
    </row>
    <row customHeight="1" ht="11.25">
      <c r="A2" s="0" t="s">
        <v>22</v>
      </c>
      <c r="B2" s="0" t="s">
        <v>48</v>
      </c>
      <c r="C2" s="0" t="s">
        <v>50</v>
      </c>
      <c r="D2" s="0" t="s">
        <v>22</v>
      </c>
      <c r="E2" s="0" t="s">
        <v>4014</v>
      </c>
      <c r="F2" s="0" t="s">
        <v>1029</v>
      </c>
      <c r="G2" s="0" t="s">
        <v>1162</v>
      </c>
      <c r="H2" s="0" t="s">
        <v>1163</v>
      </c>
      <c r="I2" s="0" t="s">
        <v>1164</v>
      </c>
      <c r="J2" s="0" t="s">
        <v>1165</v>
      </c>
      <c r="K2" s="0" t="s">
        <v>1166</v>
      </c>
      <c r="L2" s="0" t="s">
        <v>4015</v>
      </c>
      <c r="M2" s="0" t="s">
        <v>146</v>
      </c>
      <c r="N2" s="0" t="s">
        <v>106</v>
      </c>
      <c r="O2" s="0" t="s">
        <v>1162</v>
      </c>
      <c r="P2" s="0" t="s">
        <v>1163</v>
      </c>
      <c r="Q2" s="0" t="s">
        <v>1164</v>
      </c>
      <c r="R2" s="0" t="s">
        <v>1165</v>
      </c>
      <c r="S2" s="0" t="s">
        <v>1166</v>
      </c>
      <c r="T2" s="0" t="s">
        <v>4016</v>
      </c>
      <c r="U2" s="0" t="s">
        <v>4017</v>
      </c>
      <c r="V2" s="0" t="s">
        <v>4018</v>
      </c>
      <c r="W2" s="0" t="s">
        <v>4019</v>
      </c>
      <c r="X2" s="0" t="s">
        <v>4020</v>
      </c>
      <c r="Y2" s="0" t="s">
        <v>4021</v>
      </c>
      <c r="Z2" s="0" t="s">
        <v>4022</v>
      </c>
      <c r="AA2" s="0" t="s">
        <v>4023</v>
      </c>
      <c r="AB2" s="0" t="s">
        <v>4018</v>
      </c>
      <c r="AC2" s="0" t="s">
        <v>65</v>
      </c>
      <c r="AD2" s="0" t="s">
        <v>19</v>
      </c>
      <c r="AE2" s="0" t="s">
        <v>19</v>
      </c>
      <c r="AF2" s="0" t="s">
        <v>4024</v>
      </c>
      <c r="AG2" s="0" t="s">
        <v>4025</v>
      </c>
      <c r="AH2" s="0" t="s">
        <v>22</v>
      </c>
      <c r="AI2" s="0" t="s">
        <v>22</v>
      </c>
      <c r="AJ2" s="0" t="s">
        <v>22</v>
      </c>
      <c r="AK2" s="0" t="s">
        <v>22</v>
      </c>
      <c r="AL2" s="0" t="s">
        <v>4026</v>
      </c>
    </row>
    <row customHeight="1" ht="11.25">
      <c r="A3" s="0" t="s">
        <v>22</v>
      </c>
      <c r="B3" s="0" t="s">
        <v>48</v>
      </c>
      <c r="C3" s="0" t="s">
        <v>50</v>
      </c>
      <c r="D3" s="0" t="s">
        <v>22</v>
      </c>
      <c r="E3" s="0" t="s">
        <v>4014</v>
      </c>
      <c r="F3" s="0" t="s">
        <v>1029</v>
      </c>
      <c r="G3" s="0" t="s">
        <v>1162</v>
      </c>
      <c r="H3" s="0" t="s">
        <v>1163</v>
      </c>
      <c r="I3" s="0" t="s">
        <v>1164</v>
      </c>
      <c r="J3" s="0" t="s">
        <v>1165</v>
      </c>
      <c r="K3" s="0" t="s">
        <v>1166</v>
      </c>
      <c r="L3" s="0" t="s">
        <v>4015</v>
      </c>
      <c r="M3" s="0" t="s">
        <v>146</v>
      </c>
      <c r="N3" s="0" t="s">
        <v>106</v>
      </c>
      <c r="O3" s="0" t="s">
        <v>1162</v>
      </c>
      <c r="P3" s="0" t="s">
        <v>1163</v>
      </c>
      <c r="Q3" s="0" t="s">
        <v>1164</v>
      </c>
      <c r="R3" s="0" t="s">
        <v>1165</v>
      </c>
      <c r="S3" s="0" t="s">
        <v>1166</v>
      </c>
      <c r="T3" s="0" t="s">
        <v>4016</v>
      </c>
      <c r="U3" s="0" t="s">
        <v>4017</v>
      </c>
      <c r="V3" s="0" t="s">
        <v>4018</v>
      </c>
      <c r="W3" s="0" t="s">
        <v>4019</v>
      </c>
      <c r="X3" s="0" t="s">
        <v>4020</v>
      </c>
      <c r="Y3" s="0" t="s">
        <v>4021</v>
      </c>
      <c r="Z3" s="0" t="s">
        <v>4022</v>
      </c>
      <c r="AA3" s="0" t="s">
        <v>4023</v>
      </c>
      <c r="AB3" s="0" t="s">
        <v>4018</v>
      </c>
      <c r="AC3" s="0" t="s">
        <v>65</v>
      </c>
      <c r="AD3" s="0" t="s">
        <v>19</v>
      </c>
      <c r="AE3" s="0" t="s">
        <v>19</v>
      </c>
      <c r="AF3" s="0" t="s">
        <v>4024</v>
      </c>
      <c r="AG3" s="0" t="s">
        <v>4025</v>
      </c>
      <c r="AH3" s="0" t="s">
        <v>22</v>
      </c>
      <c r="AI3" s="0" t="s">
        <v>22</v>
      </c>
      <c r="AJ3" s="0" t="s">
        <v>22</v>
      </c>
      <c r="AK3" s="0" t="s">
        <v>22</v>
      </c>
      <c r="AL3" s="0" t="s">
        <v>4026</v>
      </c>
    </row>
    <row customHeight="1" ht="11.25">
      <c r="A4" s="0" t="s">
        <v>22</v>
      </c>
      <c r="B4" s="0" t="s">
        <v>48</v>
      </c>
      <c r="C4" s="0" t="s">
        <v>50</v>
      </c>
      <c r="D4" s="0" t="s">
        <v>22</v>
      </c>
      <c r="E4" s="0" t="s">
        <v>1161</v>
      </c>
      <c r="F4" s="0" t="s">
        <v>1083</v>
      </c>
      <c r="G4" s="0" t="s">
        <v>1162</v>
      </c>
      <c r="H4" s="0" t="s">
        <v>1163</v>
      </c>
      <c r="I4" s="0" t="s">
        <v>1164</v>
      </c>
      <c r="J4" s="0" t="s">
        <v>1165</v>
      </c>
      <c r="K4" s="0" t="s">
        <v>1166</v>
      </c>
      <c r="L4" s="0" t="s">
        <v>1167</v>
      </c>
      <c r="M4" s="0" t="s">
        <v>1168</v>
      </c>
      <c r="N4" s="0" t="s">
        <v>106</v>
      </c>
      <c r="O4" s="0" t="s">
        <v>1162</v>
      </c>
      <c r="P4" s="0" t="s">
        <v>1163</v>
      </c>
      <c r="Q4" s="0" t="s">
        <v>1164</v>
      </c>
      <c r="R4" s="0" t="s">
        <v>1165</v>
      </c>
      <c r="S4" s="0" t="s">
        <v>1166</v>
      </c>
      <c r="T4" s="0" t="s">
        <v>4016</v>
      </c>
      <c r="U4" s="0" t="s">
        <v>4017</v>
      </c>
      <c r="V4" s="0" t="s">
        <v>4027</v>
      </c>
      <c r="W4" s="0" t="s">
        <v>4019</v>
      </c>
      <c r="X4" s="0" t="s">
        <v>4020</v>
      </c>
      <c r="Y4" s="0" t="s">
        <v>4021</v>
      </c>
      <c r="Z4" s="0" t="s">
        <v>4028</v>
      </c>
      <c r="AA4" s="0" t="s">
        <v>4029</v>
      </c>
      <c r="AB4" s="0" t="s">
        <v>4027</v>
      </c>
      <c r="AC4" s="0" t="s">
        <v>19</v>
      </c>
      <c r="AD4" s="0" t="s">
        <v>65</v>
      </c>
      <c r="AE4" s="0" t="s">
        <v>65</v>
      </c>
      <c r="AF4" s="0" t="s">
        <v>22</v>
      </c>
      <c r="AG4" s="0" t="s">
        <v>22</v>
      </c>
      <c r="AH4" s="0" t="s">
        <v>4024</v>
      </c>
      <c r="AI4" s="0" t="s">
        <v>4030</v>
      </c>
      <c r="AJ4" s="0" t="s">
        <v>4024</v>
      </c>
      <c r="AK4" s="0" t="s">
        <v>4030</v>
      </c>
      <c r="AL4" s="0" t="s">
        <v>22</v>
      </c>
    </row>
    <row customHeight="1" ht="11.25">
      <c r="A5" s="0" t="s">
        <v>22</v>
      </c>
      <c r="B5" s="0" t="s">
        <v>48</v>
      </c>
      <c r="C5" s="0" t="s">
        <v>50</v>
      </c>
      <c r="D5" s="0" t="s">
        <v>22</v>
      </c>
      <c r="E5" s="0" t="s">
        <v>1161</v>
      </c>
      <c r="F5" s="0" t="s">
        <v>1083</v>
      </c>
      <c r="G5" s="0" t="s">
        <v>1162</v>
      </c>
      <c r="H5" s="0" t="s">
        <v>1163</v>
      </c>
      <c r="I5" s="0" t="s">
        <v>1164</v>
      </c>
      <c r="J5" s="0" t="s">
        <v>1165</v>
      </c>
      <c r="K5" s="0" t="s">
        <v>1166</v>
      </c>
      <c r="L5" s="0" t="s">
        <v>1167</v>
      </c>
      <c r="M5" s="0" t="s">
        <v>1168</v>
      </c>
      <c r="N5" s="0" t="s">
        <v>106</v>
      </c>
      <c r="O5" s="0" t="s">
        <v>1162</v>
      </c>
      <c r="P5" s="0" t="s">
        <v>1163</v>
      </c>
      <c r="Q5" s="0" t="s">
        <v>1164</v>
      </c>
      <c r="R5" s="0" t="s">
        <v>1165</v>
      </c>
      <c r="S5" s="0" t="s">
        <v>1166</v>
      </c>
      <c r="T5" s="0" t="s">
        <v>4016</v>
      </c>
      <c r="U5" s="0" t="s">
        <v>4017</v>
      </c>
      <c r="V5" s="0" t="s">
        <v>4027</v>
      </c>
      <c r="W5" s="0" t="s">
        <v>4019</v>
      </c>
      <c r="X5" s="0" t="s">
        <v>4020</v>
      </c>
      <c r="Y5" s="0" t="s">
        <v>4021</v>
      </c>
      <c r="Z5" s="0" t="s">
        <v>4028</v>
      </c>
      <c r="AA5" s="0" t="s">
        <v>4029</v>
      </c>
      <c r="AB5" s="0" t="s">
        <v>4027</v>
      </c>
      <c r="AC5" s="0" t="s">
        <v>19</v>
      </c>
      <c r="AD5" s="0" t="s">
        <v>65</v>
      </c>
      <c r="AE5" s="0" t="s">
        <v>65</v>
      </c>
      <c r="AF5" s="0" t="s">
        <v>22</v>
      </c>
      <c r="AG5" s="0" t="s">
        <v>22</v>
      </c>
      <c r="AH5" s="0" t="s">
        <v>4024</v>
      </c>
      <c r="AI5" s="0" t="s">
        <v>4030</v>
      </c>
      <c r="AJ5" s="0" t="s">
        <v>4024</v>
      </c>
      <c r="AK5" s="0" t="s">
        <v>4030</v>
      </c>
      <c r="AL5" s="0" t="s">
        <v>22</v>
      </c>
    </row>
    <row customHeight="1" ht="11.25">
      <c r="A6" s="0" t="s">
        <v>22</v>
      </c>
      <c r="B6" s="0" t="s">
        <v>48</v>
      </c>
      <c r="C6" s="0" t="s">
        <v>50</v>
      </c>
      <c r="D6" s="0" t="s">
        <v>22</v>
      </c>
      <c r="E6" s="0" t="s">
        <v>1041</v>
      </c>
      <c r="F6" s="0" t="s">
        <v>1042</v>
      </c>
      <c r="G6" s="0" t="s">
        <v>1043</v>
      </c>
      <c r="H6" s="0" t="s">
        <v>1044</v>
      </c>
      <c r="I6" s="0" t="s">
        <v>1045</v>
      </c>
      <c r="J6" s="0" t="s">
        <v>1046</v>
      </c>
      <c r="K6" s="0" t="s">
        <v>1047</v>
      </c>
      <c r="L6" s="0" t="s">
        <v>1048</v>
      </c>
      <c r="M6" s="0" t="s">
        <v>1049</v>
      </c>
      <c r="N6" s="0" t="s">
        <v>106</v>
      </c>
      <c r="O6" s="0" t="s">
        <v>1043</v>
      </c>
      <c r="P6" s="0" t="s">
        <v>1044</v>
      </c>
      <c r="Q6" s="0" t="s">
        <v>1045</v>
      </c>
      <c r="R6" s="0" t="s">
        <v>1046</v>
      </c>
      <c r="S6" s="0" t="s">
        <v>1047</v>
      </c>
      <c r="T6" s="0" t="s">
        <v>4016</v>
      </c>
      <c r="U6" s="0" t="s">
        <v>4017</v>
      </c>
      <c r="V6" s="0" t="s">
        <v>4031</v>
      </c>
      <c r="W6" s="0" t="s">
        <v>4019</v>
      </c>
      <c r="X6" s="0" t="s">
        <v>4020</v>
      </c>
      <c r="Y6" s="0" t="s">
        <v>4021</v>
      </c>
      <c r="Z6" s="0" t="s">
        <v>4032</v>
      </c>
      <c r="AA6" s="0" t="s">
        <v>4033</v>
      </c>
      <c r="AB6" s="0" t="s">
        <v>4031</v>
      </c>
      <c r="AC6" s="0" t="s">
        <v>65</v>
      </c>
      <c r="AD6" s="0" t="s">
        <v>65</v>
      </c>
      <c r="AE6" s="0" t="s">
        <v>65</v>
      </c>
      <c r="AF6" s="0" t="s">
        <v>4034</v>
      </c>
      <c r="AG6" s="0" t="s">
        <v>4035</v>
      </c>
      <c r="AH6" s="0" t="s">
        <v>4034</v>
      </c>
      <c r="AI6" s="0" t="s">
        <v>4035</v>
      </c>
      <c r="AJ6" s="0" t="s">
        <v>4034</v>
      </c>
      <c r="AK6" s="0" t="s">
        <v>4035</v>
      </c>
      <c r="AL6" s="0" t="s">
        <v>4036</v>
      </c>
    </row>
    <row customHeight="1" ht="11.25">
      <c r="A7" s="0" t="s">
        <v>22</v>
      </c>
      <c r="B7" s="0" t="s">
        <v>48</v>
      </c>
      <c r="C7" s="0" t="s">
        <v>50</v>
      </c>
      <c r="D7" s="0" t="s">
        <v>22</v>
      </c>
      <c r="E7" s="0" t="s">
        <v>1041</v>
      </c>
      <c r="F7" s="0" t="s">
        <v>1042</v>
      </c>
      <c r="G7" s="0" t="s">
        <v>1043</v>
      </c>
      <c r="H7" s="0" t="s">
        <v>1044</v>
      </c>
      <c r="I7" s="0" t="s">
        <v>1045</v>
      </c>
      <c r="J7" s="0" t="s">
        <v>1046</v>
      </c>
      <c r="K7" s="0" t="s">
        <v>1047</v>
      </c>
      <c r="L7" s="0" t="s">
        <v>1048</v>
      </c>
      <c r="M7" s="0" t="s">
        <v>1049</v>
      </c>
      <c r="N7" s="0" t="s">
        <v>106</v>
      </c>
      <c r="O7" s="0" t="s">
        <v>1043</v>
      </c>
      <c r="P7" s="0" t="s">
        <v>1044</v>
      </c>
      <c r="Q7" s="0" t="s">
        <v>1045</v>
      </c>
      <c r="R7" s="0" t="s">
        <v>1046</v>
      </c>
      <c r="S7" s="0" t="s">
        <v>1047</v>
      </c>
      <c r="T7" s="0" t="s">
        <v>4016</v>
      </c>
      <c r="U7" s="0" t="s">
        <v>4017</v>
      </c>
      <c r="V7" s="0" t="s">
        <v>4031</v>
      </c>
      <c r="W7" s="0" t="s">
        <v>4019</v>
      </c>
      <c r="X7" s="0" t="s">
        <v>4020</v>
      </c>
      <c r="Y7" s="0" t="s">
        <v>4021</v>
      </c>
      <c r="Z7" s="0" t="s">
        <v>4032</v>
      </c>
      <c r="AA7" s="0" t="s">
        <v>4033</v>
      </c>
      <c r="AB7" s="0" t="s">
        <v>4031</v>
      </c>
      <c r="AC7" s="0" t="s">
        <v>65</v>
      </c>
      <c r="AD7" s="0" t="s">
        <v>65</v>
      </c>
      <c r="AE7" s="0" t="s">
        <v>65</v>
      </c>
      <c r="AF7" s="0" t="s">
        <v>4034</v>
      </c>
      <c r="AG7" s="0" t="s">
        <v>4035</v>
      </c>
      <c r="AH7" s="0" t="s">
        <v>4034</v>
      </c>
      <c r="AI7" s="0" t="s">
        <v>4035</v>
      </c>
      <c r="AJ7" s="0" t="s">
        <v>4034</v>
      </c>
      <c r="AK7" s="0" t="s">
        <v>4035</v>
      </c>
      <c r="AL7" s="0" t="s">
        <v>4037</v>
      </c>
    </row>
    <row customHeight="1" ht="11.25">
      <c r="A8" s="0" t="s">
        <v>22</v>
      </c>
      <c r="B8" s="0" t="s">
        <v>48</v>
      </c>
      <c r="C8" s="0" t="s">
        <v>50</v>
      </c>
      <c r="D8" s="0" t="s">
        <v>22</v>
      </c>
      <c r="E8" s="0" t="s">
        <v>4038</v>
      </c>
      <c r="F8" s="0" t="s">
        <v>1029</v>
      </c>
      <c r="G8" s="0" t="s">
        <v>1154</v>
      </c>
      <c r="H8" s="0" t="s">
        <v>1154</v>
      </c>
      <c r="I8" s="0" t="s">
        <v>1155</v>
      </c>
      <c r="J8" s="0" t="s">
        <v>1156</v>
      </c>
      <c r="K8" s="0" t="s">
        <v>1157</v>
      </c>
      <c r="L8" s="0" t="s">
        <v>4039</v>
      </c>
      <c r="M8" s="0" t="s">
        <v>4040</v>
      </c>
      <c r="N8" s="0" t="s">
        <v>106</v>
      </c>
      <c r="O8" s="0" t="s">
        <v>1154</v>
      </c>
      <c r="P8" s="0" t="s">
        <v>1154</v>
      </c>
      <c r="Q8" s="0" t="s">
        <v>1155</v>
      </c>
      <c r="R8" s="0" t="s">
        <v>1156</v>
      </c>
      <c r="S8" s="0" t="s">
        <v>1157</v>
      </c>
      <c r="T8" s="0" t="s">
        <v>4016</v>
      </c>
      <c r="U8" s="0" t="s">
        <v>4017</v>
      </c>
      <c r="V8" s="0" t="s">
        <v>4018</v>
      </c>
      <c r="W8" s="0" t="s">
        <v>4019</v>
      </c>
      <c r="X8" s="0" t="s">
        <v>4020</v>
      </c>
      <c r="Y8" s="0" t="s">
        <v>4021</v>
      </c>
      <c r="Z8" s="0" t="s">
        <v>4041</v>
      </c>
      <c r="AA8" s="0" t="s">
        <v>4042</v>
      </c>
      <c r="AB8" s="0" t="s">
        <v>4018</v>
      </c>
      <c r="AC8" s="0" t="s">
        <v>65</v>
      </c>
      <c r="AD8" s="0" t="s">
        <v>19</v>
      </c>
      <c r="AE8" s="0" t="s">
        <v>19</v>
      </c>
      <c r="AF8" s="0" t="s">
        <v>4043</v>
      </c>
      <c r="AG8" s="0" t="s">
        <v>4044</v>
      </c>
      <c r="AH8" s="0" t="s">
        <v>22</v>
      </c>
      <c r="AI8" s="0" t="s">
        <v>22</v>
      </c>
      <c r="AJ8" s="0" t="s">
        <v>22</v>
      </c>
      <c r="AK8" s="0" t="s">
        <v>22</v>
      </c>
      <c r="AL8" s="0" t="s">
        <v>4045</v>
      </c>
    </row>
    <row customHeight="1" ht="11.25">
      <c r="A9" s="0" t="s">
        <v>22</v>
      </c>
      <c r="B9" s="0" t="s">
        <v>48</v>
      </c>
      <c r="C9" s="0" t="s">
        <v>50</v>
      </c>
      <c r="D9" s="0" t="s">
        <v>22</v>
      </c>
      <c r="E9" s="0" t="s">
        <v>4038</v>
      </c>
      <c r="F9" s="0" t="s">
        <v>1029</v>
      </c>
      <c r="G9" s="0" t="s">
        <v>1154</v>
      </c>
      <c r="H9" s="0" t="s">
        <v>1154</v>
      </c>
      <c r="I9" s="0" t="s">
        <v>1155</v>
      </c>
      <c r="J9" s="0" t="s">
        <v>1156</v>
      </c>
      <c r="K9" s="0" t="s">
        <v>1157</v>
      </c>
      <c r="L9" s="0" t="s">
        <v>4039</v>
      </c>
      <c r="M9" s="0" t="s">
        <v>4040</v>
      </c>
      <c r="N9" s="0" t="s">
        <v>106</v>
      </c>
      <c r="O9" s="0" t="s">
        <v>1154</v>
      </c>
      <c r="P9" s="0" t="s">
        <v>1154</v>
      </c>
      <c r="Q9" s="0" t="s">
        <v>1155</v>
      </c>
      <c r="R9" s="0" t="s">
        <v>1156</v>
      </c>
      <c r="S9" s="0" t="s">
        <v>1157</v>
      </c>
      <c r="T9" s="0" t="s">
        <v>4016</v>
      </c>
      <c r="U9" s="0" t="s">
        <v>4017</v>
      </c>
      <c r="V9" s="0" t="s">
        <v>4018</v>
      </c>
      <c r="W9" s="0" t="s">
        <v>4019</v>
      </c>
      <c r="X9" s="0" t="s">
        <v>4020</v>
      </c>
      <c r="Y9" s="0" t="s">
        <v>4021</v>
      </c>
      <c r="Z9" s="0" t="s">
        <v>4041</v>
      </c>
      <c r="AA9" s="0" t="s">
        <v>4042</v>
      </c>
      <c r="AB9" s="0" t="s">
        <v>4018</v>
      </c>
      <c r="AC9" s="0" t="s">
        <v>65</v>
      </c>
      <c r="AD9" s="0" t="s">
        <v>19</v>
      </c>
      <c r="AE9" s="0" t="s">
        <v>19</v>
      </c>
      <c r="AF9" s="0" t="s">
        <v>4043</v>
      </c>
      <c r="AG9" s="0" t="s">
        <v>4044</v>
      </c>
      <c r="AH9" s="0" t="s">
        <v>22</v>
      </c>
      <c r="AI9" s="0" t="s">
        <v>22</v>
      </c>
      <c r="AJ9" s="0" t="s">
        <v>22</v>
      </c>
      <c r="AK9" s="0" t="s">
        <v>22</v>
      </c>
      <c r="AL9" s="0" t="s">
        <v>4045</v>
      </c>
    </row>
    <row customHeight="1" ht="11.25">
      <c r="A10" s="0" t="s">
        <v>22</v>
      </c>
      <c r="B10" s="0" t="s">
        <v>48</v>
      </c>
      <c r="C10" s="0" t="s">
        <v>50</v>
      </c>
      <c r="D10" s="0" t="s">
        <v>22</v>
      </c>
      <c r="E10" s="0" t="s">
        <v>4046</v>
      </c>
      <c r="F10" s="0" t="s">
        <v>1029</v>
      </c>
      <c r="G10" s="0" t="s">
        <v>1154</v>
      </c>
      <c r="H10" s="0" t="s">
        <v>1154</v>
      </c>
      <c r="I10" s="0" t="s">
        <v>1155</v>
      </c>
      <c r="J10" s="0" t="s">
        <v>1156</v>
      </c>
      <c r="K10" s="0" t="s">
        <v>1157</v>
      </c>
      <c r="L10" s="0" t="s">
        <v>4047</v>
      </c>
      <c r="M10" s="0" t="s">
        <v>3599</v>
      </c>
      <c r="N10" s="0" t="s">
        <v>106</v>
      </c>
      <c r="O10" s="0" t="s">
        <v>1154</v>
      </c>
      <c r="P10" s="0" t="s">
        <v>1154</v>
      </c>
      <c r="Q10" s="0" t="s">
        <v>1155</v>
      </c>
      <c r="R10" s="0" t="s">
        <v>1156</v>
      </c>
      <c r="S10" s="0" t="s">
        <v>1157</v>
      </c>
      <c r="T10" s="0" t="s">
        <v>4016</v>
      </c>
      <c r="U10" s="0" t="s">
        <v>4017</v>
      </c>
      <c r="V10" s="0" t="s">
        <v>4018</v>
      </c>
      <c r="W10" s="0" t="s">
        <v>4019</v>
      </c>
      <c r="X10" s="0" t="s">
        <v>4020</v>
      </c>
      <c r="Y10" s="0" t="s">
        <v>4021</v>
      </c>
      <c r="Z10" s="0" t="s">
        <v>4048</v>
      </c>
      <c r="AA10" s="0" t="s">
        <v>4042</v>
      </c>
      <c r="AB10" s="0" t="s">
        <v>4018</v>
      </c>
      <c r="AC10" s="0" t="s">
        <v>65</v>
      </c>
      <c r="AD10" s="0" t="s">
        <v>19</v>
      </c>
      <c r="AE10" s="0" t="s">
        <v>19</v>
      </c>
      <c r="AF10" s="0" t="s">
        <v>4049</v>
      </c>
      <c r="AG10" s="0" t="s">
        <v>4050</v>
      </c>
      <c r="AH10" s="0" t="s">
        <v>22</v>
      </c>
      <c r="AI10" s="0" t="s">
        <v>22</v>
      </c>
      <c r="AJ10" s="0" t="s">
        <v>22</v>
      </c>
      <c r="AK10" s="0" t="s">
        <v>22</v>
      </c>
      <c r="AL10" s="0" t="s">
        <v>4051</v>
      </c>
    </row>
    <row customHeight="1" ht="11.25">
      <c r="A11" s="0" t="s">
        <v>22</v>
      </c>
      <c r="B11" s="0" t="s">
        <v>48</v>
      </c>
      <c r="C11" s="0" t="s">
        <v>50</v>
      </c>
      <c r="D11" s="0" t="s">
        <v>22</v>
      </c>
      <c r="E11" s="0" t="s">
        <v>4046</v>
      </c>
      <c r="F11" s="0" t="s">
        <v>1029</v>
      </c>
      <c r="G11" s="0" t="s">
        <v>1154</v>
      </c>
      <c r="H11" s="0" t="s">
        <v>1154</v>
      </c>
      <c r="I11" s="0" t="s">
        <v>1155</v>
      </c>
      <c r="J11" s="0" t="s">
        <v>1156</v>
      </c>
      <c r="K11" s="0" t="s">
        <v>1157</v>
      </c>
      <c r="L11" s="0" t="s">
        <v>4047</v>
      </c>
      <c r="M11" s="0" t="s">
        <v>3599</v>
      </c>
      <c r="N11" s="0" t="s">
        <v>106</v>
      </c>
      <c r="O11" s="0" t="s">
        <v>1154</v>
      </c>
      <c r="P11" s="0" t="s">
        <v>1154</v>
      </c>
      <c r="Q11" s="0" t="s">
        <v>1155</v>
      </c>
      <c r="R11" s="0" t="s">
        <v>1156</v>
      </c>
      <c r="S11" s="0" t="s">
        <v>1157</v>
      </c>
      <c r="T11" s="0" t="s">
        <v>4016</v>
      </c>
      <c r="U11" s="0" t="s">
        <v>4017</v>
      </c>
      <c r="V11" s="0" t="s">
        <v>4018</v>
      </c>
      <c r="W11" s="0" t="s">
        <v>4019</v>
      </c>
      <c r="X11" s="0" t="s">
        <v>4020</v>
      </c>
      <c r="Y11" s="0" t="s">
        <v>4021</v>
      </c>
      <c r="Z11" s="0" t="s">
        <v>4048</v>
      </c>
      <c r="AA11" s="0" t="s">
        <v>4042</v>
      </c>
      <c r="AB11" s="0" t="s">
        <v>4018</v>
      </c>
      <c r="AC11" s="0" t="s">
        <v>65</v>
      </c>
      <c r="AD11" s="0" t="s">
        <v>19</v>
      </c>
      <c r="AE11" s="0" t="s">
        <v>19</v>
      </c>
      <c r="AF11" s="0" t="s">
        <v>4049</v>
      </c>
      <c r="AG11" s="0" t="s">
        <v>4050</v>
      </c>
      <c r="AH11" s="0" t="s">
        <v>22</v>
      </c>
      <c r="AI11" s="0" t="s">
        <v>22</v>
      </c>
      <c r="AJ11" s="0" t="s">
        <v>22</v>
      </c>
      <c r="AK11" s="0" t="s">
        <v>22</v>
      </c>
      <c r="AL11" s="0" t="s">
        <v>4051</v>
      </c>
    </row>
    <row customHeight="1" ht="11.25">
      <c r="A12" s="0" t="s">
        <v>22</v>
      </c>
      <c r="B12" s="0" t="s">
        <v>48</v>
      </c>
      <c r="C12" s="0" t="s">
        <v>50</v>
      </c>
      <c r="D12" s="0" t="s">
        <v>22</v>
      </c>
      <c r="E12" s="0" t="s">
        <v>1153</v>
      </c>
      <c r="F12" s="0" t="s">
        <v>1083</v>
      </c>
      <c r="G12" s="0" t="s">
        <v>1154</v>
      </c>
      <c r="H12" s="0" t="s">
        <v>1154</v>
      </c>
      <c r="I12" s="0" t="s">
        <v>1155</v>
      </c>
      <c r="J12" s="0" t="s">
        <v>1156</v>
      </c>
      <c r="K12" s="0" t="s">
        <v>1157</v>
      </c>
      <c r="L12" s="0" t="s">
        <v>1158</v>
      </c>
      <c r="M12" s="0" t="s">
        <v>92</v>
      </c>
      <c r="N12" s="0" t="s">
        <v>106</v>
      </c>
      <c r="O12" s="0" t="s">
        <v>1154</v>
      </c>
      <c r="P12" s="0" t="s">
        <v>1154</v>
      </c>
      <c r="Q12" s="0" t="s">
        <v>1155</v>
      </c>
      <c r="R12" s="0" t="s">
        <v>1156</v>
      </c>
      <c r="S12" s="0" t="s">
        <v>1157</v>
      </c>
      <c r="T12" s="0" t="s">
        <v>4016</v>
      </c>
      <c r="U12" s="0" t="s">
        <v>4017</v>
      </c>
      <c r="V12" s="0" t="s">
        <v>4052</v>
      </c>
      <c r="W12" s="0" t="s">
        <v>4019</v>
      </c>
      <c r="X12" s="0" t="s">
        <v>4020</v>
      </c>
      <c r="Y12" s="0" t="s">
        <v>4021</v>
      </c>
      <c r="Z12" s="0" t="s">
        <v>4028</v>
      </c>
      <c r="AA12" s="0" t="s">
        <v>4029</v>
      </c>
      <c r="AB12" s="0" t="s">
        <v>4052</v>
      </c>
      <c r="AC12" s="0" t="s">
        <v>19</v>
      </c>
      <c r="AD12" s="0" t="s">
        <v>65</v>
      </c>
      <c r="AE12" s="0" t="s">
        <v>19</v>
      </c>
      <c r="AF12" s="0" t="s">
        <v>22</v>
      </c>
      <c r="AG12" s="0" t="s">
        <v>22</v>
      </c>
      <c r="AH12" s="0" t="s">
        <v>4053</v>
      </c>
      <c r="AI12" s="0" t="s">
        <v>4054</v>
      </c>
      <c r="AJ12" s="0" t="s">
        <v>4053</v>
      </c>
      <c r="AK12" s="0" t="s">
        <v>4054</v>
      </c>
      <c r="AL12" s="0" t="s">
        <v>22</v>
      </c>
    </row>
    <row customHeight="1" ht="11.25">
      <c r="A13" s="0" t="s">
        <v>22</v>
      </c>
      <c r="B13" s="0" t="s">
        <v>48</v>
      </c>
      <c r="C13" s="0" t="s">
        <v>50</v>
      </c>
      <c r="D13" s="0" t="s">
        <v>22</v>
      </c>
      <c r="E13" s="0" t="s">
        <v>1153</v>
      </c>
      <c r="F13" s="0" t="s">
        <v>1083</v>
      </c>
      <c r="G13" s="0" t="s">
        <v>1154</v>
      </c>
      <c r="H13" s="0" t="s">
        <v>1154</v>
      </c>
      <c r="I13" s="0" t="s">
        <v>1155</v>
      </c>
      <c r="J13" s="0" t="s">
        <v>1156</v>
      </c>
      <c r="K13" s="0" t="s">
        <v>1157</v>
      </c>
      <c r="L13" s="0" t="s">
        <v>1158</v>
      </c>
      <c r="M13" s="0" t="s">
        <v>92</v>
      </c>
      <c r="N13" s="0" t="s">
        <v>106</v>
      </c>
      <c r="O13" s="0" t="s">
        <v>1154</v>
      </c>
      <c r="P13" s="0" t="s">
        <v>1154</v>
      </c>
      <c r="Q13" s="0" t="s">
        <v>1155</v>
      </c>
      <c r="R13" s="0" t="s">
        <v>1156</v>
      </c>
      <c r="S13" s="0" t="s">
        <v>1157</v>
      </c>
      <c r="T13" s="0" t="s">
        <v>4016</v>
      </c>
      <c r="U13" s="0" t="s">
        <v>4017</v>
      </c>
      <c r="V13" s="0" t="s">
        <v>4052</v>
      </c>
      <c r="W13" s="0" t="s">
        <v>4019</v>
      </c>
      <c r="X13" s="0" t="s">
        <v>4020</v>
      </c>
      <c r="Y13" s="0" t="s">
        <v>4021</v>
      </c>
      <c r="Z13" s="0" t="s">
        <v>4028</v>
      </c>
      <c r="AA13" s="0" t="s">
        <v>4029</v>
      </c>
      <c r="AB13" s="0" t="s">
        <v>4052</v>
      </c>
      <c r="AC13" s="0" t="s">
        <v>19</v>
      </c>
      <c r="AD13" s="0" t="s">
        <v>65</v>
      </c>
      <c r="AE13" s="0" t="s">
        <v>65</v>
      </c>
      <c r="AF13" s="0" t="s">
        <v>22</v>
      </c>
      <c r="AG13" s="0" t="s">
        <v>22</v>
      </c>
      <c r="AH13" s="0" t="s">
        <v>4053</v>
      </c>
      <c r="AI13" s="0" t="s">
        <v>4054</v>
      </c>
      <c r="AJ13" s="0" t="s">
        <v>4053</v>
      </c>
      <c r="AK13" s="0" t="s">
        <v>4054</v>
      </c>
      <c r="AL13" s="0" t="s">
        <v>22</v>
      </c>
    </row>
    <row customHeight="1" ht="11.25">
      <c r="A14" s="0" t="s">
        <v>22</v>
      </c>
      <c r="B14" s="0" t="s">
        <v>48</v>
      </c>
      <c r="C14" s="0" t="s">
        <v>50</v>
      </c>
      <c r="D14" s="0" t="s">
        <v>22</v>
      </c>
      <c r="E14" s="0" t="s">
        <v>4055</v>
      </c>
      <c r="F14" s="0" t="s">
        <v>1029</v>
      </c>
      <c r="G14" s="0" t="s">
        <v>1154</v>
      </c>
      <c r="H14" s="0" t="s">
        <v>1154</v>
      </c>
      <c r="I14" s="0" t="s">
        <v>1155</v>
      </c>
      <c r="J14" s="0" t="s">
        <v>1156</v>
      </c>
      <c r="K14" s="0" t="s">
        <v>1157</v>
      </c>
      <c r="L14" s="0" t="s">
        <v>4056</v>
      </c>
      <c r="M14" s="0" t="s">
        <v>109</v>
      </c>
      <c r="N14" s="0" t="s">
        <v>106</v>
      </c>
      <c r="O14" s="0" t="s">
        <v>1154</v>
      </c>
      <c r="P14" s="0" t="s">
        <v>1154</v>
      </c>
      <c r="Q14" s="0" t="s">
        <v>1155</v>
      </c>
      <c r="R14" s="0" t="s">
        <v>1156</v>
      </c>
      <c r="S14" s="0" t="s">
        <v>1157</v>
      </c>
      <c r="T14" s="0" t="s">
        <v>4016</v>
      </c>
      <c r="U14" s="0" t="s">
        <v>4017</v>
      </c>
      <c r="V14" s="0" t="s">
        <v>4057</v>
      </c>
      <c r="W14" s="0" t="s">
        <v>4019</v>
      </c>
      <c r="X14" s="0" t="s">
        <v>4020</v>
      </c>
      <c r="Y14" s="0" t="s">
        <v>4021</v>
      </c>
      <c r="Z14" s="0" t="s">
        <v>4048</v>
      </c>
      <c r="AA14" s="0" t="s">
        <v>4042</v>
      </c>
      <c r="AB14" s="0" t="s">
        <v>4057</v>
      </c>
      <c r="AC14" s="0" t="s">
        <v>65</v>
      </c>
      <c r="AD14" s="0" t="s">
        <v>19</v>
      </c>
      <c r="AE14" s="0" t="s">
        <v>19</v>
      </c>
      <c r="AF14" s="0" t="s">
        <v>4058</v>
      </c>
      <c r="AG14" s="0" t="s">
        <v>4059</v>
      </c>
      <c r="AH14" s="0" t="s">
        <v>22</v>
      </c>
      <c r="AI14" s="0" t="s">
        <v>22</v>
      </c>
      <c r="AJ14" s="0" t="s">
        <v>22</v>
      </c>
      <c r="AK14" s="0" t="s">
        <v>22</v>
      </c>
      <c r="AL14" s="0" t="s">
        <v>4060</v>
      </c>
    </row>
    <row customHeight="1" ht="11.25">
      <c r="A15" s="0" t="s">
        <v>22</v>
      </c>
      <c r="B15" s="0" t="s">
        <v>48</v>
      </c>
      <c r="C15" s="0" t="s">
        <v>50</v>
      </c>
      <c r="D15" s="0" t="s">
        <v>22</v>
      </c>
      <c r="E15" s="0" t="s">
        <v>4055</v>
      </c>
      <c r="F15" s="0" t="s">
        <v>1029</v>
      </c>
      <c r="G15" s="0" t="s">
        <v>1154</v>
      </c>
      <c r="H15" s="0" t="s">
        <v>1154</v>
      </c>
      <c r="I15" s="0" t="s">
        <v>1155</v>
      </c>
      <c r="J15" s="0" t="s">
        <v>1156</v>
      </c>
      <c r="K15" s="0" t="s">
        <v>1157</v>
      </c>
      <c r="L15" s="0" t="s">
        <v>4056</v>
      </c>
      <c r="M15" s="0" t="s">
        <v>109</v>
      </c>
      <c r="N15" s="0" t="s">
        <v>106</v>
      </c>
      <c r="O15" s="0" t="s">
        <v>1154</v>
      </c>
      <c r="P15" s="0" t="s">
        <v>1154</v>
      </c>
      <c r="Q15" s="0" t="s">
        <v>1155</v>
      </c>
      <c r="R15" s="0" t="s">
        <v>1156</v>
      </c>
      <c r="S15" s="0" t="s">
        <v>1157</v>
      </c>
      <c r="T15" s="0" t="s">
        <v>4016</v>
      </c>
      <c r="U15" s="0" t="s">
        <v>4017</v>
      </c>
      <c r="V15" s="0" t="s">
        <v>4057</v>
      </c>
      <c r="W15" s="0" t="s">
        <v>4019</v>
      </c>
      <c r="X15" s="0" t="s">
        <v>4020</v>
      </c>
      <c r="Y15" s="0" t="s">
        <v>4021</v>
      </c>
      <c r="Z15" s="0" t="s">
        <v>4048</v>
      </c>
      <c r="AA15" s="0" t="s">
        <v>4042</v>
      </c>
      <c r="AB15" s="0" t="s">
        <v>4057</v>
      </c>
      <c r="AC15" s="0" t="s">
        <v>65</v>
      </c>
      <c r="AD15" s="0" t="s">
        <v>19</v>
      </c>
      <c r="AE15" s="0" t="s">
        <v>19</v>
      </c>
      <c r="AF15" s="0" t="s">
        <v>4058</v>
      </c>
      <c r="AG15" s="0" t="s">
        <v>4059</v>
      </c>
      <c r="AH15" s="0" t="s">
        <v>22</v>
      </c>
      <c r="AI15" s="0" t="s">
        <v>22</v>
      </c>
      <c r="AJ15" s="0" t="s">
        <v>22</v>
      </c>
      <c r="AK15" s="0" t="s">
        <v>22</v>
      </c>
      <c r="AL15" s="0" t="s">
        <v>4036</v>
      </c>
    </row>
    <row customHeight="1" ht="11.25">
      <c r="A16" s="0" t="s">
        <v>22</v>
      </c>
      <c r="B16" s="0" t="s">
        <v>48</v>
      </c>
      <c r="C16" s="0" t="s">
        <v>50</v>
      </c>
      <c r="D16" s="0" t="s">
        <v>22</v>
      </c>
      <c r="E16" s="0" t="s">
        <v>4061</v>
      </c>
      <c r="F16" s="0" t="s">
        <v>1029</v>
      </c>
      <c r="G16" s="0" t="s">
        <v>1030</v>
      </c>
      <c r="H16" s="0" t="s">
        <v>1030</v>
      </c>
      <c r="I16" s="0" t="s">
        <v>1031</v>
      </c>
      <c r="J16" s="0" t="s">
        <v>1032</v>
      </c>
      <c r="K16" s="0" t="s">
        <v>1033</v>
      </c>
      <c r="L16" s="0" t="s">
        <v>4062</v>
      </c>
      <c r="M16" s="0" t="s">
        <v>4063</v>
      </c>
      <c r="N16" s="0" t="s">
        <v>106</v>
      </c>
      <c r="O16" s="0" t="s">
        <v>1030</v>
      </c>
      <c r="P16" s="0" t="s">
        <v>1030</v>
      </c>
      <c r="Q16" s="0" t="s">
        <v>1031</v>
      </c>
      <c r="R16" s="0" t="s">
        <v>1032</v>
      </c>
      <c r="S16" s="0" t="s">
        <v>1033</v>
      </c>
      <c r="T16" s="0" t="s">
        <v>4016</v>
      </c>
      <c r="U16" s="0" t="s">
        <v>4017</v>
      </c>
      <c r="V16" s="0" t="s">
        <v>4018</v>
      </c>
      <c r="W16" s="0" t="s">
        <v>4019</v>
      </c>
      <c r="X16" s="0" t="s">
        <v>4020</v>
      </c>
      <c r="Y16" s="0" t="s">
        <v>4021</v>
      </c>
      <c r="Z16" s="0" t="s">
        <v>4064</v>
      </c>
      <c r="AA16" s="0" t="s">
        <v>4042</v>
      </c>
      <c r="AB16" s="0" t="s">
        <v>4018</v>
      </c>
      <c r="AC16" s="0" t="s">
        <v>65</v>
      </c>
      <c r="AD16" s="0" t="s">
        <v>19</v>
      </c>
      <c r="AE16" s="0" t="s">
        <v>19</v>
      </c>
      <c r="AF16" s="0" t="s">
        <v>4065</v>
      </c>
      <c r="AG16" s="0" t="s">
        <v>4066</v>
      </c>
      <c r="AH16" s="0" t="s">
        <v>22</v>
      </c>
      <c r="AI16" s="0" t="s">
        <v>22</v>
      </c>
      <c r="AJ16" s="0" t="s">
        <v>22</v>
      </c>
      <c r="AK16" s="0" t="s">
        <v>22</v>
      </c>
      <c r="AL16" s="0" t="s">
        <v>4067</v>
      </c>
    </row>
    <row customHeight="1" ht="11.25">
      <c r="A17" s="0" t="s">
        <v>22</v>
      </c>
      <c r="B17" s="0" t="s">
        <v>48</v>
      </c>
      <c r="C17" s="0" t="s">
        <v>50</v>
      </c>
      <c r="D17" s="0" t="s">
        <v>22</v>
      </c>
      <c r="E17" s="0" t="s">
        <v>4061</v>
      </c>
      <c r="F17" s="0" t="s">
        <v>1029</v>
      </c>
      <c r="G17" s="0" t="s">
        <v>1030</v>
      </c>
      <c r="H17" s="0" t="s">
        <v>1030</v>
      </c>
      <c r="I17" s="0" t="s">
        <v>1031</v>
      </c>
      <c r="J17" s="0" t="s">
        <v>1032</v>
      </c>
      <c r="K17" s="0" t="s">
        <v>1033</v>
      </c>
      <c r="L17" s="0" t="s">
        <v>4062</v>
      </c>
      <c r="M17" s="0" t="s">
        <v>4063</v>
      </c>
      <c r="N17" s="0" t="s">
        <v>106</v>
      </c>
      <c r="O17" s="0" t="s">
        <v>1030</v>
      </c>
      <c r="P17" s="0" t="s">
        <v>1030</v>
      </c>
      <c r="Q17" s="0" t="s">
        <v>1031</v>
      </c>
      <c r="R17" s="0" t="s">
        <v>1032</v>
      </c>
      <c r="S17" s="0" t="s">
        <v>1033</v>
      </c>
      <c r="T17" s="0" t="s">
        <v>4016</v>
      </c>
      <c r="U17" s="0" t="s">
        <v>4017</v>
      </c>
      <c r="V17" s="0" t="s">
        <v>4018</v>
      </c>
      <c r="W17" s="0" t="s">
        <v>4019</v>
      </c>
      <c r="X17" s="0" t="s">
        <v>4020</v>
      </c>
      <c r="Y17" s="0" t="s">
        <v>4021</v>
      </c>
      <c r="Z17" s="0" t="s">
        <v>4064</v>
      </c>
      <c r="AA17" s="0" t="s">
        <v>4042</v>
      </c>
      <c r="AB17" s="0" t="s">
        <v>4018</v>
      </c>
      <c r="AC17" s="0" t="s">
        <v>65</v>
      </c>
      <c r="AD17" s="0" t="s">
        <v>19</v>
      </c>
      <c r="AE17" s="0" t="s">
        <v>19</v>
      </c>
      <c r="AF17" s="0" t="s">
        <v>4065</v>
      </c>
      <c r="AG17" s="0" t="s">
        <v>4066</v>
      </c>
      <c r="AH17" s="0" t="s">
        <v>22</v>
      </c>
      <c r="AI17" s="0" t="s">
        <v>22</v>
      </c>
      <c r="AJ17" s="0" t="s">
        <v>22</v>
      </c>
      <c r="AK17" s="0" t="s">
        <v>22</v>
      </c>
      <c r="AL17" s="0" t="s">
        <v>4068</v>
      </c>
    </row>
    <row customHeight="1" ht="11.25">
      <c r="A18" s="0" t="s">
        <v>22</v>
      </c>
      <c r="B18" s="0" t="s">
        <v>48</v>
      </c>
      <c r="C18" s="0" t="s">
        <v>50</v>
      </c>
      <c r="D18" s="0" t="s">
        <v>22</v>
      </c>
      <c r="E18" s="0" t="s">
        <v>1028</v>
      </c>
      <c r="F18" s="0" t="s">
        <v>1029</v>
      </c>
      <c r="G18" s="0" t="s">
        <v>1030</v>
      </c>
      <c r="H18" s="0" t="s">
        <v>1030</v>
      </c>
      <c r="I18" s="0" t="s">
        <v>1031</v>
      </c>
      <c r="J18" s="0" t="s">
        <v>1032</v>
      </c>
      <c r="K18" s="0" t="s">
        <v>1033</v>
      </c>
      <c r="L18" s="0" t="s">
        <v>1034</v>
      </c>
      <c r="M18" s="0" t="s">
        <v>106</v>
      </c>
      <c r="N18" s="0" t="s">
        <v>106</v>
      </c>
      <c r="O18" s="0" t="s">
        <v>1030</v>
      </c>
      <c r="P18" s="0" t="s">
        <v>1030</v>
      </c>
      <c r="Q18" s="0" t="s">
        <v>1031</v>
      </c>
      <c r="R18" s="0" t="s">
        <v>1032</v>
      </c>
      <c r="S18" s="0" t="s">
        <v>1033</v>
      </c>
      <c r="T18" s="0" t="s">
        <v>4016</v>
      </c>
      <c r="U18" s="0" t="s">
        <v>4017</v>
      </c>
      <c r="V18" s="0" t="s">
        <v>4069</v>
      </c>
      <c r="W18" s="0" t="s">
        <v>4019</v>
      </c>
      <c r="X18" s="0" t="s">
        <v>4020</v>
      </c>
      <c r="Y18" s="0" t="s">
        <v>4021</v>
      </c>
      <c r="Z18" s="0" t="s">
        <v>4070</v>
      </c>
      <c r="AA18" s="0" t="s">
        <v>4071</v>
      </c>
      <c r="AB18" s="0" t="s">
        <v>4069</v>
      </c>
      <c r="AC18" s="0" t="s">
        <v>65</v>
      </c>
      <c r="AD18" s="0" t="s">
        <v>19</v>
      </c>
      <c r="AE18" s="0" t="s">
        <v>19</v>
      </c>
      <c r="AF18" s="0" t="s">
        <v>4072</v>
      </c>
      <c r="AG18" s="0" t="s">
        <v>4073</v>
      </c>
      <c r="AH18" s="0" t="s">
        <v>22</v>
      </c>
      <c r="AI18" s="0" t="s">
        <v>22</v>
      </c>
      <c r="AJ18" s="0" t="s">
        <v>22</v>
      </c>
      <c r="AK18" s="0" t="s">
        <v>22</v>
      </c>
      <c r="AL18" s="0" t="s">
        <v>4036</v>
      </c>
    </row>
    <row customHeight="1" ht="11.25">
      <c r="A19" s="0" t="s">
        <v>22</v>
      </c>
      <c r="B19" s="0" t="s">
        <v>48</v>
      </c>
      <c r="C19" s="0" t="s">
        <v>50</v>
      </c>
      <c r="D19" s="0" t="s">
        <v>22</v>
      </c>
      <c r="E19" s="0" t="s">
        <v>1028</v>
      </c>
      <c r="F19" s="0" t="s">
        <v>1029</v>
      </c>
      <c r="G19" s="0" t="s">
        <v>1030</v>
      </c>
      <c r="H19" s="0" t="s">
        <v>1030</v>
      </c>
      <c r="I19" s="0" t="s">
        <v>1031</v>
      </c>
      <c r="J19" s="0" t="s">
        <v>1032</v>
      </c>
      <c r="K19" s="0" t="s">
        <v>1033</v>
      </c>
      <c r="L19" s="0" t="s">
        <v>1034</v>
      </c>
      <c r="M19" s="0" t="s">
        <v>106</v>
      </c>
      <c r="N19" s="0" t="s">
        <v>106</v>
      </c>
      <c r="O19" s="0" t="s">
        <v>1030</v>
      </c>
      <c r="P19" s="0" t="s">
        <v>1030</v>
      </c>
      <c r="Q19" s="0" t="s">
        <v>1031</v>
      </c>
      <c r="R19" s="0" t="s">
        <v>1032</v>
      </c>
      <c r="S19" s="0" t="s">
        <v>1033</v>
      </c>
      <c r="T19" s="0" t="s">
        <v>4016</v>
      </c>
      <c r="U19" s="0" t="s">
        <v>4017</v>
      </c>
      <c r="V19" s="0" t="s">
        <v>4069</v>
      </c>
      <c r="W19" s="0" t="s">
        <v>4019</v>
      </c>
      <c r="X19" s="0" t="s">
        <v>4020</v>
      </c>
      <c r="Y19" s="0" t="s">
        <v>4021</v>
      </c>
      <c r="Z19" s="0" t="s">
        <v>4070</v>
      </c>
      <c r="AA19" s="0" t="s">
        <v>4071</v>
      </c>
      <c r="AB19" s="0" t="s">
        <v>4069</v>
      </c>
      <c r="AC19" s="0" t="s">
        <v>65</v>
      </c>
      <c r="AD19" s="0" t="s">
        <v>19</v>
      </c>
      <c r="AE19" s="0" t="s">
        <v>19</v>
      </c>
      <c r="AF19" s="0" t="s">
        <v>4072</v>
      </c>
      <c r="AG19" s="0" t="s">
        <v>4073</v>
      </c>
      <c r="AH19" s="0" t="s">
        <v>22</v>
      </c>
      <c r="AI19" s="0" t="s">
        <v>22</v>
      </c>
      <c r="AJ19" s="0" t="s">
        <v>22</v>
      </c>
      <c r="AK19" s="0" t="s">
        <v>22</v>
      </c>
      <c r="AL19" s="0" t="s">
        <v>4036</v>
      </c>
    </row>
    <row customHeight="1" ht="11.25">
      <c r="A20" s="0" t="s">
        <v>22</v>
      </c>
      <c r="B20" s="0" t="s">
        <v>48</v>
      </c>
      <c r="C20" s="0" t="s">
        <v>50</v>
      </c>
      <c r="D20" s="0" t="s">
        <v>22</v>
      </c>
      <c r="E20" s="0" t="s">
        <v>1068</v>
      </c>
      <c r="F20" s="0" t="s">
        <v>1029</v>
      </c>
      <c r="G20" s="0" t="s">
        <v>1030</v>
      </c>
      <c r="H20" s="0" t="s">
        <v>1030</v>
      </c>
      <c r="I20" s="0" t="s">
        <v>1031</v>
      </c>
      <c r="J20" s="0" t="s">
        <v>1032</v>
      </c>
      <c r="K20" s="0" t="s">
        <v>1033</v>
      </c>
      <c r="L20" s="0" t="s">
        <v>1069</v>
      </c>
      <c r="M20" s="0" t="s">
        <v>146</v>
      </c>
      <c r="N20" s="0" t="s">
        <v>106</v>
      </c>
      <c r="O20" s="0" t="s">
        <v>1030</v>
      </c>
      <c r="P20" s="0" t="s">
        <v>1030</v>
      </c>
      <c r="Q20" s="0" t="s">
        <v>1031</v>
      </c>
      <c r="R20" s="0" t="s">
        <v>1032</v>
      </c>
      <c r="S20" s="0" t="s">
        <v>1033</v>
      </c>
      <c r="T20" s="0" t="s">
        <v>4016</v>
      </c>
      <c r="U20" s="0" t="s">
        <v>4017</v>
      </c>
      <c r="V20" s="0" t="s">
        <v>4018</v>
      </c>
      <c r="W20" s="0" t="s">
        <v>4019</v>
      </c>
      <c r="X20" s="0" t="s">
        <v>4020</v>
      </c>
      <c r="Y20" s="0" t="s">
        <v>4021</v>
      </c>
      <c r="Z20" s="0" t="s">
        <v>4074</v>
      </c>
      <c r="AA20" s="0" t="s">
        <v>4075</v>
      </c>
      <c r="AB20" s="0" t="s">
        <v>4018</v>
      </c>
      <c r="AC20" s="0" t="s">
        <v>65</v>
      </c>
      <c r="AD20" s="0" t="s">
        <v>19</v>
      </c>
      <c r="AE20" s="0" t="s">
        <v>19</v>
      </c>
      <c r="AF20" s="0" t="s">
        <v>4076</v>
      </c>
      <c r="AG20" s="0" t="s">
        <v>4077</v>
      </c>
      <c r="AH20" s="0" t="s">
        <v>22</v>
      </c>
      <c r="AI20" s="0" t="s">
        <v>22</v>
      </c>
      <c r="AJ20" s="0" t="s">
        <v>22</v>
      </c>
      <c r="AK20" s="0" t="s">
        <v>22</v>
      </c>
      <c r="AL20" s="0" t="s">
        <v>4078</v>
      </c>
    </row>
    <row customHeight="1" ht="11.25">
      <c r="A21" s="0" t="s">
        <v>22</v>
      </c>
      <c r="B21" s="0" t="s">
        <v>48</v>
      </c>
      <c r="C21" s="0" t="s">
        <v>50</v>
      </c>
      <c r="D21" s="0" t="s">
        <v>22</v>
      </c>
      <c r="E21" s="0" t="s">
        <v>1068</v>
      </c>
      <c r="F21" s="0" t="s">
        <v>1029</v>
      </c>
      <c r="G21" s="0" t="s">
        <v>1030</v>
      </c>
      <c r="H21" s="0" t="s">
        <v>1030</v>
      </c>
      <c r="I21" s="0" t="s">
        <v>1031</v>
      </c>
      <c r="J21" s="0" t="s">
        <v>1032</v>
      </c>
      <c r="K21" s="0" t="s">
        <v>1033</v>
      </c>
      <c r="L21" s="0" t="s">
        <v>1069</v>
      </c>
      <c r="M21" s="0" t="s">
        <v>146</v>
      </c>
      <c r="N21" s="0" t="s">
        <v>106</v>
      </c>
      <c r="O21" s="0" t="s">
        <v>1030</v>
      </c>
      <c r="P21" s="0" t="s">
        <v>1030</v>
      </c>
      <c r="Q21" s="0" t="s">
        <v>1031</v>
      </c>
      <c r="R21" s="0" t="s">
        <v>1032</v>
      </c>
      <c r="S21" s="0" t="s">
        <v>1033</v>
      </c>
      <c r="T21" s="0" t="s">
        <v>4016</v>
      </c>
      <c r="U21" s="0" t="s">
        <v>4017</v>
      </c>
      <c r="V21" s="0" t="s">
        <v>4018</v>
      </c>
      <c r="W21" s="0" t="s">
        <v>4019</v>
      </c>
      <c r="X21" s="0" t="s">
        <v>4020</v>
      </c>
      <c r="Y21" s="0" t="s">
        <v>4021</v>
      </c>
      <c r="Z21" s="0" t="s">
        <v>4074</v>
      </c>
      <c r="AA21" s="0" t="s">
        <v>4075</v>
      </c>
      <c r="AB21" s="0" t="s">
        <v>4018</v>
      </c>
      <c r="AC21" s="0" t="s">
        <v>65</v>
      </c>
      <c r="AD21" s="0" t="s">
        <v>19</v>
      </c>
      <c r="AE21" s="0" t="s">
        <v>19</v>
      </c>
      <c r="AF21" s="0" t="s">
        <v>4076</v>
      </c>
      <c r="AG21" s="0" t="s">
        <v>4077</v>
      </c>
      <c r="AH21" s="0" t="s">
        <v>22</v>
      </c>
      <c r="AI21" s="0" t="s">
        <v>22</v>
      </c>
      <c r="AJ21" s="0" t="s">
        <v>22</v>
      </c>
      <c r="AK21" s="0" t="s">
        <v>22</v>
      </c>
      <c r="AL21" s="0" t="s">
        <v>4079</v>
      </c>
    </row>
    <row customHeight="1" ht="11.25">
      <c r="A22" s="0" t="s">
        <v>22</v>
      </c>
      <c r="B22" s="0" t="s">
        <v>48</v>
      </c>
      <c r="C22" s="0" t="s">
        <v>50</v>
      </c>
      <c r="D22" s="0" t="s">
        <v>22</v>
      </c>
      <c r="E22" s="0" t="s">
        <v>4080</v>
      </c>
      <c r="F22" s="0" t="s">
        <v>1083</v>
      </c>
      <c r="G22" s="0" t="s">
        <v>1030</v>
      </c>
      <c r="H22" s="0" t="s">
        <v>1030</v>
      </c>
      <c r="I22" s="0" t="s">
        <v>1031</v>
      </c>
      <c r="J22" s="0" t="s">
        <v>1032</v>
      </c>
      <c r="K22" s="0" t="s">
        <v>1033</v>
      </c>
      <c r="L22" s="0" t="s">
        <v>1106</v>
      </c>
      <c r="M22" s="0" t="s">
        <v>1107</v>
      </c>
      <c r="N22" s="0" t="s">
        <v>106</v>
      </c>
      <c r="O22" s="0" t="s">
        <v>1030</v>
      </c>
      <c r="P22" s="0" t="s">
        <v>1030</v>
      </c>
      <c r="Q22" s="0" t="s">
        <v>1031</v>
      </c>
      <c r="R22" s="0" t="s">
        <v>1032</v>
      </c>
      <c r="S22" s="0" t="s">
        <v>1033</v>
      </c>
      <c r="T22" s="0" t="s">
        <v>4016</v>
      </c>
      <c r="U22" s="0" t="s">
        <v>4017</v>
      </c>
      <c r="V22" s="0" t="s">
        <v>4081</v>
      </c>
      <c r="W22" s="0" t="s">
        <v>4019</v>
      </c>
      <c r="X22" s="0" t="s">
        <v>4020</v>
      </c>
      <c r="Y22" s="0" t="s">
        <v>4021</v>
      </c>
      <c r="Z22" s="0" t="s">
        <v>4028</v>
      </c>
      <c r="AA22" s="0" t="s">
        <v>4029</v>
      </c>
      <c r="AB22" s="0" t="s">
        <v>4081</v>
      </c>
      <c r="AC22" s="0" t="s">
        <v>19</v>
      </c>
      <c r="AD22" s="0" t="s">
        <v>65</v>
      </c>
      <c r="AE22" s="0" t="s">
        <v>19</v>
      </c>
      <c r="AF22" s="0" t="s">
        <v>22</v>
      </c>
      <c r="AG22" s="0" t="s">
        <v>22</v>
      </c>
      <c r="AH22" s="0" t="s">
        <v>4082</v>
      </c>
      <c r="AI22" s="0" t="s">
        <v>4083</v>
      </c>
      <c r="AJ22" s="0" t="s">
        <v>4082</v>
      </c>
      <c r="AK22" s="0" t="s">
        <v>4083</v>
      </c>
      <c r="AL22" s="0" t="s">
        <v>22</v>
      </c>
    </row>
    <row customHeight="1" ht="11.25">
      <c r="A23" s="0" t="s">
        <v>22</v>
      </c>
      <c r="B23" s="0" t="s">
        <v>48</v>
      </c>
      <c r="C23" s="0" t="s">
        <v>50</v>
      </c>
      <c r="D23" s="0" t="s">
        <v>22</v>
      </c>
      <c r="E23" s="0" t="s">
        <v>4080</v>
      </c>
      <c r="F23" s="0" t="s">
        <v>1083</v>
      </c>
      <c r="G23" s="0" t="s">
        <v>1030</v>
      </c>
      <c r="H23" s="0" t="s">
        <v>1030</v>
      </c>
      <c r="I23" s="0" t="s">
        <v>1031</v>
      </c>
      <c r="J23" s="0" t="s">
        <v>1032</v>
      </c>
      <c r="K23" s="0" t="s">
        <v>1033</v>
      </c>
      <c r="L23" s="0" t="s">
        <v>1106</v>
      </c>
      <c r="M23" s="0" t="s">
        <v>1107</v>
      </c>
      <c r="N23" s="0" t="s">
        <v>106</v>
      </c>
      <c r="O23" s="0" t="s">
        <v>1030</v>
      </c>
      <c r="P23" s="0" t="s">
        <v>1030</v>
      </c>
      <c r="Q23" s="0" t="s">
        <v>1031</v>
      </c>
      <c r="R23" s="0" t="s">
        <v>1032</v>
      </c>
      <c r="S23" s="0" t="s">
        <v>1033</v>
      </c>
      <c r="T23" s="0" t="s">
        <v>4016</v>
      </c>
      <c r="U23" s="0" t="s">
        <v>4017</v>
      </c>
      <c r="V23" s="0" t="s">
        <v>4081</v>
      </c>
      <c r="W23" s="0" t="s">
        <v>4019</v>
      </c>
      <c r="X23" s="0" t="s">
        <v>4020</v>
      </c>
      <c r="Y23" s="0" t="s">
        <v>4021</v>
      </c>
      <c r="Z23" s="0" t="s">
        <v>4028</v>
      </c>
      <c r="AA23" s="0" t="s">
        <v>4029</v>
      </c>
      <c r="AB23" s="0" t="s">
        <v>4081</v>
      </c>
      <c r="AC23" s="0" t="s">
        <v>19</v>
      </c>
      <c r="AD23" s="0" t="s">
        <v>65</v>
      </c>
      <c r="AE23" s="0" t="s">
        <v>19</v>
      </c>
      <c r="AF23" s="0" t="s">
        <v>22</v>
      </c>
      <c r="AG23" s="0" t="s">
        <v>22</v>
      </c>
      <c r="AH23" s="0" t="s">
        <v>4082</v>
      </c>
      <c r="AI23" s="0" t="s">
        <v>4083</v>
      </c>
      <c r="AJ23" s="0" t="s">
        <v>4082</v>
      </c>
      <c r="AK23" s="0" t="s">
        <v>4083</v>
      </c>
      <c r="AL23" s="0" t="s">
        <v>22</v>
      </c>
    </row>
    <row customHeight="1" ht="11.25">
      <c r="A24" s="0" t="s">
        <v>22</v>
      </c>
      <c r="B24" s="0" t="s">
        <v>48</v>
      </c>
      <c r="C24" s="0" t="s">
        <v>50</v>
      </c>
      <c r="D24" s="0" t="s">
        <v>22</v>
      </c>
      <c r="E24" s="0" t="s">
        <v>4084</v>
      </c>
      <c r="F24" s="0" t="s">
        <v>1083</v>
      </c>
      <c r="G24" s="0" t="s">
        <v>1030</v>
      </c>
      <c r="H24" s="0" t="s">
        <v>1030</v>
      </c>
      <c r="I24" s="0" t="s">
        <v>1031</v>
      </c>
      <c r="J24" s="0" t="s">
        <v>1032</v>
      </c>
      <c r="K24" s="0" t="s">
        <v>1033</v>
      </c>
      <c r="L24" s="0" t="s">
        <v>1106</v>
      </c>
      <c r="M24" s="0" t="s">
        <v>1107</v>
      </c>
      <c r="N24" s="0" t="s">
        <v>106</v>
      </c>
      <c r="O24" s="0" t="s">
        <v>1030</v>
      </c>
      <c r="P24" s="0" t="s">
        <v>1030</v>
      </c>
      <c r="Q24" s="0" t="s">
        <v>1031</v>
      </c>
      <c r="R24" s="0" t="s">
        <v>1032</v>
      </c>
      <c r="S24" s="0" t="s">
        <v>1033</v>
      </c>
      <c r="T24" s="0" t="s">
        <v>4016</v>
      </c>
      <c r="U24" s="0" t="s">
        <v>4017</v>
      </c>
      <c r="V24" s="0" t="s">
        <v>4085</v>
      </c>
      <c r="W24" s="0" t="s">
        <v>4019</v>
      </c>
      <c r="X24" s="0" t="s">
        <v>4020</v>
      </c>
      <c r="Y24" s="0" t="s">
        <v>4021</v>
      </c>
      <c r="Z24" s="0" t="s">
        <v>4028</v>
      </c>
      <c r="AA24" s="0" t="s">
        <v>4029</v>
      </c>
      <c r="AB24" s="0" t="s">
        <v>4085</v>
      </c>
      <c r="AC24" s="0" t="s">
        <v>19</v>
      </c>
      <c r="AD24" s="0" t="s">
        <v>65</v>
      </c>
      <c r="AE24" s="0" t="s">
        <v>19</v>
      </c>
      <c r="AF24" s="0" t="s">
        <v>22</v>
      </c>
      <c r="AG24" s="0" t="s">
        <v>22</v>
      </c>
      <c r="AH24" s="0" t="s">
        <v>4082</v>
      </c>
      <c r="AI24" s="0" t="s">
        <v>4083</v>
      </c>
      <c r="AJ24" s="0" t="s">
        <v>4082</v>
      </c>
      <c r="AK24" s="0" t="s">
        <v>4083</v>
      </c>
      <c r="AL24" s="0" t="s">
        <v>22</v>
      </c>
    </row>
    <row customHeight="1" ht="11.25">
      <c r="A25" s="0" t="s">
        <v>22</v>
      </c>
      <c r="B25" s="0" t="s">
        <v>48</v>
      </c>
      <c r="C25" s="0" t="s">
        <v>50</v>
      </c>
      <c r="D25" s="0" t="s">
        <v>22</v>
      </c>
      <c r="E25" s="0" t="s">
        <v>4084</v>
      </c>
      <c r="F25" s="0" t="s">
        <v>1083</v>
      </c>
      <c r="G25" s="0" t="s">
        <v>1030</v>
      </c>
      <c r="H25" s="0" t="s">
        <v>1030</v>
      </c>
      <c r="I25" s="0" t="s">
        <v>1031</v>
      </c>
      <c r="J25" s="0" t="s">
        <v>1032</v>
      </c>
      <c r="K25" s="0" t="s">
        <v>1033</v>
      </c>
      <c r="L25" s="0" t="s">
        <v>1106</v>
      </c>
      <c r="M25" s="0" t="s">
        <v>1107</v>
      </c>
      <c r="N25" s="0" t="s">
        <v>106</v>
      </c>
      <c r="O25" s="0" t="s">
        <v>1030</v>
      </c>
      <c r="P25" s="0" t="s">
        <v>1030</v>
      </c>
      <c r="Q25" s="0" t="s">
        <v>1031</v>
      </c>
      <c r="R25" s="0" t="s">
        <v>1032</v>
      </c>
      <c r="S25" s="0" t="s">
        <v>1033</v>
      </c>
      <c r="T25" s="0" t="s">
        <v>4016</v>
      </c>
      <c r="U25" s="0" t="s">
        <v>4017</v>
      </c>
      <c r="V25" s="0" t="s">
        <v>4085</v>
      </c>
      <c r="W25" s="0" t="s">
        <v>4019</v>
      </c>
      <c r="X25" s="0" t="s">
        <v>4020</v>
      </c>
      <c r="Y25" s="0" t="s">
        <v>4021</v>
      </c>
      <c r="Z25" s="0" t="s">
        <v>4028</v>
      </c>
      <c r="AA25" s="0" t="s">
        <v>4029</v>
      </c>
      <c r="AB25" s="0" t="s">
        <v>4085</v>
      </c>
      <c r="AC25" s="0" t="s">
        <v>19</v>
      </c>
      <c r="AD25" s="0" t="s">
        <v>65</v>
      </c>
      <c r="AE25" s="0" t="s">
        <v>19</v>
      </c>
      <c r="AF25" s="0" t="s">
        <v>22</v>
      </c>
      <c r="AG25" s="0" t="s">
        <v>22</v>
      </c>
      <c r="AH25" s="0" t="s">
        <v>4082</v>
      </c>
      <c r="AI25" s="0" t="s">
        <v>4083</v>
      </c>
      <c r="AJ25" s="0" t="s">
        <v>4082</v>
      </c>
      <c r="AK25" s="0" t="s">
        <v>4083</v>
      </c>
      <c r="AL25" s="0" t="s">
        <v>22</v>
      </c>
    </row>
    <row customHeight="1" ht="11.25">
      <c r="A26" s="0" t="s">
        <v>22</v>
      </c>
      <c r="B26" s="0" t="s">
        <v>48</v>
      </c>
      <c r="C26" s="0" t="s">
        <v>50</v>
      </c>
      <c r="D26" s="0" t="s">
        <v>22</v>
      </c>
      <c r="E26" s="0" t="s">
        <v>4086</v>
      </c>
      <c r="F26" s="0" t="s">
        <v>1083</v>
      </c>
      <c r="G26" s="0" t="s">
        <v>1030</v>
      </c>
      <c r="H26" s="0" t="s">
        <v>1030</v>
      </c>
      <c r="I26" s="0" t="s">
        <v>1031</v>
      </c>
      <c r="J26" s="0" t="s">
        <v>1032</v>
      </c>
      <c r="K26" s="0" t="s">
        <v>1033</v>
      </c>
      <c r="L26" s="0" t="s">
        <v>1106</v>
      </c>
      <c r="M26" s="0" t="s">
        <v>1107</v>
      </c>
      <c r="N26" s="0" t="s">
        <v>106</v>
      </c>
      <c r="O26" s="0" t="s">
        <v>1030</v>
      </c>
      <c r="P26" s="0" t="s">
        <v>1030</v>
      </c>
      <c r="Q26" s="0" t="s">
        <v>1031</v>
      </c>
      <c r="R26" s="0" t="s">
        <v>1032</v>
      </c>
      <c r="S26" s="0" t="s">
        <v>1033</v>
      </c>
      <c r="T26" s="0" t="s">
        <v>4016</v>
      </c>
      <c r="U26" s="0" t="s">
        <v>4017</v>
      </c>
      <c r="V26" s="0" t="s">
        <v>4087</v>
      </c>
      <c r="W26" s="0" t="s">
        <v>4019</v>
      </c>
      <c r="X26" s="0" t="s">
        <v>4020</v>
      </c>
      <c r="Y26" s="0" t="s">
        <v>4021</v>
      </c>
      <c r="Z26" s="0" t="s">
        <v>4028</v>
      </c>
      <c r="AA26" s="0" t="s">
        <v>4029</v>
      </c>
      <c r="AB26" s="0" t="s">
        <v>4087</v>
      </c>
      <c r="AC26" s="0" t="s">
        <v>19</v>
      </c>
      <c r="AD26" s="0" t="s">
        <v>65</v>
      </c>
      <c r="AE26" s="0" t="s">
        <v>19</v>
      </c>
      <c r="AF26" s="0" t="s">
        <v>22</v>
      </c>
      <c r="AG26" s="0" t="s">
        <v>22</v>
      </c>
      <c r="AH26" s="0" t="s">
        <v>4082</v>
      </c>
      <c r="AI26" s="0" t="s">
        <v>4083</v>
      </c>
      <c r="AJ26" s="0" t="s">
        <v>4082</v>
      </c>
      <c r="AK26" s="0" t="s">
        <v>4083</v>
      </c>
      <c r="AL26" s="0" t="s">
        <v>22</v>
      </c>
    </row>
    <row customHeight="1" ht="11.25">
      <c r="A27" s="0" t="s">
        <v>22</v>
      </c>
      <c r="B27" s="0" t="s">
        <v>48</v>
      </c>
      <c r="C27" s="0" t="s">
        <v>50</v>
      </c>
      <c r="D27" s="0" t="s">
        <v>22</v>
      </c>
      <c r="E27" s="0" t="s">
        <v>4086</v>
      </c>
      <c r="F27" s="0" t="s">
        <v>1083</v>
      </c>
      <c r="G27" s="0" t="s">
        <v>1030</v>
      </c>
      <c r="H27" s="0" t="s">
        <v>1030</v>
      </c>
      <c r="I27" s="0" t="s">
        <v>1031</v>
      </c>
      <c r="J27" s="0" t="s">
        <v>1032</v>
      </c>
      <c r="K27" s="0" t="s">
        <v>1033</v>
      </c>
      <c r="L27" s="0" t="s">
        <v>1106</v>
      </c>
      <c r="M27" s="0" t="s">
        <v>1107</v>
      </c>
      <c r="N27" s="0" t="s">
        <v>106</v>
      </c>
      <c r="O27" s="0" t="s">
        <v>1030</v>
      </c>
      <c r="P27" s="0" t="s">
        <v>1030</v>
      </c>
      <c r="Q27" s="0" t="s">
        <v>1031</v>
      </c>
      <c r="R27" s="0" t="s">
        <v>1032</v>
      </c>
      <c r="S27" s="0" t="s">
        <v>1033</v>
      </c>
      <c r="T27" s="0" t="s">
        <v>4016</v>
      </c>
      <c r="U27" s="0" t="s">
        <v>4017</v>
      </c>
      <c r="V27" s="0" t="s">
        <v>4087</v>
      </c>
      <c r="W27" s="0" t="s">
        <v>4019</v>
      </c>
      <c r="X27" s="0" t="s">
        <v>4020</v>
      </c>
      <c r="Y27" s="0" t="s">
        <v>4021</v>
      </c>
      <c r="Z27" s="0" t="s">
        <v>4028</v>
      </c>
      <c r="AA27" s="0" t="s">
        <v>4029</v>
      </c>
      <c r="AB27" s="0" t="s">
        <v>4087</v>
      </c>
      <c r="AC27" s="0" t="s">
        <v>19</v>
      </c>
      <c r="AD27" s="0" t="s">
        <v>65</v>
      </c>
      <c r="AE27" s="0" t="s">
        <v>19</v>
      </c>
      <c r="AF27" s="0" t="s">
        <v>22</v>
      </c>
      <c r="AG27" s="0" t="s">
        <v>22</v>
      </c>
      <c r="AH27" s="0" t="s">
        <v>4082</v>
      </c>
      <c r="AI27" s="0" t="s">
        <v>4083</v>
      </c>
      <c r="AJ27" s="0" t="s">
        <v>4082</v>
      </c>
      <c r="AK27" s="0" t="s">
        <v>4083</v>
      </c>
      <c r="AL27" s="0" t="s">
        <v>22</v>
      </c>
    </row>
    <row customHeight="1" ht="11.25">
      <c r="A28" s="0" t="s">
        <v>22</v>
      </c>
      <c r="B28" s="0" t="s">
        <v>48</v>
      </c>
      <c r="C28" s="0" t="s">
        <v>50</v>
      </c>
      <c r="D28" s="0" t="s">
        <v>22</v>
      </c>
      <c r="E28" s="0" t="s">
        <v>4088</v>
      </c>
      <c r="F28" s="0" t="s">
        <v>1083</v>
      </c>
      <c r="G28" s="0" t="s">
        <v>1030</v>
      </c>
      <c r="H28" s="0" t="s">
        <v>1030</v>
      </c>
      <c r="I28" s="0" t="s">
        <v>1031</v>
      </c>
      <c r="J28" s="0" t="s">
        <v>1032</v>
      </c>
      <c r="K28" s="0" t="s">
        <v>1033</v>
      </c>
      <c r="L28" s="0" t="s">
        <v>1106</v>
      </c>
      <c r="M28" s="0" t="s">
        <v>1107</v>
      </c>
      <c r="N28" s="0" t="s">
        <v>106</v>
      </c>
      <c r="O28" s="0" t="s">
        <v>1030</v>
      </c>
      <c r="P28" s="0" t="s">
        <v>1030</v>
      </c>
      <c r="Q28" s="0" t="s">
        <v>1031</v>
      </c>
      <c r="R28" s="0" t="s">
        <v>1032</v>
      </c>
      <c r="S28" s="0" t="s">
        <v>1033</v>
      </c>
      <c r="T28" s="0" t="s">
        <v>4016</v>
      </c>
      <c r="U28" s="0" t="s">
        <v>4017</v>
      </c>
      <c r="V28" s="0" t="s">
        <v>4087</v>
      </c>
      <c r="W28" s="0" t="s">
        <v>4019</v>
      </c>
      <c r="X28" s="0" t="s">
        <v>4020</v>
      </c>
      <c r="Y28" s="0" t="s">
        <v>4021</v>
      </c>
      <c r="Z28" s="0" t="s">
        <v>4028</v>
      </c>
      <c r="AA28" s="0" t="s">
        <v>4029</v>
      </c>
      <c r="AB28" s="0" t="s">
        <v>4087</v>
      </c>
      <c r="AC28" s="0" t="s">
        <v>19</v>
      </c>
      <c r="AD28" s="0" t="s">
        <v>65</v>
      </c>
      <c r="AE28" s="0" t="s">
        <v>19</v>
      </c>
      <c r="AF28" s="0" t="s">
        <v>22</v>
      </c>
      <c r="AG28" s="0" t="s">
        <v>22</v>
      </c>
      <c r="AH28" s="0" t="s">
        <v>4082</v>
      </c>
      <c r="AI28" s="0" t="s">
        <v>4083</v>
      </c>
      <c r="AJ28" s="0" t="s">
        <v>4082</v>
      </c>
      <c r="AK28" s="0" t="s">
        <v>4083</v>
      </c>
      <c r="AL28" s="0" t="s">
        <v>22</v>
      </c>
    </row>
    <row customHeight="1" ht="11.25">
      <c r="A29" s="0" t="s">
        <v>22</v>
      </c>
      <c r="B29" s="0" t="s">
        <v>48</v>
      </c>
      <c r="C29" s="0" t="s">
        <v>50</v>
      </c>
      <c r="D29" s="0" t="s">
        <v>22</v>
      </c>
      <c r="E29" s="0" t="s">
        <v>4088</v>
      </c>
      <c r="F29" s="0" t="s">
        <v>1083</v>
      </c>
      <c r="G29" s="0" t="s">
        <v>1030</v>
      </c>
      <c r="H29" s="0" t="s">
        <v>1030</v>
      </c>
      <c r="I29" s="0" t="s">
        <v>1031</v>
      </c>
      <c r="J29" s="0" t="s">
        <v>1032</v>
      </c>
      <c r="K29" s="0" t="s">
        <v>1033</v>
      </c>
      <c r="L29" s="0" t="s">
        <v>1106</v>
      </c>
      <c r="M29" s="0" t="s">
        <v>1107</v>
      </c>
      <c r="N29" s="0" t="s">
        <v>106</v>
      </c>
      <c r="O29" s="0" t="s">
        <v>1030</v>
      </c>
      <c r="P29" s="0" t="s">
        <v>1030</v>
      </c>
      <c r="Q29" s="0" t="s">
        <v>1031</v>
      </c>
      <c r="R29" s="0" t="s">
        <v>1032</v>
      </c>
      <c r="S29" s="0" t="s">
        <v>1033</v>
      </c>
      <c r="T29" s="0" t="s">
        <v>4016</v>
      </c>
      <c r="U29" s="0" t="s">
        <v>4017</v>
      </c>
      <c r="V29" s="0" t="s">
        <v>4089</v>
      </c>
      <c r="W29" s="0" t="s">
        <v>4019</v>
      </c>
      <c r="X29" s="0" t="s">
        <v>4020</v>
      </c>
      <c r="Y29" s="0" t="s">
        <v>4021</v>
      </c>
      <c r="Z29" s="0" t="s">
        <v>4028</v>
      </c>
      <c r="AA29" s="0" t="s">
        <v>4029</v>
      </c>
      <c r="AB29" s="0" t="s">
        <v>4089</v>
      </c>
      <c r="AC29" s="0" t="s">
        <v>19</v>
      </c>
      <c r="AD29" s="0" t="s">
        <v>65</v>
      </c>
      <c r="AE29" s="0" t="s">
        <v>19</v>
      </c>
      <c r="AF29" s="0" t="s">
        <v>22</v>
      </c>
      <c r="AG29" s="0" t="s">
        <v>22</v>
      </c>
      <c r="AH29" s="0" t="s">
        <v>4082</v>
      </c>
      <c r="AI29" s="0" t="s">
        <v>4083</v>
      </c>
      <c r="AJ29" s="0" t="s">
        <v>4082</v>
      </c>
      <c r="AK29" s="0" t="s">
        <v>4083</v>
      </c>
      <c r="AL29" s="0" t="s">
        <v>22</v>
      </c>
    </row>
    <row customHeight="1" ht="11.25">
      <c r="A30" s="0" t="s">
        <v>22</v>
      </c>
      <c r="B30" s="0" t="s">
        <v>48</v>
      </c>
      <c r="C30" s="0" t="s">
        <v>50</v>
      </c>
      <c r="D30" s="0" t="s">
        <v>22</v>
      </c>
      <c r="E30" s="0" t="s">
        <v>4090</v>
      </c>
      <c r="F30" s="0" t="s">
        <v>1083</v>
      </c>
      <c r="G30" s="0" t="s">
        <v>1030</v>
      </c>
      <c r="H30" s="0" t="s">
        <v>1030</v>
      </c>
      <c r="I30" s="0" t="s">
        <v>1031</v>
      </c>
      <c r="J30" s="0" t="s">
        <v>1032</v>
      </c>
      <c r="K30" s="0" t="s">
        <v>1033</v>
      </c>
      <c r="L30" s="0" t="s">
        <v>1106</v>
      </c>
      <c r="M30" s="0" t="s">
        <v>1107</v>
      </c>
      <c r="N30" s="0" t="s">
        <v>106</v>
      </c>
      <c r="O30" s="0" t="s">
        <v>1030</v>
      </c>
      <c r="P30" s="0" t="s">
        <v>1030</v>
      </c>
      <c r="Q30" s="0" t="s">
        <v>1031</v>
      </c>
      <c r="R30" s="0" t="s">
        <v>1032</v>
      </c>
      <c r="S30" s="0" t="s">
        <v>1033</v>
      </c>
      <c r="T30" s="0" t="s">
        <v>4016</v>
      </c>
      <c r="U30" s="0" t="s">
        <v>4017</v>
      </c>
      <c r="V30" s="0" t="s">
        <v>4091</v>
      </c>
      <c r="W30" s="0" t="s">
        <v>4019</v>
      </c>
      <c r="X30" s="0" t="s">
        <v>4020</v>
      </c>
      <c r="Y30" s="0" t="s">
        <v>4021</v>
      </c>
      <c r="Z30" s="0" t="s">
        <v>4028</v>
      </c>
      <c r="AA30" s="0" t="s">
        <v>4029</v>
      </c>
      <c r="AB30" s="0" t="s">
        <v>4091</v>
      </c>
      <c r="AC30" s="0" t="s">
        <v>19</v>
      </c>
      <c r="AD30" s="0" t="s">
        <v>65</v>
      </c>
      <c r="AE30" s="0" t="s">
        <v>19</v>
      </c>
      <c r="AF30" s="0" t="s">
        <v>22</v>
      </c>
      <c r="AG30" s="0" t="s">
        <v>22</v>
      </c>
      <c r="AH30" s="0" t="s">
        <v>4082</v>
      </c>
      <c r="AI30" s="0" t="s">
        <v>4083</v>
      </c>
      <c r="AJ30" s="0" t="s">
        <v>4082</v>
      </c>
      <c r="AK30" s="0" t="s">
        <v>4083</v>
      </c>
      <c r="AL30" s="0" t="s">
        <v>22</v>
      </c>
    </row>
    <row customHeight="1" ht="11.25">
      <c r="A31" s="0" t="s">
        <v>22</v>
      </c>
      <c r="B31" s="0" t="s">
        <v>48</v>
      </c>
      <c r="C31" s="0" t="s">
        <v>50</v>
      </c>
      <c r="D31" s="0" t="s">
        <v>22</v>
      </c>
      <c r="E31" s="0" t="s">
        <v>4090</v>
      </c>
      <c r="F31" s="0" t="s">
        <v>1083</v>
      </c>
      <c r="G31" s="0" t="s">
        <v>1030</v>
      </c>
      <c r="H31" s="0" t="s">
        <v>1030</v>
      </c>
      <c r="I31" s="0" t="s">
        <v>1031</v>
      </c>
      <c r="J31" s="0" t="s">
        <v>1032</v>
      </c>
      <c r="K31" s="0" t="s">
        <v>1033</v>
      </c>
      <c r="L31" s="0" t="s">
        <v>1106</v>
      </c>
      <c r="M31" s="0" t="s">
        <v>1107</v>
      </c>
      <c r="N31" s="0" t="s">
        <v>106</v>
      </c>
      <c r="O31" s="0" t="s">
        <v>1030</v>
      </c>
      <c r="P31" s="0" t="s">
        <v>1030</v>
      </c>
      <c r="Q31" s="0" t="s">
        <v>1031</v>
      </c>
      <c r="R31" s="0" t="s">
        <v>1032</v>
      </c>
      <c r="S31" s="0" t="s">
        <v>1033</v>
      </c>
      <c r="T31" s="0" t="s">
        <v>4016</v>
      </c>
      <c r="U31" s="0" t="s">
        <v>4017</v>
      </c>
      <c r="V31" s="0" t="s">
        <v>4091</v>
      </c>
      <c r="W31" s="0" t="s">
        <v>4019</v>
      </c>
      <c r="X31" s="0" t="s">
        <v>4020</v>
      </c>
      <c r="Y31" s="0" t="s">
        <v>4021</v>
      </c>
      <c r="Z31" s="0" t="s">
        <v>4028</v>
      </c>
      <c r="AA31" s="0" t="s">
        <v>4029</v>
      </c>
      <c r="AB31" s="0" t="s">
        <v>4091</v>
      </c>
      <c r="AC31" s="0" t="s">
        <v>19</v>
      </c>
      <c r="AD31" s="0" t="s">
        <v>65</v>
      </c>
      <c r="AE31" s="0" t="s">
        <v>19</v>
      </c>
      <c r="AF31" s="0" t="s">
        <v>22</v>
      </c>
      <c r="AG31" s="0" t="s">
        <v>22</v>
      </c>
      <c r="AH31" s="0" t="s">
        <v>4082</v>
      </c>
      <c r="AI31" s="0" t="s">
        <v>4083</v>
      </c>
      <c r="AJ31" s="0" t="s">
        <v>4082</v>
      </c>
      <c r="AK31" s="0" t="s">
        <v>4083</v>
      </c>
      <c r="AL31" s="0" t="s">
        <v>22</v>
      </c>
    </row>
    <row customHeight="1" ht="11.25">
      <c r="A32" s="0" t="s">
        <v>22</v>
      </c>
      <c r="B32" s="0" t="s">
        <v>48</v>
      </c>
      <c r="C32" s="0" t="s">
        <v>50</v>
      </c>
      <c r="D32" s="0" t="s">
        <v>22</v>
      </c>
      <c r="E32" s="0" t="s">
        <v>4092</v>
      </c>
      <c r="F32" s="0" t="s">
        <v>1083</v>
      </c>
      <c r="G32" s="0" t="s">
        <v>1030</v>
      </c>
      <c r="H32" s="0" t="s">
        <v>1030</v>
      </c>
      <c r="I32" s="0" t="s">
        <v>1031</v>
      </c>
      <c r="J32" s="0" t="s">
        <v>1032</v>
      </c>
      <c r="K32" s="0" t="s">
        <v>1033</v>
      </c>
      <c r="L32" s="0" t="s">
        <v>1106</v>
      </c>
      <c r="M32" s="0" t="s">
        <v>1107</v>
      </c>
      <c r="N32" s="0" t="s">
        <v>106</v>
      </c>
      <c r="O32" s="0" t="s">
        <v>1030</v>
      </c>
      <c r="P32" s="0" t="s">
        <v>1030</v>
      </c>
      <c r="Q32" s="0" t="s">
        <v>1031</v>
      </c>
      <c r="R32" s="0" t="s">
        <v>1032</v>
      </c>
      <c r="S32" s="0" t="s">
        <v>1033</v>
      </c>
      <c r="T32" s="0" t="s">
        <v>4016</v>
      </c>
      <c r="U32" s="0" t="s">
        <v>4017</v>
      </c>
      <c r="V32" s="0" t="s">
        <v>4093</v>
      </c>
      <c r="W32" s="0" t="s">
        <v>4019</v>
      </c>
      <c r="X32" s="0" t="s">
        <v>4020</v>
      </c>
      <c r="Y32" s="0" t="s">
        <v>4021</v>
      </c>
      <c r="Z32" s="0" t="s">
        <v>4028</v>
      </c>
      <c r="AA32" s="0" t="s">
        <v>4029</v>
      </c>
      <c r="AB32" s="0" t="s">
        <v>4093</v>
      </c>
      <c r="AC32" s="0" t="s">
        <v>19</v>
      </c>
      <c r="AD32" s="0" t="s">
        <v>65</v>
      </c>
      <c r="AE32" s="0" t="s">
        <v>19</v>
      </c>
      <c r="AF32" s="0" t="s">
        <v>22</v>
      </c>
      <c r="AG32" s="0" t="s">
        <v>22</v>
      </c>
      <c r="AH32" s="0" t="s">
        <v>4082</v>
      </c>
      <c r="AI32" s="0" t="s">
        <v>4083</v>
      </c>
      <c r="AJ32" s="0" t="s">
        <v>4082</v>
      </c>
      <c r="AK32" s="0" t="s">
        <v>4083</v>
      </c>
      <c r="AL32" s="0" t="s">
        <v>22</v>
      </c>
    </row>
    <row customHeight="1" ht="11.25">
      <c r="A33" s="0" t="s">
        <v>22</v>
      </c>
      <c r="B33" s="0" t="s">
        <v>48</v>
      </c>
      <c r="C33" s="0" t="s">
        <v>50</v>
      </c>
      <c r="D33" s="0" t="s">
        <v>22</v>
      </c>
      <c r="E33" s="0" t="s">
        <v>4092</v>
      </c>
      <c r="F33" s="0" t="s">
        <v>1083</v>
      </c>
      <c r="G33" s="0" t="s">
        <v>1030</v>
      </c>
      <c r="H33" s="0" t="s">
        <v>1030</v>
      </c>
      <c r="I33" s="0" t="s">
        <v>1031</v>
      </c>
      <c r="J33" s="0" t="s">
        <v>1032</v>
      </c>
      <c r="K33" s="0" t="s">
        <v>1033</v>
      </c>
      <c r="L33" s="0" t="s">
        <v>1106</v>
      </c>
      <c r="M33" s="0" t="s">
        <v>1107</v>
      </c>
      <c r="N33" s="0" t="s">
        <v>106</v>
      </c>
      <c r="O33" s="0" t="s">
        <v>1030</v>
      </c>
      <c r="P33" s="0" t="s">
        <v>1030</v>
      </c>
      <c r="Q33" s="0" t="s">
        <v>1031</v>
      </c>
      <c r="R33" s="0" t="s">
        <v>1032</v>
      </c>
      <c r="S33" s="0" t="s">
        <v>1033</v>
      </c>
      <c r="T33" s="0" t="s">
        <v>4016</v>
      </c>
      <c r="U33" s="0" t="s">
        <v>4017</v>
      </c>
      <c r="V33" s="0" t="s">
        <v>4093</v>
      </c>
      <c r="W33" s="0" t="s">
        <v>4019</v>
      </c>
      <c r="X33" s="0" t="s">
        <v>4020</v>
      </c>
      <c r="Y33" s="0" t="s">
        <v>4021</v>
      </c>
      <c r="Z33" s="0" t="s">
        <v>4028</v>
      </c>
      <c r="AA33" s="0" t="s">
        <v>4029</v>
      </c>
      <c r="AB33" s="0" t="s">
        <v>4093</v>
      </c>
      <c r="AC33" s="0" t="s">
        <v>19</v>
      </c>
      <c r="AD33" s="0" t="s">
        <v>65</v>
      </c>
      <c r="AE33" s="0" t="s">
        <v>19</v>
      </c>
      <c r="AF33" s="0" t="s">
        <v>22</v>
      </c>
      <c r="AG33" s="0" t="s">
        <v>22</v>
      </c>
      <c r="AH33" s="0" t="s">
        <v>4082</v>
      </c>
      <c r="AI33" s="0" t="s">
        <v>4083</v>
      </c>
      <c r="AJ33" s="0" t="s">
        <v>4082</v>
      </c>
      <c r="AK33" s="0" t="s">
        <v>4083</v>
      </c>
      <c r="AL33" s="0" t="s">
        <v>22</v>
      </c>
    </row>
    <row customHeight="1" ht="11.25">
      <c r="A34" s="0" t="s">
        <v>22</v>
      </c>
      <c r="B34" s="0" t="s">
        <v>48</v>
      </c>
      <c r="C34" s="0" t="s">
        <v>50</v>
      </c>
      <c r="D34" s="0" t="s">
        <v>22</v>
      </c>
      <c r="E34" s="0" t="s">
        <v>4094</v>
      </c>
      <c r="F34" s="0" t="s">
        <v>1083</v>
      </c>
      <c r="G34" s="0" t="s">
        <v>1030</v>
      </c>
      <c r="H34" s="0" t="s">
        <v>1030</v>
      </c>
      <c r="I34" s="0" t="s">
        <v>1031</v>
      </c>
      <c r="J34" s="0" t="s">
        <v>1032</v>
      </c>
      <c r="K34" s="0" t="s">
        <v>1033</v>
      </c>
      <c r="L34" s="0" t="s">
        <v>1106</v>
      </c>
      <c r="M34" s="0" t="s">
        <v>1107</v>
      </c>
      <c r="N34" s="0" t="s">
        <v>106</v>
      </c>
      <c r="O34" s="0" t="s">
        <v>1030</v>
      </c>
      <c r="P34" s="0" t="s">
        <v>1030</v>
      </c>
      <c r="Q34" s="0" t="s">
        <v>1031</v>
      </c>
      <c r="R34" s="0" t="s">
        <v>1032</v>
      </c>
      <c r="S34" s="0" t="s">
        <v>1033</v>
      </c>
      <c r="T34" s="0" t="s">
        <v>4016</v>
      </c>
      <c r="U34" s="0" t="s">
        <v>4017</v>
      </c>
      <c r="V34" s="0" t="s">
        <v>4095</v>
      </c>
      <c r="W34" s="0" t="s">
        <v>4019</v>
      </c>
      <c r="X34" s="0" t="s">
        <v>4020</v>
      </c>
      <c r="Y34" s="0" t="s">
        <v>4021</v>
      </c>
      <c r="Z34" s="0" t="s">
        <v>4028</v>
      </c>
      <c r="AA34" s="0" t="s">
        <v>4029</v>
      </c>
      <c r="AB34" s="0" t="s">
        <v>4095</v>
      </c>
      <c r="AC34" s="0" t="s">
        <v>19</v>
      </c>
      <c r="AD34" s="0" t="s">
        <v>65</v>
      </c>
      <c r="AE34" s="0" t="s">
        <v>19</v>
      </c>
      <c r="AF34" s="0" t="s">
        <v>22</v>
      </c>
      <c r="AG34" s="0" t="s">
        <v>22</v>
      </c>
      <c r="AH34" s="0" t="s">
        <v>4082</v>
      </c>
      <c r="AI34" s="0" t="s">
        <v>4083</v>
      </c>
      <c r="AJ34" s="0" t="s">
        <v>4082</v>
      </c>
      <c r="AK34" s="0" t="s">
        <v>4083</v>
      </c>
      <c r="AL34" s="0" t="s">
        <v>22</v>
      </c>
    </row>
    <row customHeight="1" ht="11.25">
      <c r="A35" s="0" t="s">
        <v>22</v>
      </c>
      <c r="B35" s="0" t="s">
        <v>48</v>
      </c>
      <c r="C35" s="0" t="s">
        <v>50</v>
      </c>
      <c r="D35" s="0" t="s">
        <v>22</v>
      </c>
      <c r="E35" s="0" t="s">
        <v>4094</v>
      </c>
      <c r="F35" s="0" t="s">
        <v>1083</v>
      </c>
      <c r="G35" s="0" t="s">
        <v>1030</v>
      </c>
      <c r="H35" s="0" t="s">
        <v>1030</v>
      </c>
      <c r="I35" s="0" t="s">
        <v>1031</v>
      </c>
      <c r="J35" s="0" t="s">
        <v>1032</v>
      </c>
      <c r="K35" s="0" t="s">
        <v>1033</v>
      </c>
      <c r="L35" s="0" t="s">
        <v>1106</v>
      </c>
      <c r="M35" s="0" t="s">
        <v>1107</v>
      </c>
      <c r="N35" s="0" t="s">
        <v>106</v>
      </c>
      <c r="O35" s="0" t="s">
        <v>1030</v>
      </c>
      <c r="P35" s="0" t="s">
        <v>1030</v>
      </c>
      <c r="Q35" s="0" t="s">
        <v>1031</v>
      </c>
      <c r="R35" s="0" t="s">
        <v>1032</v>
      </c>
      <c r="S35" s="0" t="s">
        <v>1033</v>
      </c>
      <c r="T35" s="0" t="s">
        <v>4016</v>
      </c>
      <c r="U35" s="0" t="s">
        <v>4017</v>
      </c>
      <c r="V35" s="0" t="s">
        <v>4095</v>
      </c>
      <c r="W35" s="0" t="s">
        <v>4019</v>
      </c>
      <c r="X35" s="0" t="s">
        <v>4020</v>
      </c>
      <c r="Y35" s="0" t="s">
        <v>4021</v>
      </c>
      <c r="Z35" s="0" t="s">
        <v>4028</v>
      </c>
      <c r="AA35" s="0" t="s">
        <v>4029</v>
      </c>
      <c r="AB35" s="0" t="s">
        <v>4095</v>
      </c>
      <c r="AC35" s="0" t="s">
        <v>19</v>
      </c>
      <c r="AD35" s="0" t="s">
        <v>65</v>
      </c>
      <c r="AE35" s="0" t="s">
        <v>19</v>
      </c>
      <c r="AF35" s="0" t="s">
        <v>22</v>
      </c>
      <c r="AG35" s="0" t="s">
        <v>22</v>
      </c>
      <c r="AH35" s="0" t="s">
        <v>4082</v>
      </c>
      <c r="AI35" s="0" t="s">
        <v>4083</v>
      </c>
      <c r="AJ35" s="0" t="s">
        <v>4082</v>
      </c>
      <c r="AK35" s="0" t="s">
        <v>4083</v>
      </c>
      <c r="AL35" s="0" t="s">
        <v>22</v>
      </c>
    </row>
    <row customHeight="1" ht="11.25">
      <c r="A36" s="0" t="s">
        <v>22</v>
      </c>
      <c r="B36" s="0" t="s">
        <v>48</v>
      </c>
      <c r="C36" s="0" t="s">
        <v>50</v>
      </c>
      <c r="D36" s="0" t="s">
        <v>22</v>
      </c>
      <c r="E36" s="0" t="s">
        <v>1105</v>
      </c>
      <c r="F36" s="0" t="s">
        <v>1083</v>
      </c>
      <c r="G36" s="0" t="s">
        <v>1030</v>
      </c>
      <c r="H36" s="0" t="s">
        <v>1030</v>
      </c>
      <c r="I36" s="0" t="s">
        <v>1031</v>
      </c>
      <c r="J36" s="0" t="s">
        <v>1032</v>
      </c>
      <c r="K36" s="0" t="s">
        <v>1033</v>
      </c>
      <c r="L36" s="0" t="s">
        <v>1106</v>
      </c>
      <c r="M36" s="0" t="s">
        <v>1107</v>
      </c>
      <c r="N36" s="0" t="s">
        <v>106</v>
      </c>
      <c r="O36" s="0" t="s">
        <v>1030</v>
      </c>
      <c r="P36" s="0" t="s">
        <v>1030</v>
      </c>
      <c r="Q36" s="0" t="s">
        <v>1031</v>
      </c>
      <c r="R36" s="0" t="s">
        <v>1032</v>
      </c>
      <c r="S36" s="0" t="s">
        <v>1033</v>
      </c>
      <c r="T36" s="0" t="s">
        <v>4016</v>
      </c>
      <c r="U36" s="0" t="s">
        <v>4017</v>
      </c>
      <c r="V36" s="0" t="s">
        <v>4096</v>
      </c>
      <c r="W36" s="0" t="s">
        <v>4019</v>
      </c>
      <c r="X36" s="0" t="s">
        <v>4020</v>
      </c>
      <c r="Y36" s="0" t="s">
        <v>4021</v>
      </c>
      <c r="Z36" s="0" t="s">
        <v>4028</v>
      </c>
      <c r="AA36" s="0" t="s">
        <v>4029</v>
      </c>
      <c r="AB36" s="0" t="s">
        <v>4096</v>
      </c>
      <c r="AC36" s="0" t="s">
        <v>19</v>
      </c>
      <c r="AD36" s="0" t="s">
        <v>65</v>
      </c>
      <c r="AE36" s="0" t="s">
        <v>19</v>
      </c>
      <c r="AF36" s="0" t="s">
        <v>22</v>
      </c>
      <c r="AG36" s="0" t="s">
        <v>22</v>
      </c>
      <c r="AH36" s="0" t="s">
        <v>4082</v>
      </c>
      <c r="AI36" s="0" t="s">
        <v>4083</v>
      </c>
      <c r="AJ36" s="0" t="s">
        <v>4082</v>
      </c>
      <c r="AK36" s="0" t="s">
        <v>4083</v>
      </c>
      <c r="AL36" s="0" t="s">
        <v>22</v>
      </c>
    </row>
    <row customHeight="1" ht="11.25">
      <c r="A37" s="0" t="s">
        <v>22</v>
      </c>
      <c r="B37" s="0" t="s">
        <v>48</v>
      </c>
      <c r="C37" s="0" t="s">
        <v>50</v>
      </c>
      <c r="D37" s="0" t="s">
        <v>22</v>
      </c>
      <c r="E37" s="0" t="s">
        <v>1105</v>
      </c>
      <c r="F37" s="0" t="s">
        <v>1083</v>
      </c>
      <c r="G37" s="0" t="s">
        <v>1030</v>
      </c>
      <c r="H37" s="0" t="s">
        <v>1030</v>
      </c>
      <c r="I37" s="0" t="s">
        <v>1031</v>
      </c>
      <c r="J37" s="0" t="s">
        <v>1032</v>
      </c>
      <c r="K37" s="0" t="s">
        <v>1033</v>
      </c>
      <c r="L37" s="0" t="s">
        <v>1106</v>
      </c>
      <c r="M37" s="0" t="s">
        <v>1107</v>
      </c>
      <c r="N37" s="0" t="s">
        <v>106</v>
      </c>
      <c r="O37" s="0" t="s">
        <v>1030</v>
      </c>
      <c r="P37" s="0" t="s">
        <v>1030</v>
      </c>
      <c r="Q37" s="0" t="s">
        <v>1031</v>
      </c>
      <c r="R37" s="0" t="s">
        <v>1032</v>
      </c>
      <c r="S37" s="0" t="s">
        <v>1033</v>
      </c>
      <c r="T37" s="0" t="s">
        <v>4016</v>
      </c>
      <c r="U37" s="0" t="s">
        <v>4017</v>
      </c>
      <c r="V37" s="0" t="s">
        <v>4096</v>
      </c>
      <c r="W37" s="0" t="s">
        <v>4019</v>
      </c>
      <c r="X37" s="0" t="s">
        <v>4020</v>
      </c>
      <c r="Y37" s="0" t="s">
        <v>4021</v>
      </c>
      <c r="Z37" s="0" t="s">
        <v>4028</v>
      </c>
      <c r="AA37" s="0" t="s">
        <v>4029</v>
      </c>
      <c r="AB37" s="0" t="s">
        <v>4096</v>
      </c>
      <c r="AC37" s="0" t="s">
        <v>19</v>
      </c>
      <c r="AD37" s="0" t="s">
        <v>65</v>
      </c>
      <c r="AE37" s="0" t="s">
        <v>19</v>
      </c>
      <c r="AF37" s="0" t="s">
        <v>22</v>
      </c>
      <c r="AG37" s="0" t="s">
        <v>22</v>
      </c>
      <c r="AH37" s="0" t="s">
        <v>4082</v>
      </c>
      <c r="AI37" s="0" t="s">
        <v>4083</v>
      </c>
      <c r="AJ37" s="0" t="s">
        <v>4082</v>
      </c>
      <c r="AK37" s="0" t="s">
        <v>4083</v>
      </c>
      <c r="AL37" s="0" t="s">
        <v>22</v>
      </c>
    </row>
    <row customHeight="1" ht="11.25">
      <c r="A38" s="0" t="s">
        <v>22</v>
      </c>
      <c r="B38" s="0" t="s">
        <v>48</v>
      </c>
      <c r="C38" s="0" t="s">
        <v>50</v>
      </c>
      <c r="D38" s="0" t="s">
        <v>22</v>
      </c>
      <c r="E38" s="0" t="s">
        <v>4097</v>
      </c>
      <c r="F38" s="0" t="s">
        <v>1029</v>
      </c>
      <c r="G38" s="0" t="s">
        <v>1030</v>
      </c>
      <c r="H38" s="0" t="s">
        <v>1030</v>
      </c>
      <c r="I38" s="0" t="s">
        <v>1031</v>
      </c>
      <c r="J38" s="0" t="s">
        <v>1032</v>
      </c>
      <c r="K38" s="0" t="s">
        <v>1033</v>
      </c>
      <c r="L38" s="0" t="s">
        <v>4098</v>
      </c>
      <c r="M38" s="0" t="s">
        <v>4099</v>
      </c>
      <c r="N38" s="0" t="s">
        <v>106</v>
      </c>
      <c r="O38" s="0" t="s">
        <v>1030</v>
      </c>
      <c r="P38" s="0" t="s">
        <v>1030</v>
      </c>
      <c r="Q38" s="0" t="s">
        <v>1031</v>
      </c>
      <c r="R38" s="0" t="s">
        <v>1032</v>
      </c>
      <c r="S38" s="0" t="s">
        <v>1033</v>
      </c>
      <c r="T38" s="0" t="s">
        <v>4016</v>
      </c>
      <c r="U38" s="0" t="s">
        <v>4017</v>
      </c>
      <c r="V38" s="0" t="s">
        <v>4057</v>
      </c>
      <c r="W38" s="0" t="s">
        <v>4019</v>
      </c>
      <c r="X38" s="0" t="s">
        <v>4020</v>
      </c>
      <c r="Y38" s="0" t="s">
        <v>4021</v>
      </c>
      <c r="Z38" s="0" t="s">
        <v>4100</v>
      </c>
      <c r="AA38" s="0" t="s">
        <v>4101</v>
      </c>
      <c r="AB38" s="0" t="s">
        <v>4057</v>
      </c>
      <c r="AC38" s="0" t="s">
        <v>65</v>
      </c>
      <c r="AD38" s="0" t="s">
        <v>19</v>
      </c>
      <c r="AE38" s="0" t="s">
        <v>19</v>
      </c>
      <c r="AF38" s="0" t="s">
        <v>4102</v>
      </c>
      <c r="AG38" s="0" t="s">
        <v>4103</v>
      </c>
      <c r="AH38" s="0" t="s">
        <v>22</v>
      </c>
      <c r="AI38" s="0" t="s">
        <v>22</v>
      </c>
      <c r="AJ38" s="0" t="s">
        <v>22</v>
      </c>
      <c r="AK38" s="0" t="s">
        <v>22</v>
      </c>
      <c r="AL38" s="0" t="s">
        <v>4036</v>
      </c>
    </row>
    <row customHeight="1" ht="11.25">
      <c r="A39" s="0" t="s">
        <v>22</v>
      </c>
      <c r="B39" s="0" t="s">
        <v>48</v>
      </c>
      <c r="C39" s="0" t="s">
        <v>50</v>
      </c>
      <c r="D39" s="0" t="s">
        <v>22</v>
      </c>
      <c r="E39" s="0" t="s">
        <v>4097</v>
      </c>
      <c r="F39" s="0" t="s">
        <v>1029</v>
      </c>
      <c r="G39" s="0" t="s">
        <v>1030</v>
      </c>
      <c r="H39" s="0" t="s">
        <v>1030</v>
      </c>
      <c r="I39" s="0" t="s">
        <v>1031</v>
      </c>
      <c r="J39" s="0" t="s">
        <v>1032</v>
      </c>
      <c r="K39" s="0" t="s">
        <v>1033</v>
      </c>
      <c r="L39" s="0" t="s">
        <v>4098</v>
      </c>
      <c r="M39" s="0" t="s">
        <v>4099</v>
      </c>
      <c r="N39" s="0" t="s">
        <v>106</v>
      </c>
      <c r="O39" s="0" t="s">
        <v>1030</v>
      </c>
      <c r="P39" s="0" t="s">
        <v>1030</v>
      </c>
      <c r="Q39" s="0" t="s">
        <v>1031</v>
      </c>
      <c r="R39" s="0" t="s">
        <v>1032</v>
      </c>
      <c r="S39" s="0" t="s">
        <v>1033</v>
      </c>
      <c r="T39" s="0" t="s">
        <v>4016</v>
      </c>
      <c r="U39" s="0" t="s">
        <v>4017</v>
      </c>
      <c r="V39" s="0" t="s">
        <v>4057</v>
      </c>
      <c r="W39" s="0" t="s">
        <v>4019</v>
      </c>
      <c r="X39" s="0" t="s">
        <v>4020</v>
      </c>
      <c r="Y39" s="0" t="s">
        <v>4021</v>
      </c>
      <c r="Z39" s="0" t="s">
        <v>4100</v>
      </c>
      <c r="AA39" s="0" t="s">
        <v>4101</v>
      </c>
      <c r="AB39" s="0" t="s">
        <v>4057</v>
      </c>
      <c r="AC39" s="0" t="s">
        <v>65</v>
      </c>
      <c r="AD39" s="0" t="s">
        <v>19</v>
      </c>
      <c r="AE39" s="0" t="s">
        <v>19</v>
      </c>
      <c r="AF39" s="0" t="s">
        <v>4102</v>
      </c>
      <c r="AG39" s="0" t="s">
        <v>4103</v>
      </c>
      <c r="AH39" s="0" t="s">
        <v>22</v>
      </c>
      <c r="AI39" s="0" t="s">
        <v>22</v>
      </c>
      <c r="AJ39" s="0" t="s">
        <v>22</v>
      </c>
      <c r="AK39" s="0" t="s">
        <v>22</v>
      </c>
      <c r="AL39" s="0" t="s">
        <v>4104</v>
      </c>
    </row>
    <row customHeight="1" ht="11.25">
      <c r="A40" s="0" t="s">
        <v>22</v>
      </c>
      <c r="B40" s="0" t="s">
        <v>48</v>
      </c>
      <c r="C40" s="0" t="s">
        <v>50</v>
      </c>
      <c r="D40" s="0" t="s">
        <v>22</v>
      </c>
      <c r="E40" s="0" t="s">
        <v>4105</v>
      </c>
      <c r="F40" s="0" t="s">
        <v>1042</v>
      </c>
      <c r="G40" s="0" t="s">
        <v>3486</v>
      </c>
      <c r="H40" s="0" t="s">
        <v>3488</v>
      </c>
      <c r="I40" s="0" t="s">
        <v>3489</v>
      </c>
      <c r="J40" s="0" t="s">
        <v>4106</v>
      </c>
      <c r="K40" s="0" t="s">
        <v>4107</v>
      </c>
      <c r="L40" s="0" t="s">
        <v>4108</v>
      </c>
      <c r="M40" s="0" t="s">
        <v>4109</v>
      </c>
      <c r="N40" s="0" t="s">
        <v>106</v>
      </c>
      <c r="O40" s="0" t="s">
        <v>3486</v>
      </c>
      <c r="P40" s="0" t="s">
        <v>3488</v>
      </c>
      <c r="Q40" s="0" t="s">
        <v>3489</v>
      </c>
      <c r="R40" s="0" t="s">
        <v>4106</v>
      </c>
      <c r="S40" s="0" t="s">
        <v>4107</v>
      </c>
      <c r="T40" s="0" t="s">
        <v>4016</v>
      </c>
      <c r="U40" s="0" t="s">
        <v>4017</v>
      </c>
      <c r="V40" s="0" t="s">
        <v>4110</v>
      </c>
      <c r="W40" s="0" t="s">
        <v>4019</v>
      </c>
      <c r="X40" s="0" t="s">
        <v>4111</v>
      </c>
      <c r="Y40" s="0" t="s">
        <v>4021</v>
      </c>
      <c r="Z40" s="0" t="s">
        <v>4112</v>
      </c>
      <c r="AA40" s="0" t="s">
        <v>4113</v>
      </c>
      <c r="AB40" s="0" t="s">
        <v>4110</v>
      </c>
      <c r="AC40" s="0" t="s">
        <v>65</v>
      </c>
      <c r="AD40" s="0" t="s">
        <v>65</v>
      </c>
      <c r="AE40" s="0" t="s">
        <v>19</v>
      </c>
      <c r="AF40" s="0" t="s">
        <v>4114</v>
      </c>
      <c r="AG40" s="0" t="s">
        <v>4115</v>
      </c>
      <c r="AH40" s="0" t="s">
        <v>4114</v>
      </c>
      <c r="AI40" s="0" t="s">
        <v>4115</v>
      </c>
      <c r="AJ40" s="0" t="s">
        <v>4114</v>
      </c>
      <c r="AK40" s="0" t="s">
        <v>4115</v>
      </c>
      <c r="AL40" s="0" t="s">
        <v>4104</v>
      </c>
    </row>
    <row customHeight="1" ht="11.25">
      <c r="A41" s="0" t="s">
        <v>22</v>
      </c>
      <c r="B41" s="0" t="s">
        <v>48</v>
      </c>
      <c r="C41" s="0" t="s">
        <v>50</v>
      </c>
      <c r="D41" s="0" t="s">
        <v>22</v>
      </c>
      <c r="E41" s="0" t="s">
        <v>4116</v>
      </c>
      <c r="F41" s="0" t="s">
        <v>1029</v>
      </c>
      <c r="G41" s="0" t="s">
        <v>3486</v>
      </c>
      <c r="H41" s="0" t="s">
        <v>3488</v>
      </c>
      <c r="I41" s="0" t="s">
        <v>3489</v>
      </c>
      <c r="J41" s="0" t="s">
        <v>4106</v>
      </c>
      <c r="K41" s="0" t="s">
        <v>4107</v>
      </c>
      <c r="L41" s="0" t="s">
        <v>4117</v>
      </c>
      <c r="M41" s="0" t="s">
        <v>1118</v>
      </c>
      <c r="N41" s="0" t="s">
        <v>106</v>
      </c>
      <c r="O41" s="0" t="s">
        <v>3486</v>
      </c>
      <c r="P41" s="0" t="s">
        <v>3488</v>
      </c>
      <c r="Q41" s="0" t="s">
        <v>3489</v>
      </c>
      <c r="R41" s="0" t="s">
        <v>4106</v>
      </c>
      <c r="S41" s="0" t="s">
        <v>4107</v>
      </c>
      <c r="T41" s="0" t="s">
        <v>4016</v>
      </c>
      <c r="U41" s="0" t="s">
        <v>4017</v>
      </c>
      <c r="V41" s="0" t="s">
        <v>4118</v>
      </c>
      <c r="W41" s="0" t="s">
        <v>4019</v>
      </c>
      <c r="X41" s="0" t="s">
        <v>4111</v>
      </c>
      <c r="Y41" s="0" t="s">
        <v>4021</v>
      </c>
      <c r="Z41" s="0" t="s">
        <v>4119</v>
      </c>
      <c r="AA41" s="0" t="s">
        <v>4120</v>
      </c>
      <c r="AB41" s="0" t="s">
        <v>4118</v>
      </c>
      <c r="AC41" s="0" t="s">
        <v>65</v>
      </c>
      <c r="AD41" s="0" t="s">
        <v>19</v>
      </c>
      <c r="AE41" s="0" t="s">
        <v>19</v>
      </c>
      <c r="AF41" s="0" t="s">
        <v>4121</v>
      </c>
      <c r="AG41" s="0" t="s">
        <v>4122</v>
      </c>
      <c r="AH41" s="0" t="s">
        <v>22</v>
      </c>
      <c r="AI41" s="0" t="s">
        <v>22</v>
      </c>
      <c r="AJ41" s="0" t="s">
        <v>22</v>
      </c>
      <c r="AK41" s="0" t="s">
        <v>22</v>
      </c>
      <c r="AL41" s="0" t="s">
        <v>4051</v>
      </c>
    </row>
    <row customHeight="1" ht="11.25">
      <c r="A42" s="0" t="s">
        <v>22</v>
      </c>
      <c r="B42" s="0" t="s">
        <v>48</v>
      </c>
      <c r="C42" s="0" t="s">
        <v>50</v>
      </c>
      <c r="D42" s="0" t="s">
        <v>22</v>
      </c>
      <c r="E42" s="0" t="s">
        <v>4116</v>
      </c>
      <c r="F42" s="0" t="s">
        <v>1042</v>
      </c>
      <c r="G42" s="0" t="s">
        <v>3486</v>
      </c>
      <c r="H42" s="0" t="s">
        <v>3488</v>
      </c>
      <c r="I42" s="0" t="s">
        <v>3489</v>
      </c>
      <c r="J42" s="0" t="s">
        <v>4106</v>
      </c>
      <c r="K42" s="0" t="s">
        <v>4107</v>
      </c>
      <c r="L42" s="0" t="s">
        <v>4117</v>
      </c>
      <c r="M42" s="0" t="s">
        <v>1118</v>
      </c>
      <c r="N42" s="0" t="s">
        <v>106</v>
      </c>
      <c r="O42" s="0" t="s">
        <v>3486</v>
      </c>
      <c r="P42" s="0" t="s">
        <v>3488</v>
      </c>
      <c r="Q42" s="0" t="s">
        <v>3489</v>
      </c>
      <c r="R42" s="0" t="s">
        <v>4106</v>
      </c>
      <c r="S42" s="0" t="s">
        <v>4107</v>
      </c>
      <c r="T42" s="0" t="s">
        <v>4123</v>
      </c>
      <c r="U42" s="0" t="s">
        <v>4124</v>
      </c>
      <c r="V42" s="0" t="s">
        <v>4125</v>
      </c>
      <c r="W42" s="0" t="s">
        <v>4019</v>
      </c>
      <c r="X42" s="0" t="s">
        <v>4111</v>
      </c>
      <c r="Y42" s="0" t="s">
        <v>4126</v>
      </c>
      <c r="Z42" s="0" t="s">
        <v>4127</v>
      </c>
      <c r="AA42" s="0" t="s">
        <v>4128</v>
      </c>
      <c r="AB42" s="0" t="s">
        <v>4125</v>
      </c>
      <c r="AC42" s="0" t="s">
        <v>65</v>
      </c>
      <c r="AD42" s="0" t="s">
        <v>19</v>
      </c>
      <c r="AE42" s="0" t="s">
        <v>19</v>
      </c>
      <c r="AF42" s="0" t="s">
        <v>4121</v>
      </c>
      <c r="AG42" s="0" t="s">
        <v>3382</v>
      </c>
      <c r="AH42" s="0" t="s">
        <v>3596</v>
      </c>
      <c r="AI42" s="0" t="s">
        <v>3382</v>
      </c>
      <c r="AJ42" s="0" t="s">
        <v>3596</v>
      </c>
      <c r="AK42" s="0" t="s">
        <v>3382</v>
      </c>
      <c r="AL42" s="0" t="s">
        <v>4051</v>
      </c>
    </row>
    <row customHeight="1" ht="11.25">
      <c r="A43" s="0" t="s">
        <v>22</v>
      </c>
      <c r="B43" s="0" t="s">
        <v>48</v>
      </c>
      <c r="C43" s="0" t="s">
        <v>50</v>
      </c>
      <c r="D43" s="0" t="s">
        <v>22</v>
      </c>
      <c r="E43" s="0" t="s">
        <v>4129</v>
      </c>
      <c r="F43" s="0" t="s">
        <v>1083</v>
      </c>
      <c r="G43" s="0" t="s">
        <v>3486</v>
      </c>
      <c r="H43" s="0" t="s">
        <v>3488</v>
      </c>
      <c r="I43" s="0" t="s">
        <v>3489</v>
      </c>
      <c r="J43" s="0" t="s">
        <v>4106</v>
      </c>
      <c r="K43" s="0" t="s">
        <v>4107</v>
      </c>
      <c r="L43" s="0" t="s">
        <v>4130</v>
      </c>
      <c r="M43" s="0" t="s">
        <v>1118</v>
      </c>
      <c r="N43" s="0" t="s">
        <v>106</v>
      </c>
      <c r="O43" s="0" t="s">
        <v>3486</v>
      </c>
      <c r="P43" s="0" t="s">
        <v>3488</v>
      </c>
      <c r="Q43" s="0" t="s">
        <v>3489</v>
      </c>
      <c r="R43" s="0" t="s">
        <v>4106</v>
      </c>
      <c r="S43" s="0" t="s">
        <v>4107</v>
      </c>
      <c r="T43" s="0" t="s">
        <v>4016</v>
      </c>
      <c r="U43" s="0" t="s">
        <v>4131</v>
      </c>
      <c r="V43" s="0" t="s">
        <v>4132</v>
      </c>
      <c r="W43" s="0" t="s">
        <v>4019</v>
      </c>
      <c r="X43" s="0" t="s">
        <v>4111</v>
      </c>
      <c r="Y43" s="0" t="s">
        <v>4131</v>
      </c>
      <c r="Z43" s="0" t="s">
        <v>4133</v>
      </c>
      <c r="AA43" s="0" t="s">
        <v>4134</v>
      </c>
      <c r="AB43" s="0" t="s">
        <v>4132</v>
      </c>
      <c r="AC43" s="0" t="s">
        <v>19</v>
      </c>
      <c r="AD43" s="0" t="s">
        <v>65</v>
      </c>
      <c r="AE43" s="0" t="s">
        <v>19</v>
      </c>
      <c r="AF43" s="0" t="s">
        <v>22</v>
      </c>
      <c r="AG43" s="0" t="s">
        <v>22</v>
      </c>
      <c r="AH43" s="0" t="s">
        <v>4121</v>
      </c>
      <c r="AI43" s="0" t="s">
        <v>4135</v>
      </c>
      <c r="AJ43" s="0" t="s">
        <v>4121</v>
      </c>
      <c r="AK43" s="0" t="s">
        <v>4135</v>
      </c>
      <c r="AL43" s="0" t="s">
        <v>22</v>
      </c>
    </row>
    <row customHeight="1" ht="11.25">
      <c r="A44" s="0" t="s">
        <v>22</v>
      </c>
      <c r="B44" s="0" t="s">
        <v>48</v>
      </c>
      <c r="C44" s="0" t="s">
        <v>50</v>
      </c>
      <c r="D44" s="0" t="s">
        <v>22</v>
      </c>
      <c r="E44" s="0" t="s">
        <v>4129</v>
      </c>
      <c r="F44" s="0" t="s">
        <v>1083</v>
      </c>
      <c r="G44" s="0" t="s">
        <v>3486</v>
      </c>
      <c r="H44" s="0" t="s">
        <v>3488</v>
      </c>
      <c r="I44" s="0" t="s">
        <v>3489</v>
      </c>
      <c r="J44" s="0" t="s">
        <v>4106</v>
      </c>
      <c r="K44" s="0" t="s">
        <v>4107</v>
      </c>
      <c r="L44" s="0" t="s">
        <v>4130</v>
      </c>
      <c r="M44" s="0" t="s">
        <v>1118</v>
      </c>
      <c r="N44" s="0" t="s">
        <v>106</v>
      </c>
      <c r="O44" s="0" t="s">
        <v>3486</v>
      </c>
      <c r="P44" s="0" t="s">
        <v>3488</v>
      </c>
      <c r="Q44" s="0" t="s">
        <v>3489</v>
      </c>
      <c r="R44" s="0" t="s">
        <v>4106</v>
      </c>
      <c r="S44" s="0" t="s">
        <v>4107</v>
      </c>
      <c r="T44" s="0" t="s">
        <v>4016</v>
      </c>
      <c r="U44" s="0" t="s">
        <v>4131</v>
      </c>
      <c r="V44" s="0" t="s">
        <v>4132</v>
      </c>
      <c r="W44" s="0" t="s">
        <v>4019</v>
      </c>
      <c r="X44" s="0" t="s">
        <v>4111</v>
      </c>
      <c r="Y44" s="0" t="s">
        <v>4131</v>
      </c>
      <c r="Z44" s="0" t="s">
        <v>4133</v>
      </c>
      <c r="AA44" s="0" t="s">
        <v>4134</v>
      </c>
      <c r="AB44" s="0" t="s">
        <v>4132</v>
      </c>
      <c r="AC44" s="0" t="s">
        <v>19</v>
      </c>
      <c r="AD44" s="0" t="s">
        <v>65</v>
      </c>
      <c r="AE44" s="0" t="s">
        <v>19</v>
      </c>
      <c r="AF44" s="0" t="s">
        <v>22</v>
      </c>
      <c r="AG44" s="0" t="s">
        <v>22</v>
      </c>
      <c r="AH44" s="0" t="s">
        <v>4121</v>
      </c>
      <c r="AI44" s="0" t="s">
        <v>4122</v>
      </c>
      <c r="AJ44" s="0" t="s">
        <v>4121</v>
      </c>
      <c r="AK44" s="0" t="s">
        <v>4122</v>
      </c>
      <c r="AL44" s="0" t="s">
        <v>22</v>
      </c>
    </row>
    <row customHeight="1" ht="11.25">
      <c r="A45" s="0" t="s">
        <v>22</v>
      </c>
      <c r="B45" s="0" t="s">
        <v>48</v>
      </c>
      <c r="C45" s="0" t="s">
        <v>50</v>
      </c>
      <c r="D45" s="0" t="s">
        <v>22</v>
      </c>
      <c r="E45" s="0" t="s">
        <v>4136</v>
      </c>
      <c r="F45" s="0" t="s">
        <v>1029</v>
      </c>
      <c r="G45" s="0" t="s">
        <v>3486</v>
      </c>
      <c r="H45" s="0" t="s">
        <v>3488</v>
      </c>
      <c r="I45" s="0" t="s">
        <v>3489</v>
      </c>
      <c r="J45" s="0" t="s">
        <v>4106</v>
      </c>
      <c r="K45" s="0" t="s">
        <v>4107</v>
      </c>
      <c r="L45" s="0" t="s">
        <v>4108</v>
      </c>
      <c r="M45" s="0" t="s">
        <v>4109</v>
      </c>
      <c r="N45" s="0" t="s">
        <v>106</v>
      </c>
      <c r="O45" s="0" t="s">
        <v>3486</v>
      </c>
      <c r="P45" s="0" t="s">
        <v>3488</v>
      </c>
      <c r="Q45" s="0" t="s">
        <v>3489</v>
      </c>
      <c r="R45" s="0" t="s">
        <v>4106</v>
      </c>
      <c r="S45" s="0" t="s">
        <v>4107</v>
      </c>
      <c r="T45" s="0" t="s">
        <v>4123</v>
      </c>
      <c r="U45" s="0" t="s">
        <v>4124</v>
      </c>
      <c r="V45" s="0" t="s">
        <v>4125</v>
      </c>
      <c r="W45" s="0" t="s">
        <v>4019</v>
      </c>
      <c r="X45" s="0" t="s">
        <v>4111</v>
      </c>
      <c r="Y45" s="0" t="s">
        <v>4126</v>
      </c>
      <c r="Z45" s="0" t="s">
        <v>4127</v>
      </c>
      <c r="AA45" s="0" t="s">
        <v>4128</v>
      </c>
      <c r="AB45" s="0" t="s">
        <v>4125</v>
      </c>
      <c r="AC45" s="0" t="s">
        <v>65</v>
      </c>
      <c r="AD45" s="0" t="s">
        <v>19</v>
      </c>
      <c r="AE45" s="0" t="s">
        <v>19</v>
      </c>
      <c r="AF45" s="0" t="s">
        <v>4114</v>
      </c>
      <c r="AG45" s="0" t="s">
        <v>1211</v>
      </c>
      <c r="AH45" s="0" t="s">
        <v>22</v>
      </c>
      <c r="AI45" s="0" t="s">
        <v>22</v>
      </c>
      <c r="AJ45" s="0" t="s">
        <v>22</v>
      </c>
      <c r="AK45" s="0" t="s">
        <v>22</v>
      </c>
      <c r="AL45" s="0" t="s">
        <v>4104</v>
      </c>
    </row>
    <row customHeight="1" ht="11.25">
      <c r="A46" s="0" t="s">
        <v>22</v>
      </c>
      <c r="B46" s="0" t="s">
        <v>48</v>
      </c>
      <c r="C46" s="0" t="s">
        <v>50</v>
      </c>
      <c r="D46" s="0" t="s">
        <v>22</v>
      </c>
      <c r="E46" s="0" t="s">
        <v>4137</v>
      </c>
      <c r="F46" s="0" t="s">
        <v>1042</v>
      </c>
      <c r="G46" s="0" t="s">
        <v>1074</v>
      </c>
      <c r="H46" s="0" t="s">
        <v>1075</v>
      </c>
      <c r="I46" s="0" t="s">
        <v>1076</v>
      </c>
      <c r="J46" s="0" t="s">
        <v>1077</v>
      </c>
      <c r="K46" s="0" t="s">
        <v>1078</v>
      </c>
      <c r="L46" s="0" t="s">
        <v>4138</v>
      </c>
      <c r="M46" s="0" t="s">
        <v>4139</v>
      </c>
      <c r="N46" s="0" t="s">
        <v>106</v>
      </c>
      <c r="O46" s="0" t="s">
        <v>1074</v>
      </c>
      <c r="P46" s="0" t="s">
        <v>1075</v>
      </c>
      <c r="Q46" s="0" t="s">
        <v>1076</v>
      </c>
      <c r="R46" s="0" t="s">
        <v>1077</v>
      </c>
      <c r="S46" s="0" t="s">
        <v>1078</v>
      </c>
      <c r="T46" s="0" t="s">
        <v>4140</v>
      </c>
      <c r="U46" s="0" t="s">
        <v>4141</v>
      </c>
      <c r="V46" s="0" t="s">
        <v>4142</v>
      </c>
      <c r="W46" s="0" t="s">
        <v>4019</v>
      </c>
      <c r="X46" s="0" t="s">
        <v>4143</v>
      </c>
      <c r="Y46" s="0" t="s">
        <v>4141</v>
      </c>
      <c r="Z46" s="0" t="s">
        <v>4144</v>
      </c>
      <c r="AA46" s="0" t="s">
        <v>4145</v>
      </c>
      <c r="AB46" s="0" t="s">
        <v>4142</v>
      </c>
      <c r="AC46" s="0" t="s">
        <v>65</v>
      </c>
      <c r="AD46" s="0" t="s">
        <v>65</v>
      </c>
      <c r="AE46" s="0" t="s">
        <v>65</v>
      </c>
      <c r="AF46" s="0" t="s">
        <v>4146</v>
      </c>
      <c r="AG46" s="0" t="s">
        <v>4147</v>
      </c>
      <c r="AH46" s="0" t="s">
        <v>4146</v>
      </c>
      <c r="AI46" s="0" t="s">
        <v>4147</v>
      </c>
      <c r="AJ46" s="0" t="s">
        <v>4146</v>
      </c>
      <c r="AK46" s="0" t="s">
        <v>4147</v>
      </c>
      <c r="AL46" s="0" t="s">
        <v>4148</v>
      </c>
    </row>
    <row customHeight="1" ht="11.25">
      <c r="A47" s="0" t="s">
        <v>22</v>
      </c>
      <c r="B47" s="0" t="s">
        <v>48</v>
      </c>
      <c r="C47" s="0" t="s">
        <v>50</v>
      </c>
      <c r="D47" s="0" t="s">
        <v>22</v>
      </c>
      <c r="E47" s="0" t="s">
        <v>4137</v>
      </c>
      <c r="F47" s="0" t="s">
        <v>1042</v>
      </c>
      <c r="G47" s="0" t="s">
        <v>1074</v>
      </c>
      <c r="H47" s="0" t="s">
        <v>1075</v>
      </c>
      <c r="I47" s="0" t="s">
        <v>1076</v>
      </c>
      <c r="J47" s="0" t="s">
        <v>1077</v>
      </c>
      <c r="K47" s="0" t="s">
        <v>1078</v>
      </c>
      <c r="L47" s="0" t="s">
        <v>4138</v>
      </c>
      <c r="M47" s="0" t="s">
        <v>4139</v>
      </c>
      <c r="N47" s="0" t="s">
        <v>106</v>
      </c>
      <c r="O47" s="0" t="s">
        <v>1074</v>
      </c>
      <c r="P47" s="0" t="s">
        <v>1075</v>
      </c>
      <c r="Q47" s="0" t="s">
        <v>1076</v>
      </c>
      <c r="R47" s="0" t="s">
        <v>1077</v>
      </c>
      <c r="S47" s="0" t="s">
        <v>1078</v>
      </c>
      <c r="T47" s="0" t="s">
        <v>4140</v>
      </c>
      <c r="U47" s="0" t="s">
        <v>4141</v>
      </c>
      <c r="V47" s="0" t="s">
        <v>4142</v>
      </c>
      <c r="W47" s="0" t="s">
        <v>4019</v>
      </c>
      <c r="X47" s="0" t="s">
        <v>4143</v>
      </c>
      <c r="Y47" s="0" t="s">
        <v>4141</v>
      </c>
      <c r="Z47" s="0" t="s">
        <v>4144</v>
      </c>
      <c r="AA47" s="0" t="s">
        <v>4145</v>
      </c>
      <c r="AB47" s="0" t="s">
        <v>4142</v>
      </c>
      <c r="AC47" s="0" t="s">
        <v>65</v>
      </c>
      <c r="AD47" s="0" t="s">
        <v>65</v>
      </c>
      <c r="AE47" s="0" t="s">
        <v>65</v>
      </c>
      <c r="AF47" s="0" t="s">
        <v>4146</v>
      </c>
      <c r="AG47" s="0" t="s">
        <v>4147</v>
      </c>
      <c r="AH47" s="0" t="s">
        <v>4146</v>
      </c>
      <c r="AI47" s="0" t="s">
        <v>4147</v>
      </c>
      <c r="AJ47" s="0" t="s">
        <v>4146</v>
      </c>
      <c r="AK47" s="0" t="s">
        <v>4147</v>
      </c>
      <c r="AL47" s="0" t="s">
        <v>4148</v>
      </c>
    </row>
    <row customHeight="1" ht="11.25">
      <c r="A48" s="0" t="s">
        <v>22</v>
      </c>
      <c r="B48" s="0" t="s">
        <v>48</v>
      </c>
      <c r="C48" s="0" t="s">
        <v>50</v>
      </c>
      <c r="D48" s="0" t="s">
        <v>22</v>
      </c>
      <c r="E48" s="0" t="s">
        <v>4149</v>
      </c>
      <c r="F48" s="0" t="s">
        <v>1042</v>
      </c>
      <c r="G48" s="0" t="s">
        <v>1074</v>
      </c>
      <c r="H48" s="0" t="s">
        <v>1075</v>
      </c>
      <c r="I48" s="0" t="s">
        <v>1076</v>
      </c>
      <c r="J48" s="0" t="s">
        <v>1077</v>
      </c>
      <c r="K48" s="0" t="s">
        <v>1078</v>
      </c>
      <c r="L48" s="0" t="s">
        <v>4150</v>
      </c>
      <c r="M48" s="0" t="s">
        <v>91</v>
      </c>
      <c r="N48" s="0" t="s">
        <v>106</v>
      </c>
      <c r="O48" s="0" t="s">
        <v>1074</v>
      </c>
      <c r="P48" s="0" t="s">
        <v>1075</v>
      </c>
      <c r="Q48" s="0" t="s">
        <v>1076</v>
      </c>
      <c r="R48" s="0" t="s">
        <v>1077</v>
      </c>
      <c r="S48" s="0" t="s">
        <v>1078</v>
      </c>
      <c r="T48" s="0" t="s">
        <v>4140</v>
      </c>
      <c r="U48" s="0" t="s">
        <v>4141</v>
      </c>
      <c r="V48" s="0" t="s">
        <v>4142</v>
      </c>
      <c r="W48" s="0" t="s">
        <v>4019</v>
      </c>
      <c r="X48" s="0" t="s">
        <v>4143</v>
      </c>
      <c r="Y48" s="0" t="s">
        <v>4141</v>
      </c>
      <c r="Z48" s="0" t="s">
        <v>4144</v>
      </c>
      <c r="AA48" s="0" t="s">
        <v>4145</v>
      </c>
      <c r="AB48" s="0" t="s">
        <v>4142</v>
      </c>
      <c r="AC48" s="0" t="s">
        <v>65</v>
      </c>
      <c r="AD48" s="0" t="s">
        <v>65</v>
      </c>
      <c r="AE48" s="0" t="s">
        <v>65</v>
      </c>
      <c r="AF48" s="0" t="s">
        <v>4151</v>
      </c>
      <c r="AG48" s="0" t="s">
        <v>4152</v>
      </c>
      <c r="AH48" s="0" t="s">
        <v>4151</v>
      </c>
      <c r="AI48" s="0" t="s">
        <v>4152</v>
      </c>
      <c r="AJ48" s="0" t="s">
        <v>4151</v>
      </c>
      <c r="AK48" s="0" t="s">
        <v>4152</v>
      </c>
      <c r="AL48" s="0" t="s">
        <v>4153</v>
      </c>
    </row>
    <row customHeight="1" ht="11.25">
      <c r="A49" s="0" t="s">
        <v>22</v>
      </c>
      <c r="B49" s="0" t="s">
        <v>48</v>
      </c>
      <c r="C49" s="0" t="s">
        <v>50</v>
      </c>
      <c r="D49" s="0" t="s">
        <v>22</v>
      </c>
      <c r="E49" s="0" t="s">
        <v>4149</v>
      </c>
      <c r="F49" s="0" t="s">
        <v>1042</v>
      </c>
      <c r="G49" s="0" t="s">
        <v>1074</v>
      </c>
      <c r="H49" s="0" t="s">
        <v>1075</v>
      </c>
      <c r="I49" s="0" t="s">
        <v>1076</v>
      </c>
      <c r="J49" s="0" t="s">
        <v>1077</v>
      </c>
      <c r="K49" s="0" t="s">
        <v>1078</v>
      </c>
      <c r="L49" s="0" t="s">
        <v>4150</v>
      </c>
      <c r="M49" s="0" t="s">
        <v>91</v>
      </c>
      <c r="N49" s="0" t="s">
        <v>106</v>
      </c>
      <c r="O49" s="0" t="s">
        <v>1074</v>
      </c>
      <c r="P49" s="0" t="s">
        <v>1075</v>
      </c>
      <c r="Q49" s="0" t="s">
        <v>1076</v>
      </c>
      <c r="R49" s="0" t="s">
        <v>1077</v>
      </c>
      <c r="S49" s="0" t="s">
        <v>1078</v>
      </c>
      <c r="T49" s="0" t="s">
        <v>4140</v>
      </c>
      <c r="U49" s="0" t="s">
        <v>4141</v>
      </c>
      <c r="V49" s="0" t="s">
        <v>4142</v>
      </c>
      <c r="W49" s="0" t="s">
        <v>4019</v>
      </c>
      <c r="X49" s="0" t="s">
        <v>4143</v>
      </c>
      <c r="Y49" s="0" t="s">
        <v>4141</v>
      </c>
      <c r="Z49" s="0" t="s">
        <v>4144</v>
      </c>
      <c r="AA49" s="0" t="s">
        <v>4145</v>
      </c>
      <c r="AB49" s="0" t="s">
        <v>4142</v>
      </c>
      <c r="AC49" s="0" t="s">
        <v>65</v>
      </c>
      <c r="AD49" s="0" t="s">
        <v>65</v>
      </c>
      <c r="AE49" s="0" t="s">
        <v>65</v>
      </c>
      <c r="AF49" s="0" t="s">
        <v>4151</v>
      </c>
      <c r="AG49" s="0" t="s">
        <v>4152</v>
      </c>
      <c r="AH49" s="0" t="s">
        <v>4151</v>
      </c>
      <c r="AI49" s="0" t="s">
        <v>4152</v>
      </c>
      <c r="AJ49" s="0" t="s">
        <v>4151</v>
      </c>
      <c r="AK49" s="0" t="s">
        <v>4152</v>
      </c>
      <c r="AL49" s="0" t="s">
        <v>4153</v>
      </c>
    </row>
    <row customHeight="1" ht="11.25">
      <c r="A50" s="0" t="s">
        <v>22</v>
      </c>
      <c r="B50" s="0" t="s">
        <v>48</v>
      </c>
      <c r="C50" s="0" t="s">
        <v>50</v>
      </c>
      <c r="D50" s="0" t="s">
        <v>22</v>
      </c>
      <c r="E50" s="0" t="s">
        <v>4154</v>
      </c>
      <c r="F50" s="0" t="s">
        <v>1029</v>
      </c>
      <c r="G50" s="0" t="s">
        <v>1074</v>
      </c>
      <c r="H50" s="0" t="s">
        <v>1075</v>
      </c>
      <c r="I50" s="0" t="s">
        <v>1076</v>
      </c>
      <c r="J50" s="0" t="s">
        <v>1077</v>
      </c>
      <c r="K50" s="0" t="s">
        <v>1078</v>
      </c>
      <c r="L50" s="0" t="s">
        <v>4138</v>
      </c>
      <c r="M50" s="0" t="s">
        <v>4139</v>
      </c>
      <c r="N50" s="0" t="s">
        <v>106</v>
      </c>
      <c r="O50" s="0" t="s">
        <v>1074</v>
      </c>
      <c r="P50" s="0" t="s">
        <v>1075</v>
      </c>
      <c r="Q50" s="0" t="s">
        <v>1076</v>
      </c>
      <c r="R50" s="0" t="s">
        <v>1077</v>
      </c>
      <c r="S50" s="0" t="s">
        <v>1078</v>
      </c>
      <c r="T50" s="0" t="s">
        <v>4016</v>
      </c>
      <c r="U50" s="0" t="s">
        <v>4017</v>
      </c>
      <c r="V50" s="0" t="s">
        <v>4155</v>
      </c>
      <c r="W50" s="0" t="s">
        <v>4019</v>
      </c>
      <c r="X50" s="0" t="s">
        <v>4156</v>
      </c>
      <c r="Y50" s="0" t="s">
        <v>4021</v>
      </c>
      <c r="Z50" s="0" t="s">
        <v>4157</v>
      </c>
      <c r="AA50" s="0" t="s">
        <v>3899</v>
      </c>
      <c r="AB50" s="0" t="s">
        <v>4155</v>
      </c>
      <c r="AC50" s="0" t="s">
        <v>65</v>
      </c>
      <c r="AD50" s="0" t="s">
        <v>19</v>
      </c>
      <c r="AE50" s="0" t="s">
        <v>19</v>
      </c>
      <c r="AF50" s="0" t="s">
        <v>877</v>
      </c>
      <c r="AG50" s="0" t="s">
        <v>4147</v>
      </c>
      <c r="AH50" s="0" t="s">
        <v>22</v>
      </c>
      <c r="AI50" s="0" t="s">
        <v>22</v>
      </c>
      <c r="AJ50" s="0" t="s">
        <v>22</v>
      </c>
      <c r="AK50" s="0" t="s">
        <v>22</v>
      </c>
      <c r="AL50" s="0" t="s">
        <v>4158</v>
      </c>
    </row>
    <row customHeight="1" ht="11.25">
      <c r="A51" s="0" t="s">
        <v>22</v>
      </c>
      <c r="B51" s="0" t="s">
        <v>48</v>
      </c>
      <c r="C51" s="0" t="s">
        <v>50</v>
      </c>
      <c r="D51" s="0" t="s">
        <v>22</v>
      </c>
      <c r="E51" s="0" t="s">
        <v>4159</v>
      </c>
      <c r="F51" s="0" t="s">
        <v>1029</v>
      </c>
      <c r="G51" s="0" t="s">
        <v>1074</v>
      </c>
      <c r="H51" s="0" t="s">
        <v>1075</v>
      </c>
      <c r="I51" s="0" t="s">
        <v>1076</v>
      </c>
      <c r="J51" s="0" t="s">
        <v>1077</v>
      </c>
      <c r="K51" s="0" t="s">
        <v>1078</v>
      </c>
      <c r="L51" s="0" t="s">
        <v>4160</v>
      </c>
      <c r="M51" s="0" t="s">
        <v>4161</v>
      </c>
      <c r="N51" s="0" t="s">
        <v>106</v>
      </c>
      <c r="O51" s="0" t="s">
        <v>1074</v>
      </c>
      <c r="P51" s="0" t="s">
        <v>1075</v>
      </c>
      <c r="Q51" s="0" t="s">
        <v>1076</v>
      </c>
      <c r="R51" s="0" t="s">
        <v>1077</v>
      </c>
      <c r="S51" s="0" t="s">
        <v>1078</v>
      </c>
      <c r="T51" s="0" t="s">
        <v>4123</v>
      </c>
      <c r="U51" s="0" t="s">
        <v>4141</v>
      </c>
      <c r="V51" s="0" t="s">
        <v>4162</v>
      </c>
      <c r="W51" s="0" t="s">
        <v>4019</v>
      </c>
      <c r="X51" s="0" t="s">
        <v>4143</v>
      </c>
      <c r="Y51" s="0" t="s">
        <v>4141</v>
      </c>
      <c r="Z51" s="0" t="s">
        <v>4144</v>
      </c>
      <c r="AA51" s="0" t="s">
        <v>4145</v>
      </c>
      <c r="AB51" s="0" t="s">
        <v>4162</v>
      </c>
      <c r="AC51" s="0" t="s">
        <v>65</v>
      </c>
      <c r="AD51" s="0" t="s">
        <v>19</v>
      </c>
      <c r="AE51" s="0" t="s">
        <v>19</v>
      </c>
      <c r="AF51" s="0" t="s">
        <v>4163</v>
      </c>
      <c r="AG51" s="0" t="s">
        <v>4164</v>
      </c>
      <c r="AH51" s="0" t="s">
        <v>22</v>
      </c>
      <c r="AI51" s="0" t="s">
        <v>22</v>
      </c>
      <c r="AJ51" s="0" t="s">
        <v>22</v>
      </c>
      <c r="AK51" s="0" t="s">
        <v>22</v>
      </c>
      <c r="AL51" s="0" t="s">
        <v>4165</v>
      </c>
    </row>
    <row customHeight="1" ht="11.25">
      <c r="A52" s="0" t="s">
        <v>22</v>
      </c>
      <c r="B52" s="0" t="s">
        <v>48</v>
      </c>
      <c r="C52" s="0" t="s">
        <v>50</v>
      </c>
      <c r="D52" s="0" t="s">
        <v>22</v>
      </c>
      <c r="E52" s="0" t="s">
        <v>4159</v>
      </c>
      <c r="F52" s="0" t="s">
        <v>1029</v>
      </c>
      <c r="G52" s="0" t="s">
        <v>1074</v>
      </c>
      <c r="H52" s="0" t="s">
        <v>1075</v>
      </c>
      <c r="I52" s="0" t="s">
        <v>1076</v>
      </c>
      <c r="J52" s="0" t="s">
        <v>1077</v>
      </c>
      <c r="K52" s="0" t="s">
        <v>1078</v>
      </c>
      <c r="L52" s="0" t="s">
        <v>4160</v>
      </c>
      <c r="M52" s="0" t="s">
        <v>4161</v>
      </c>
      <c r="N52" s="0" t="s">
        <v>106</v>
      </c>
      <c r="O52" s="0" t="s">
        <v>1074</v>
      </c>
      <c r="P52" s="0" t="s">
        <v>1075</v>
      </c>
      <c r="Q52" s="0" t="s">
        <v>1076</v>
      </c>
      <c r="R52" s="0" t="s">
        <v>1077</v>
      </c>
      <c r="S52" s="0" t="s">
        <v>1078</v>
      </c>
      <c r="T52" s="0" t="s">
        <v>4123</v>
      </c>
      <c r="U52" s="0" t="s">
        <v>4141</v>
      </c>
      <c r="V52" s="0" t="s">
        <v>4162</v>
      </c>
      <c r="W52" s="0" t="s">
        <v>4019</v>
      </c>
      <c r="X52" s="0" t="s">
        <v>4143</v>
      </c>
      <c r="Y52" s="0" t="s">
        <v>4141</v>
      </c>
      <c r="Z52" s="0" t="s">
        <v>4144</v>
      </c>
      <c r="AA52" s="0" t="s">
        <v>4145</v>
      </c>
      <c r="AB52" s="0" t="s">
        <v>4162</v>
      </c>
      <c r="AC52" s="0" t="s">
        <v>65</v>
      </c>
      <c r="AD52" s="0" t="s">
        <v>19</v>
      </c>
      <c r="AE52" s="0" t="s">
        <v>19</v>
      </c>
      <c r="AF52" s="0" t="s">
        <v>4163</v>
      </c>
      <c r="AG52" s="0" t="s">
        <v>4164</v>
      </c>
      <c r="AH52" s="0" t="s">
        <v>22</v>
      </c>
      <c r="AI52" s="0" t="s">
        <v>22</v>
      </c>
      <c r="AJ52" s="0" t="s">
        <v>22</v>
      </c>
      <c r="AK52" s="0" t="s">
        <v>22</v>
      </c>
      <c r="AL52" s="0" t="s">
        <v>4165</v>
      </c>
    </row>
    <row customHeight="1" ht="11.25">
      <c r="A53" s="0" t="s">
        <v>22</v>
      </c>
      <c r="B53" s="0" t="s">
        <v>48</v>
      </c>
      <c r="C53" s="0" t="s">
        <v>50</v>
      </c>
      <c r="D53" s="0" t="s">
        <v>22</v>
      </c>
      <c r="E53" s="0" t="s">
        <v>1073</v>
      </c>
      <c r="F53" s="0" t="s">
        <v>1042</v>
      </c>
      <c r="G53" s="0" t="s">
        <v>1074</v>
      </c>
      <c r="H53" s="0" t="s">
        <v>1075</v>
      </c>
      <c r="I53" s="0" t="s">
        <v>1076</v>
      </c>
      <c r="J53" s="0" t="s">
        <v>1077</v>
      </c>
      <c r="K53" s="0" t="s">
        <v>1078</v>
      </c>
      <c r="L53" s="0" t="s">
        <v>1079</v>
      </c>
      <c r="M53" s="0" t="s">
        <v>107</v>
      </c>
      <c r="N53" s="0" t="s">
        <v>106</v>
      </c>
      <c r="O53" s="0" t="s">
        <v>1074</v>
      </c>
      <c r="P53" s="0" t="s">
        <v>1075</v>
      </c>
      <c r="Q53" s="0" t="s">
        <v>1076</v>
      </c>
      <c r="R53" s="0" t="s">
        <v>1077</v>
      </c>
      <c r="S53" s="0" t="s">
        <v>1078</v>
      </c>
      <c r="T53" s="0" t="s">
        <v>4016</v>
      </c>
      <c r="U53" s="0" t="s">
        <v>4017</v>
      </c>
      <c r="V53" s="0" t="s">
        <v>4166</v>
      </c>
      <c r="W53" s="0" t="s">
        <v>4019</v>
      </c>
      <c r="X53" s="0" t="s">
        <v>4156</v>
      </c>
      <c r="Y53" s="0" t="s">
        <v>4021</v>
      </c>
      <c r="Z53" s="0" t="s">
        <v>4157</v>
      </c>
      <c r="AA53" s="0" t="s">
        <v>4167</v>
      </c>
      <c r="AB53" s="0" t="s">
        <v>4166</v>
      </c>
      <c r="AC53" s="0" t="s">
        <v>65</v>
      </c>
      <c r="AD53" s="0" t="s">
        <v>65</v>
      </c>
      <c r="AE53" s="0" t="s">
        <v>65</v>
      </c>
      <c r="AF53" s="0" t="s">
        <v>3743</v>
      </c>
      <c r="AG53" s="0" t="s">
        <v>4168</v>
      </c>
      <c r="AH53" s="0" t="s">
        <v>3743</v>
      </c>
      <c r="AI53" s="0" t="s">
        <v>4169</v>
      </c>
      <c r="AJ53" s="0" t="s">
        <v>3743</v>
      </c>
      <c r="AK53" s="0" t="s">
        <v>4169</v>
      </c>
      <c r="AL53" s="0" t="s">
        <v>4170</v>
      </c>
    </row>
    <row customHeight="1" ht="11.25">
      <c r="A54" s="0" t="s">
        <v>22</v>
      </c>
      <c r="B54" s="0" t="s">
        <v>48</v>
      </c>
      <c r="C54" s="0" t="s">
        <v>50</v>
      </c>
      <c r="D54" s="0" t="s">
        <v>22</v>
      </c>
      <c r="E54" s="0" t="s">
        <v>1073</v>
      </c>
      <c r="F54" s="0" t="s">
        <v>1042</v>
      </c>
      <c r="G54" s="0" t="s">
        <v>1074</v>
      </c>
      <c r="H54" s="0" t="s">
        <v>1075</v>
      </c>
      <c r="I54" s="0" t="s">
        <v>1076</v>
      </c>
      <c r="J54" s="0" t="s">
        <v>1077</v>
      </c>
      <c r="K54" s="0" t="s">
        <v>1078</v>
      </c>
      <c r="L54" s="0" t="s">
        <v>1079</v>
      </c>
      <c r="M54" s="0" t="s">
        <v>107</v>
      </c>
      <c r="N54" s="0" t="s">
        <v>106</v>
      </c>
      <c r="O54" s="0" t="s">
        <v>1074</v>
      </c>
      <c r="P54" s="0" t="s">
        <v>1075</v>
      </c>
      <c r="Q54" s="0" t="s">
        <v>1076</v>
      </c>
      <c r="R54" s="0" t="s">
        <v>1077</v>
      </c>
      <c r="S54" s="0" t="s">
        <v>1078</v>
      </c>
      <c r="T54" s="0" t="s">
        <v>4016</v>
      </c>
      <c r="U54" s="0" t="s">
        <v>4017</v>
      </c>
      <c r="V54" s="0" t="s">
        <v>4166</v>
      </c>
      <c r="W54" s="0" t="s">
        <v>4019</v>
      </c>
      <c r="X54" s="0" t="s">
        <v>4156</v>
      </c>
      <c r="Y54" s="0" t="s">
        <v>4021</v>
      </c>
      <c r="Z54" s="0" t="s">
        <v>4157</v>
      </c>
      <c r="AA54" s="0" t="s">
        <v>4167</v>
      </c>
      <c r="AB54" s="0" t="s">
        <v>4166</v>
      </c>
      <c r="AC54" s="0" t="s">
        <v>65</v>
      </c>
      <c r="AD54" s="0" t="s">
        <v>65</v>
      </c>
      <c r="AE54" s="0" t="s">
        <v>65</v>
      </c>
      <c r="AF54" s="0" t="s">
        <v>3743</v>
      </c>
      <c r="AG54" s="0" t="s">
        <v>4168</v>
      </c>
      <c r="AH54" s="0" t="s">
        <v>3743</v>
      </c>
      <c r="AI54" s="0" t="s">
        <v>4169</v>
      </c>
      <c r="AJ54" s="0" t="s">
        <v>3743</v>
      </c>
      <c r="AK54" s="0" t="s">
        <v>4169</v>
      </c>
      <c r="AL54" s="0" t="s">
        <v>4170</v>
      </c>
    </row>
    <row customHeight="1" ht="11.25">
      <c r="A55" s="0" t="s">
        <v>22</v>
      </c>
      <c r="B55" s="0" t="s">
        <v>48</v>
      </c>
      <c r="C55" s="0" t="s">
        <v>50</v>
      </c>
      <c r="D55" s="0" t="s">
        <v>22</v>
      </c>
      <c r="E55" s="0" t="s">
        <v>4171</v>
      </c>
      <c r="F55" s="0" t="s">
        <v>1083</v>
      </c>
      <c r="G55" s="0" t="s">
        <v>1074</v>
      </c>
      <c r="H55" s="0" t="s">
        <v>1075</v>
      </c>
      <c r="I55" s="0" t="s">
        <v>1076</v>
      </c>
      <c r="J55" s="0" t="s">
        <v>1077</v>
      </c>
      <c r="K55" s="0" t="s">
        <v>1078</v>
      </c>
      <c r="L55" s="0" t="s">
        <v>4172</v>
      </c>
      <c r="M55" s="0" t="s">
        <v>371</v>
      </c>
      <c r="N55" s="0" t="s">
        <v>106</v>
      </c>
      <c r="O55" s="0" t="s">
        <v>1074</v>
      </c>
      <c r="P55" s="0" t="s">
        <v>1075</v>
      </c>
      <c r="Q55" s="0" t="s">
        <v>1076</v>
      </c>
      <c r="R55" s="0" t="s">
        <v>1077</v>
      </c>
      <c r="S55" s="0" t="s">
        <v>1078</v>
      </c>
      <c r="T55" s="0" t="s">
        <v>4140</v>
      </c>
      <c r="U55" s="0" t="s">
        <v>4141</v>
      </c>
      <c r="V55" s="0" t="s">
        <v>4142</v>
      </c>
      <c r="W55" s="0" t="s">
        <v>4019</v>
      </c>
      <c r="X55" s="0" t="s">
        <v>4143</v>
      </c>
      <c r="Y55" s="0" t="s">
        <v>4141</v>
      </c>
      <c r="Z55" s="0" t="s">
        <v>4144</v>
      </c>
      <c r="AA55" s="0" t="s">
        <v>4145</v>
      </c>
      <c r="AB55" s="0" t="s">
        <v>4142</v>
      </c>
      <c r="AC55" s="0" t="s">
        <v>19</v>
      </c>
      <c r="AD55" s="0" t="s">
        <v>65</v>
      </c>
      <c r="AE55" s="0" t="s">
        <v>19</v>
      </c>
      <c r="AF55" s="0" t="s">
        <v>22</v>
      </c>
      <c r="AG55" s="0" t="s">
        <v>22</v>
      </c>
      <c r="AH55" s="0" t="s">
        <v>149</v>
      </c>
      <c r="AI55" s="0" t="s">
        <v>4173</v>
      </c>
      <c r="AJ55" s="0" t="s">
        <v>149</v>
      </c>
      <c r="AK55" s="0" t="s">
        <v>4173</v>
      </c>
      <c r="AL55" s="0" t="s">
        <v>22</v>
      </c>
    </row>
    <row customHeight="1" ht="11.25">
      <c r="A56" s="0" t="s">
        <v>22</v>
      </c>
      <c r="B56" s="0" t="s">
        <v>48</v>
      </c>
      <c r="C56" s="0" t="s">
        <v>50</v>
      </c>
      <c r="D56" s="0" t="s">
        <v>22</v>
      </c>
      <c r="E56" s="0" t="s">
        <v>4174</v>
      </c>
      <c r="F56" s="0" t="s">
        <v>1083</v>
      </c>
      <c r="G56" s="0" t="s">
        <v>1074</v>
      </c>
      <c r="H56" s="0" t="s">
        <v>1075</v>
      </c>
      <c r="I56" s="0" t="s">
        <v>1076</v>
      </c>
      <c r="J56" s="0" t="s">
        <v>1077</v>
      </c>
      <c r="K56" s="0" t="s">
        <v>1078</v>
      </c>
      <c r="L56" s="0" t="s">
        <v>4175</v>
      </c>
      <c r="M56" s="0" t="s">
        <v>371</v>
      </c>
      <c r="N56" s="0" t="s">
        <v>106</v>
      </c>
      <c r="O56" s="0" t="s">
        <v>1074</v>
      </c>
      <c r="P56" s="0" t="s">
        <v>1075</v>
      </c>
      <c r="Q56" s="0" t="s">
        <v>1076</v>
      </c>
      <c r="R56" s="0" t="s">
        <v>1077</v>
      </c>
      <c r="S56" s="0" t="s">
        <v>1078</v>
      </c>
      <c r="T56" s="0" t="s">
        <v>4140</v>
      </c>
      <c r="U56" s="0" t="s">
        <v>4141</v>
      </c>
      <c r="V56" s="0" t="s">
        <v>4142</v>
      </c>
      <c r="W56" s="0" t="s">
        <v>4019</v>
      </c>
      <c r="X56" s="0" t="s">
        <v>4143</v>
      </c>
      <c r="Y56" s="0" t="s">
        <v>4141</v>
      </c>
      <c r="Z56" s="0" t="s">
        <v>4144</v>
      </c>
      <c r="AA56" s="0" t="s">
        <v>4145</v>
      </c>
      <c r="AB56" s="0" t="s">
        <v>4142</v>
      </c>
      <c r="AC56" s="0" t="s">
        <v>19</v>
      </c>
      <c r="AD56" s="0" t="s">
        <v>65</v>
      </c>
      <c r="AE56" s="0" t="s">
        <v>19</v>
      </c>
      <c r="AF56" s="0" t="s">
        <v>22</v>
      </c>
      <c r="AG56" s="0" t="s">
        <v>22</v>
      </c>
      <c r="AH56" s="0" t="s">
        <v>4176</v>
      </c>
      <c r="AI56" s="0" t="s">
        <v>4177</v>
      </c>
      <c r="AJ56" s="0" t="s">
        <v>4176</v>
      </c>
      <c r="AK56" s="0" t="s">
        <v>4177</v>
      </c>
      <c r="AL56" s="0" t="s">
        <v>22</v>
      </c>
    </row>
    <row customHeight="1" ht="11.25">
      <c r="A57" s="0" t="s">
        <v>22</v>
      </c>
      <c r="B57" s="0" t="s">
        <v>48</v>
      </c>
      <c r="C57" s="0" t="s">
        <v>50</v>
      </c>
      <c r="D57" s="0" t="s">
        <v>22</v>
      </c>
      <c r="E57" s="0" t="s">
        <v>4174</v>
      </c>
      <c r="F57" s="0" t="s">
        <v>1083</v>
      </c>
      <c r="G57" s="0" t="s">
        <v>1074</v>
      </c>
      <c r="H57" s="0" t="s">
        <v>1075</v>
      </c>
      <c r="I57" s="0" t="s">
        <v>1076</v>
      </c>
      <c r="J57" s="0" t="s">
        <v>1077</v>
      </c>
      <c r="K57" s="0" t="s">
        <v>1078</v>
      </c>
      <c r="L57" s="0" t="s">
        <v>4175</v>
      </c>
      <c r="M57" s="0" t="s">
        <v>371</v>
      </c>
      <c r="N57" s="0" t="s">
        <v>106</v>
      </c>
      <c r="O57" s="0" t="s">
        <v>1074</v>
      </c>
      <c r="P57" s="0" t="s">
        <v>1075</v>
      </c>
      <c r="Q57" s="0" t="s">
        <v>1076</v>
      </c>
      <c r="R57" s="0" t="s">
        <v>1077</v>
      </c>
      <c r="S57" s="0" t="s">
        <v>1078</v>
      </c>
      <c r="T57" s="0" t="s">
        <v>4140</v>
      </c>
      <c r="U57" s="0" t="s">
        <v>4141</v>
      </c>
      <c r="V57" s="0" t="s">
        <v>4142</v>
      </c>
      <c r="W57" s="0" t="s">
        <v>4019</v>
      </c>
      <c r="X57" s="0" t="s">
        <v>4143</v>
      </c>
      <c r="Y57" s="0" t="s">
        <v>4141</v>
      </c>
      <c r="Z57" s="0" t="s">
        <v>4144</v>
      </c>
      <c r="AA57" s="0" t="s">
        <v>4145</v>
      </c>
      <c r="AB57" s="0" t="s">
        <v>4142</v>
      </c>
      <c r="AC57" s="0" t="s">
        <v>19</v>
      </c>
      <c r="AD57" s="0" t="s">
        <v>65</v>
      </c>
      <c r="AE57" s="0" t="s">
        <v>19</v>
      </c>
      <c r="AF57" s="0" t="s">
        <v>22</v>
      </c>
      <c r="AG57" s="0" t="s">
        <v>22</v>
      </c>
      <c r="AH57" s="0" t="s">
        <v>4176</v>
      </c>
      <c r="AI57" s="0" t="s">
        <v>4177</v>
      </c>
      <c r="AJ57" s="0" t="s">
        <v>4176</v>
      </c>
      <c r="AK57" s="0" t="s">
        <v>4177</v>
      </c>
      <c r="AL57" s="0" t="s">
        <v>22</v>
      </c>
    </row>
    <row customHeight="1" ht="11.25">
      <c r="A58" s="0" t="s">
        <v>22</v>
      </c>
      <c r="B58" s="0" t="s">
        <v>48</v>
      </c>
      <c r="C58" s="0" t="s">
        <v>50</v>
      </c>
      <c r="D58" s="0" t="s">
        <v>22</v>
      </c>
      <c r="E58" s="0" t="s">
        <v>4178</v>
      </c>
      <c r="F58" s="0" t="s">
        <v>1083</v>
      </c>
      <c r="G58" s="0" t="s">
        <v>1074</v>
      </c>
      <c r="H58" s="0" t="s">
        <v>1075</v>
      </c>
      <c r="I58" s="0" t="s">
        <v>1076</v>
      </c>
      <c r="J58" s="0" t="s">
        <v>1077</v>
      </c>
      <c r="K58" s="0" t="s">
        <v>1078</v>
      </c>
      <c r="L58" s="0" t="s">
        <v>4179</v>
      </c>
      <c r="M58" s="0" t="s">
        <v>371</v>
      </c>
      <c r="N58" s="0" t="s">
        <v>106</v>
      </c>
      <c r="O58" s="0" t="s">
        <v>1074</v>
      </c>
      <c r="P58" s="0" t="s">
        <v>1075</v>
      </c>
      <c r="Q58" s="0" t="s">
        <v>1076</v>
      </c>
      <c r="R58" s="0" t="s">
        <v>1077</v>
      </c>
      <c r="S58" s="0" t="s">
        <v>1078</v>
      </c>
      <c r="T58" s="0" t="s">
        <v>4140</v>
      </c>
      <c r="U58" s="0" t="s">
        <v>4141</v>
      </c>
      <c r="V58" s="0" t="s">
        <v>4142</v>
      </c>
      <c r="W58" s="0" t="s">
        <v>4019</v>
      </c>
      <c r="X58" s="0" t="s">
        <v>4143</v>
      </c>
      <c r="Y58" s="0" t="s">
        <v>4141</v>
      </c>
      <c r="Z58" s="0" t="s">
        <v>4144</v>
      </c>
      <c r="AA58" s="0" t="s">
        <v>4145</v>
      </c>
      <c r="AB58" s="0" t="s">
        <v>4142</v>
      </c>
      <c r="AC58" s="0" t="s">
        <v>19</v>
      </c>
      <c r="AD58" s="0" t="s">
        <v>65</v>
      </c>
      <c r="AE58" s="0" t="s">
        <v>19</v>
      </c>
      <c r="AF58" s="0" t="s">
        <v>22</v>
      </c>
      <c r="AG58" s="0" t="s">
        <v>22</v>
      </c>
      <c r="AH58" s="0" t="s">
        <v>4180</v>
      </c>
      <c r="AI58" s="0" t="s">
        <v>4181</v>
      </c>
      <c r="AJ58" s="0" t="s">
        <v>4180</v>
      </c>
      <c r="AK58" s="0" t="s">
        <v>4181</v>
      </c>
      <c r="AL58" s="0" t="s">
        <v>22</v>
      </c>
    </row>
    <row customHeight="1" ht="11.25">
      <c r="A59" s="0" t="s">
        <v>22</v>
      </c>
      <c r="B59" s="0" t="s">
        <v>48</v>
      </c>
      <c r="C59" s="0" t="s">
        <v>50</v>
      </c>
      <c r="D59" s="0" t="s">
        <v>22</v>
      </c>
      <c r="E59" s="0" t="s">
        <v>4178</v>
      </c>
      <c r="F59" s="0" t="s">
        <v>1083</v>
      </c>
      <c r="G59" s="0" t="s">
        <v>1074</v>
      </c>
      <c r="H59" s="0" t="s">
        <v>1075</v>
      </c>
      <c r="I59" s="0" t="s">
        <v>1076</v>
      </c>
      <c r="J59" s="0" t="s">
        <v>1077</v>
      </c>
      <c r="K59" s="0" t="s">
        <v>1078</v>
      </c>
      <c r="L59" s="0" t="s">
        <v>4179</v>
      </c>
      <c r="M59" s="0" t="s">
        <v>371</v>
      </c>
      <c r="N59" s="0" t="s">
        <v>106</v>
      </c>
      <c r="O59" s="0" t="s">
        <v>1074</v>
      </c>
      <c r="P59" s="0" t="s">
        <v>1075</v>
      </c>
      <c r="Q59" s="0" t="s">
        <v>1076</v>
      </c>
      <c r="R59" s="0" t="s">
        <v>1077</v>
      </c>
      <c r="S59" s="0" t="s">
        <v>1078</v>
      </c>
      <c r="T59" s="0" t="s">
        <v>4140</v>
      </c>
      <c r="U59" s="0" t="s">
        <v>4141</v>
      </c>
      <c r="V59" s="0" t="s">
        <v>4142</v>
      </c>
      <c r="W59" s="0" t="s">
        <v>4019</v>
      </c>
      <c r="X59" s="0" t="s">
        <v>4143</v>
      </c>
      <c r="Y59" s="0" t="s">
        <v>4141</v>
      </c>
      <c r="Z59" s="0" t="s">
        <v>4144</v>
      </c>
      <c r="AA59" s="0" t="s">
        <v>4145</v>
      </c>
      <c r="AB59" s="0" t="s">
        <v>4142</v>
      </c>
      <c r="AC59" s="0" t="s">
        <v>19</v>
      </c>
      <c r="AD59" s="0" t="s">
        <v>65</v>
      </c>
      <c r="AE59" s="0" t="s">
        <v>19</v>
      </c>
      <c r="AF59" s="0" t="s">
        <v>22</v>
      </c>
      <c r="AG59" s="0" t="s">
        <v>22</v>
      </c>
      <c r="AH59" s="0" t="s">
        <v>4180</v>
      </c>
      <c r="AI59" s="0" t="s">
        <v>4181</v>
      </c>
      <c r="AJ59" s="0" t="s">
        <v>4180</v>
      </c>
      <c r="AK59" s="0" t="s">
        <v>4181</v>
      </c>
      <c r="AL59" s="0" t="s">
        <v>22</v>
      </c>
    </row>
    <row customHeight="1" ht="11.25">
      <c r="A60" s="0" t="s">
        <v>22</v>
      </c>
      <c r="B60" s="0" t="s">
        <v>48</v>
      </c>
      <c r="C60" s="0" t="s">
        <v>50</v>
      </c>
      <c r="D60" s="0" t="s">
        <v>22</v>
      </c>
      <c r="E60" s="0" t="s">
        <v>4182</v>
      </c>
      <c r="F60" s="0" t="s">
        <v>1083</v>
      </c>
      <c r="G60" s="0" t="s">
        <v>1074</v>
      </c>
      <c r="H60" s="0" t="s">
        <v>1075</v>
      </c>
      <c r="I60" s="0" t="s">
        <v>1076</v>
      </c>
      <c r="J60" s="0" t="s">
        <v>1077</v>
      </c>
      <c r="K60" s="0" t="s">
        <v>1078</v>
      </c>
      <c r="L60" s="0" t="s">
        <v>4183</v>
      </c>
      <c r="M60" s="0" t="s">
        <v>371</v>
      </c>
      <c r="N60" s="0" t="s">
        <v>106</v>
      </c>
      <c r="O60" s="0" t="s">
        <v>1074</v>
      </c>
      <c r="P60" s="0" t="s">
        <v>1075</v>
      </c>
      <c r="Q60" s="0" t="s">
        <v>1076</v>
      </c>
      <c r="R60" s="0" t="s">
        <v>1077</v>
      </c>
      <c r="S60" s="0" t="s">
        <v>1078</v>
      </c>
      <c r="T60" s="0" t="s">
        <v>4140</v>
      </c>
      <c r="U60" s="0" t="s">
        <v>4141</v>
      </c>
      <c r="V60" s="0" t="s">
        <v>4142</v>
      </c>
      <c r="W60" s="0" t="s">
        <v>4019</v>
      </c>
      <c r="X60" s="0" t="s">
        <v>4143</v>
      </c>
      <c r="Y60" s="0" t="s">
        <v>4141</v>
      </c>
      <c r="Z60" s="0" t="s">
        <v>4144</v>
      </c>
      <c r="AA60" s="0" t="s">
        <v>4145</v>
      </c>
      <c r="AB60" s="0" t="s">
        <v>4142</v>
      </c>
      <c r="AC60" s="0" t="s">
        <v>19</v>
      </c>
      <c r="AD60" s="0" t="s">
        <v>65</v>
      </c>
      <c r="AE60" s="0" t="s">
        <v>19</v>
      </c>
      <c r="AF60" s="0" t="s">
        <v>22</v>
      </c>
      <c r="AG60" s="0" t="s">
        <v>22</v>
      </c>
      <c r="AH60" s="0" t="s">
        <v>4184</v>
      </c>
      <c r="AI60" s="0" t="s">
        <v>4185</v>
      </c>
      <c r="AJ60" s="0" t="s">
        <v>4184</v>
      </c>
      <c r="AK60" s="0" t="s">
        <v>4185</v>
      </c>
      <c r="AL60" s="0" t="s">
        <v>22</v>
      </c>
    </row>
    <row customHeight="1" ht="11.25">
      <c r="A61" s="0" t="s">
        <v>22</v>
      </c>
      <c r="B61" s="0" t="s">
        <v>48</v>
      </c>
      <c r="C61" s="0" t="s">
        <v>50</v>
      </c>
      <c r="D61" s="0" t="s">
        <v>22</v>
      </c>
      <c r="E61" s="0" t="s">
        <v>4182</v>
      </c>
      <c r="F61" s="0" t="s">
        <v>1083</v>
      </c>
      <c r="G61" s="0" t="s">
        <v>1074</v>
      </c>
      <c r="H61" s="0" t="s">
        <v>1075</v>
      </c>
      <c r="I61" s="0" t="s">
        <v>1076</v>
      </c>
      <c r="J61" s="0" t="s">
        <v>1077</v>
      </c>
      <c r="K61" s="0" t="s">
        <v>1078</v>
      </c>
      <c r="L61" s="0" t="s">
        <v>4183</v>
      </c>
      <c r="M61" s="0" t="s">
        <v>371</v>
      </c>
      <c r="N61" s="0" t="s">
        <v>106</v>
      </c>
      <c r="O61" s="0" t="s">
        <v>1074</v>
      </c>
      <c r="P61" s="0" t="s">
        <v>1075</v>
      </c>
      <c r="Q61" s="0" t="s">
        <v>1076</v>
      </c>
      <c r="R61" s="0" t="s">
        <v>1077</v>
      </c>
      <c r="S61" s="0" t="s">
        <v>1078</v>
      </c>
      <c r="T61" s="0" t="s">
        <v>4140</v>
      </c>
      <c r="U61" s="0" t="s">
        <v>4141</v>
      </c>
      <c r="V61" s="0" t="s">
        <v>4142</v>
      </c>
      <c r="W61" s="0" t="s">
        <v>4019</v>
      </c>
      <c r="X61" s="0" t="s">
        <v>4143</v>
      </c>
      <c r="Y61" s="0" t="s">
        <v>4141</v>
      </c>
      <c r="Z61" s="0" t="s">
        <v>4144</v>
      </c>
      <c r="AA61" s="0" t="s">
        <v>4145</v>
      </c>
      <c r="AB61" s="0" t="s">
        <v>4142</v>
      </c>
      <c r="AC61" s="0" t="s">
        <v>19</v>
      </c>
      <c r="AD61" s="0" t="s">
        <v>65</v>
      </c>
      <c r="AE61" s="0" t="s">
        <v>19</v>
      </c>
      <c r="AF61" s="0" t="s">
        <v>22</v>
      </c>
      <c r="AG61" s="0" t="s">
        <v>22</v>
      </c>
      <c r="AH61" s="0" t="s">
        <v>4184</v>
      </c>
      <c r="AI61" s="0" t="s">
        <v>4185</v>
      </c>
      <c r="AJ61" s="0" t="s">
        <v>4184</v>
      </c>
      <c r="AK61" s="0" t="s">
        <v>4185</v>
      </c>
      <c r="AL61" s="0" t="s">
        <v>22</v>
      </c>
    </row>
    <row customHeight="1" ht="11.25">
      <c r="A62" s="0" t="s">
        <v>22</v>
      </c>
      <c r="B62" s="0" t="s">
        <v>48</v>
      </c>
      <c r="C62" s="0" t="s">
        <v>50</v>
      </c>
      <c r="D62" s="0" t="s">
        <v>22</v>
      </c>
      <c r="E62" s="0" t="s">
        <v>1082</v>
      </c>
      <c r="F62" s="0" t="s">
        <v>1083</v>
      </c>
      <c r="G62" s="0" t="s">
        <v>1074</v>
      </c>
      <c r="H62" s="0" t="s">
        <v>1075</v>
      </c>
      <c r="I62" s="0" t="s">
        <v>1076</v>
      </c>
      <c r="J62" s="0" t="s">
        <v>1077</v>
      </c>
      <c r="K62" s="0" t="s">
        <v>1078</v>
      </c>
      <c r="L62" s="0" t="s">
        <v>1084</v>
      </c>
      <c r="M62" s="0" t="s">
        <v>371</v>
      </c>
      <c r="N62" s="0" t="s">
        <v>106</v>
      </c>
      <c r="O62" s="0" t="s">
        <v>1074</v>
      </c>
      <c r="P62" s="0" t="s">
        <v>1075</v>
      </c>
      <c r="Q62" s="0" t="s">
        <v>1076</v>
      </c>
      <c r="R62" s="0" t="s">
        <v>1077</v>
      </c>
      <c r="S62" s="0" t="s">
        <v>1078</v>
      </c>
      <c r="T62" s="0" t="s">
        <v>4140</v>
      </c>
      <c r="U62" s="0" t="s">
        <v>4141</v>
      </c>
      <c r="V62" s="0" t="s">
        <v>4142</v>
      </c>
      <c r="W62" s="0" t="s">
        <v>4019</v>
      </c>
      <c r="X62" s="0" t="s">
        <v>4143</v>
      </c>
      <c r="Y62" s="0" t="s">
        <v>4141</v>
      </c>
      <c r="Z62" s="0" t="s">
        <v>4144</v>
      </c>
      <c r="AA62" s="0" t="s">
        <v>4145</v>
      </c>
      <c r="AB62" s="0" t="s">
        <v>4142</v>
      </c>
      <c r="AC62" s="0" t="s">
        <v>19</v>
      </c>
      <c r="AD62" s="0" t="s">
        <v>65</v>
      </c>
      <c r="AE62" s="0" t="s">
        <v>19</v>
      </c>
      <c r="AF62" s="0" t="s">
        <v>22</v>
      </c>
      <c r="AG62" s="0" t="s">
        <v>22</v>
      </c>
      <c r="AH62" s="0" t="s">
        <v>4186</v>
      </c>
      <c r="AI62" s="0" t="s">
        <v>4187</v>
      </c>
      <c r="AJ62" s="0" t="s">
        <v>4186</v>
      </c>
      <c r="AK62" s="0" t="s">
        <v>4187</v>
      </c>
      <c r="AL62" s="0" t="s">
        <v>22</v>
      </c>
    </row>
    <row customHeight="1" ht="11.25">
      <c r="A63" s="0" t="s">
        <v>22</v>
      </c>
      <c r="B63" s="0" t="s">
        <v>48</v>
      </c>
      <c r="C63" s="0" t="s">
        <v>50</v>
      </c>
      <c r="D63" s="0" t="s">
        <v>22</v>
      </c>
      <c r="E63" s="0" t="s">
        <v>1082</v>
      </c>
      <c r="F63" s="0" t="s">
        <v>1083</v>
      </c>
      <c r="G63" s="0" t="s">
        <v>1074</v>
      </c>
      <c r="H63" s="0" t="s">
        <v>1075</v>
      </c>
      <c r="I63" s="0" t="s">
        <v>1076</v>
      </c>
      <c r="J63" s="0" t="s">
        <v>1077</v>
      </c>
      <c r="K63" s="0" t="s">
        <v>1078</v>
      </c>
      <c r="L63" s="0" t="s">
        <v>1084</v>
      </c>
      <c r="M63" s="0" t="s">
        <v>371</v>
      </c>
      <c r="N63" s="0" t="s">
        <v>106</v>
      </c>
      <c r="O63" s="0" t="s">
        <v>1074</v>
      </c>
      <c r="P63" s="0" t="s">
        <v>1075</v>
      </c>
      <c r="Q63" s="0" t="s">
        <v>1076</v>
      </c>
      <c r="R63" s="0" t="s">
        <v>1077</v>
      </c>
      <c r="S63" s="0" t="s">
        <v>1078</v>
      </c>
      <c r="T63" s="0" t="s">
        <v>4140</v>
      </c>
      <c r="U63" s="0" t="s">
        <v>4141</v>
      </c>
      <c r="V63" s="0" t="s">
        <v>4142</v>
      </c>
      <c r="W63" s="0" t="s">
        <v>4019</v>
      </c>
      <c r="X63" s="0" t="s">
        <v>4143</v>
      </c>
      <c r="Y63" s="0" t="s">
        <v>4141</v>
      </c>
      <c r="Z63" s="0" t="s">
        <v>4144</v>
      </c>
      <c r="AA63" s="0" t="s">
        <v>4145</v>
      </c>
      <c r="AB63" s="0" t="s">
        <v>4142</v>
      </c>
      <c r="AC63" s="0" t="s">
        <v>19</v>
      </c>
      <c r="AD63" s="0" t="s">
        <v>65</v>
      </c>
      <c r="AE63" s="0" t="s">
        <v>19</v>
      </c>
      <c r="AF63" s="0" t="s">
        <v>22</v>
      </c>
      <c r="AG63" s="0" t="s">
        <v>22</v>
      </c>
      <c r="AH63" s="0" t="s">
        <v>4186</v>
      </c>
      <c r="AI63" s="0" t="s">
        <v>4187</v>
      </c>
      <c r="AJ63" s="0" t="s">
        <v>4186</v>
      </c>
      <c r="AK63" s="0" t="s">
        <v>4187</v>
      </c>
      <c r="AL63" s="0" t="s">
        <v>22</v>
      </c>
    </row>
    <row customHeight="1" ht="11.25">
      <c r="A64" s="0" t="s">
        <v>22</v>
      </c>
      <c r="B64" s="0" t="s">
        <v>48</v>
      </c>
      <c r="C64" s="0" t="s">
        <v>50</v>
      </c>
      <c r="D64" s="0" t="s">
        <v>22</v>
      </c>
      <c r="E64" s="0" t="s">
        <v>4188</v>
      </c>
      <c r="F64" s="0" t="s">
        <v>1083</v>
      </c>
      <c r="G64" s="0" t="s">
        <v>1074</v>
      </c>
      <c r="H64" s="0" t="s">
        <v>1075</v>
      </c>
      <c r="I64" s="0" t="s">
        <v>1076</v>
      </c>
      <c r="J64" s="0" t="s">
        <v>1077</v>
      </c>
      <c r="K64" s="0" t="s">
        <v>1078</v>
      </c>
      <c r="L64" s="0" t="s">
        <v>4179</v>
      </c>
      <c r="M64" s="0" t="s">
        <v>371</v>
      </c>
      <c r="N64" s="0" t="s">
        <v>106</v>
      </c>
      <c r="O64" s="0" t="s">
        <v>1074</v>
      </c>
      <c r="P64" s="0" t="s">
        <v>1075</v>
      </c>
      <c r="Q64" s="0" t="s">
        <v>1076</v>
      </c>
      <c r="R64" s="0" t="s">
        <v>1077</v>
      </c>
      <c r="S64" s="0" t="s">
        <v>1078</v>
      </c>
      <c r="T64" s="0" t="s">
        <v>4140</v>
      </c>
      <c r="U64" s="0" t="s">
        <v>4141</v>
      </c>
      <c r="V64" s="0" t="s">
        <v>4142</v>
      </c>
      <c r="W64" s="0" t="s">
        <v>4019</v>
      </c>
      <c r="X64" s="0" t="s">
        <v>4143</v>
      </c>
      <c r="Y64" s="0" t="s">
        <v>4141</v>
      </c>
      <c r="Z64" s="0" t="s">
        <v>4144</v>
      </c>
      <c r="AA64" s="0" t="s">
        <v>4145</v>
      </c>
      <c r="AB64" s="0" t="s">
        <v>4142</v>
      </c>
      <c r="AC64" s="0" t="s">
        <v>19</v>
      </c>
      <c r="AD64" s="0" t="s">
        <v>65</v>
      </c>
      <c r="AE64" s="0" t="s">
        <v>19</v>
      </c>
      <c r="AF64" s="0" t="s">
        <v>22</v>
      </c>
      <c r="AG64" s="0" t="s">
        <v>22</v>
      </c>
      <c r="AH64" s="0" t="s">
        <v>4189</v>
      </c>
      <c r="AI64" s="0" t="s">
        <v>4190</v>
      </c>
      <c r="AJ64" s="0" t="s">
        <v>4189</v>
      </c>
      <c r="AK64" s="0" t="s">
        <v>4190</v>
      </c>
      <c r="AL64" s="0" t="s">
        <v>22</v>
      </c>
    </row>
    <row customHeight="1" ht="11.25">
      <c r="A65" s="0" t="s">
        <v>22</v>
      </c>
      <c r="B65" s="0" t="s">
        <v>48</v>
      </c>
      <c r="C65" s="0" t="s">
        <v>50</v>
      </c>
      <c r="D65" s="0" t="s">
        <v>22</v>
      </c>
      <c r="E65" s="0" t="s">
        <v>4188</v>
      </c>
      <c r="F65" s="0" t="s">
        <v>1083</v>
      </c>
      <c r="G65" s="0" t="s">
        <v>1074</v>
      </c>
      <c r="H65" s="0" t="s">
        <v>1075</v>
      </c>
      <c r="I65" s="0" t="s">
        <v>1076</v>
      </c>
      <c r="J65" s="0" t="s">
        <v>1077</v>
      </c>
      <c r="K65" s="0" t="s">
        <v>1078</v>
      </c>
      <c r="L65" s="0" t="s">
        <v>4179</v>
      </c>
      <c r="M65" s="0" t="s">
        <v>371</v>
      </c>
      <c r="N65" s="0" t="s">
        <v>106</v>
      </c>
      <c r="O65" s="0" t="s">
        <v>1074</v>
      </c>
      <c r="P65" s="0" t="s">
        <v>1075</v>
      </c>
      <c r="Q65" s="0" t="s">
        <v>1076</v>
      </c>
      <c r="R65" s="0" t="s">
        <v>1077</v>
      </c>
      <c r="S65" s="0" t="s">
        <v>1078</v>
      </c>
      <c r="T65" s="0" t="s">
        <v>4140</v>
      </c>
      <c r="U65" s="0" t="s">
        <v>4141</v>
      </c>
      <c r="V65" s="0" t="s">
        <v>4142</v>
      </c>
      <c r="W65" s="0" t="s">
        <v>4019</v>
      </c>
      <c r="X65" s="0" t="s">
        <v>4143</v>
      </c>
      <c r="Y65" s="0" t="s">
        <v>4141</v>
      </c>
      <c r="Z65" s="0" t="s">
        <v>4144</v>
      </c>
      <c r="AA65" s="0" t="s">
        <v>4145</v>
      </c>
      <c r="AB65" s="0" t="s">
        <v>4142</v>
      </c>
      <c r="AC65" s="0" t="s">
        <v>19</v>
      </c>
      <c r="AD65" s="0" t="s">
        <v>65</v>
      </c>
      <c r="AE65" s="0" t="s">
        <v>19</v>
      </c>
      <c r="AF65" s="0" t="s">
        <v>22</v>
      </c>
      <c r="AG65" s="0" t="s">
        <v>22</v>
      </c>
      <c r="AH65" s="0" t="s">
        <v>4189</v>
      </c>
      <c r="AI65" s="0" t="s">
        <v>4190</v>
      </c>
      <c r="AJ65" s="0" t="s">
        <v>4189</v>
      </c>
      <c r="AK65" s="0" t="s">
        <v>4190</v>
      </c>
      <c r="AL65" s="0" t="s">
        <v>22</v>
      </c>
    </row>
    <row customHeight="1" ht="11.25">
      <c r="A66" s="0" t="s">
        <v>22</v>
      </c>
      <c r="B66" s="0" t="s">
        <v>48</v>
      </c>
      <c r="C66" s="0" t="s">
        <v>50</v>
      </c>
      <c r="D66" s="0" t="s">
        <v>22</v>
      </c>
      <c r="E66" s="0" t="s">
        <v>1086</v>
      </c>
      <c r="F66" s="0" t="s">
        <v>1083</v>
      </c>
      <c r="G66" s="0" t="s">
        <v>1074</v>
      </c>
      <c r="H66" s="0" t="s">
        <v>1075</v>
      </c>
      <c r="I66" s="0" t="s">
        <v>1076</v>
      </c>
      <c r="J66" s="0" t="s">
        <v>1077</v>
      </c>
      <c r="K66" s="0" t="s">
        <v>1078</v>
      </c>
      <c r="L66" s="0" t="s">
        <v>1087</v>
      </c>
      <c r="M66" s="0" t="s">
        <v>371</v>
      </c>
      <c r="N66" s="0" t="s">
        <v>106</v>
      </c>
      <c r="O66" s="0" t="s">
        <v>1074</v>
      </c>
      <c r="P66" s="0" t="s">
        <v>1075</v>
      </c>
      <c r="Q66" s="0" t="s">
        <v>1076</v>
      </c>
      <c r="R66" s="0" t="s">
        <v>1077</v>
      </c>
      <c r="S66" s="0" t="s">
        <v>1078</v>
      </c>
      <c r="T66" s="0" t="s">
        <v>4140</v>
      </c>
      <c r="U66" s="0" t="s">
        <v>4141</v>
      </c>
      <c r="V66" s="0" t="s">
        <v>4142</v>
      </c>
      <c r="W66" s="0" t="s">
        <v>4019</v>
      </c>
      <c r="X66" s="0" t="s">
        <v>4143</v>
      </c>
      <c r="Y66" s="0" t="s">
        <v>4141</v>
      </c>
      <c r="Z66" s="0" t="s">
        <v>4144</v>
      </c>
      <c r="AA66" s="0" t="s">
        <v>4145</v>
      </c>
      <c r="AB66" s="0" t="s">
        <v>4142</v>
      </c>
      <c r="AC66" s="0" t="s">
        <v>19</v>
      </c>
      <c r="AD66" s="0" t="s">
        <v>65</v>
      </c>
      <c r="AE66" s="0" t="s">
        <v>19</v>
      </c>
      <c r="AF66" s="0" t="s">
        <v>22</v>
      </c>
      <c r="AG66" s="0" t="s">
        <v>22</v>
      </c>
      <c r="AH66" s="0" t="s">
        <v>4191</v>
      </c>
      <c r="AI66" s="0" t="s">
        <v>4192</v>
      </c>
      <c r="AJ66" s="0" t="s">
        <v>4191</v>
      </c>
      <c r="AK66" s="0" t="s">
        <v>4192</v>
      </c>
      <c r="AL66" s="0" t="s">
        <v>22</v>
      </c>
    </row>
    <row customHeight="1" ht="11.25">
      <c r="A67" s="0" t="s">
        <v>22</v>
      </c>
      <c r="B67" s="0" t="s">
        <v>48</v>
      </c>
      <c r="C67" s="0" t="s">
        <v>50</v>
      </c>
      <c r="D67" s="0" t="s">
        <v>22</v>
      </c>
      <c r="E67" s="0" t="s">
        <v>1086</v>
      </c>
      <c r="F67" s="0" t="s">
        <v>1083</v>
      </c>
      <c r="G67" s="0" t="s">
        <v>1074</v>
      </c>
      <c r="H67" s="0" t="s">
        <v>1075</v>
      </c>
      <c r="I67" s="0" t="s">
        <v>1076</v>
      </c>
      <c r="J67" s="0" t="s">
        <v>1077</v>
      </c>
      <c r="K67" s="0" t="s">
        <v>1078</v>
      </c>
      <c r="L67" s="0" t="s">
        <v>1087</v>
      </c>
      <c r="M67" s="0" t="s">
        <v>371</v>
      </c>
      <c r="N67" s="0" t="s">
        <v>106</v>
      </c>
      <c r="O67" s="0" t="s">
        <v>1074</v>
      </c>
      <c r="P67" s="0" t="s">
        <v>1075</v>
      </c>
      <c r="Q67" s="0" t="s">
        <v>1076</v>
      </c>
      <c r="R67" s="0" t="s">
        <v>1077</v>
      </c>
      <c r="S67" s="0" t="s">
        <v>1078</v>
      </c>
      <c r="T67" s="0" t="s">
        <v>4140</v>
      </c>
      <c r="U67" s="0" t="s">
        <v>4141</v>
      </c>
      <c r="V67" s="0" t="s">
        <v>4142</v>
      </c>
      <c r="W67" s="0" t="s">
        <v>4019</v>
      </c>
      <c r="X67" s="0" t="s">
        <v>4143</v>
      </c>
      <c r="Y67" s="0" t="s">
        <v>4141</v>
      </c>
      <c r="Z67" s="0" t="s">
        <v>4144</v>
      </c>
      <c r="AA67" s="0" t="s">
        <v>4145</v>
      </c>
      <c r="AB67" s="0" t="s">
        <v>4142</v>
      </c>
      <c r="AC67" s="0" t="s">
        <v>19</v>
      </c>
      <c r="AD67" s="0" t="s">
        <v>65</v>
      </c>
      <c r="AE67" s="0" t="s">
        <v>19</v>
      </c>
      <c r="AF67" s="0" t="s">
        <v>22</v>
      </c>
      <c r="AG67" s="0" t="s">
        <v>22</v>
      </c>
      <c r="AH67" s="0" t="s">
        <v>4191</v>
      </c>
      <c r="AI67" s="0" t="s">
        <v>4192</v>
      </c>
      <c r="AJ67" s="0" t="s">
        <v>4191</v>
      </c>
      <c r="AK67" s="0" t="s">
        <v>4192</v>
      </c>
      <c r="AL67" s="0" t="s">
        <v>22</v>
      </c>
    </row>
    <row customHeight="1" ht="11.25">
      <c r="A68" s="0" t="s">
        <v>22</v>
      </c>
      <c r="B68" s="0" t="s">
        <v>48</v>
      </c>
      <c r="C68" s="0" t="s">
        <v>50</v>
      </c>
      <c r="D68" s="0" t="s">
        <v>22</v>
      </c>
      <c r="E68" s="0" t="s">
        <v>4193</v>
      </c>
      <c r="F68" s="0" t="s">
        <v>1042</v>
      </c>
      <c r="G68" s="0" t="s">
        <v>1074</v>
      </c>
      <c r="H68" s="0" t="s">
        <v>1075</v>
      </c>
      <c r="I68" s="0" t="s">
        <v>1076</v>
      </c>
      <c r="J68" s="0" t="s">
        <v>1077</v>
      </c>
      <c r="K68" s="0" t="s">
        <v>1078</v>
      </c>
      <c r="L68" s="0" t="s">
        <v>4194</v>
      </c>
      <c r="M68" s="0" t="s">
        <v>4109</v>
      </c>
      <c r="N68" s="0" t="s">
        <v>106</v>
      </c>
      <c r="O68" s="0" t="s">
        <v>1074</v>
      </c>
      <c r="P68" s="0" t="s">
        <v>1075</v>
      </c>
      <c r="Q68" s="0" t="s">
        <v>1076</v>
      </c>
      <c r="R68" s="0" t="s">
        <v>1077</v>
      </c>
      <c r="S68" s="0" t="s">
        <v>1078</v>
      </c>
      <c r="T68" s="0" t="s">
        <v>4140</v>
      </c>
      <c r="U68" s="0" t="s">
        <v>4141</v>
      </c>
      <c r="V68" s="0" t="s">
        <v>4142</v>
      </c>
      <c r="W68" s="0" t="s">
        <v>4019</v>
      </c>
      <c r="X68" s="0" t="s">
        <v>4143</v>
      </c>
      <c r="Y68" s="0" t="s">
        <v>4141</v>
      </c>
      <c r="Z68" s="0" t="s">
        <v>4144</v>
      </c>
      <c r="AA68" s="0" t="s">
        <v>4145</v>
      </c>
      <c r="AB68" s="0" t="s">
        <v>4142</v>
      </c>
      <c r="AC68" s="0" t="s">
        <v>65</v>
      </c>
      <c r="AD68" s="0" t="s">
        <v>65</v>
      </c>
      <c r="AE68" s="0" t="s">
        <v>65</v>
      </c>
      <c r="AF68" s="0" t="s">
        <v>4195</v>
      </c>
      <c r="AG68" s="0" t="s">
        <v>4196</v>
      </c>
      <c r="AH68" s="0" t="s">
        <v>4195</v>
      </c>
      <c r="AI68" s="0" t="s">
        <v>4196</v>
      </c>
      <c r="AJ68" s="0" t="s">
        <v>4195</v>
      </c>
      <c r="AK68" s="0" t="s">
        <v>4196</v>
      </c>
      <c r="AL68" s="0" t="s">
        <v>4153</v>
      </c>
    </row>
    <row customHeight="1" ht="11.25">
      <c r="A69" s="0" t="s">
        <v>22</v>
      </c>
      <c r="B69" s="0" t="s">
        <v>48</v>
      </c>
      <c r="C69" s="0" t="s">
        <v>50</v>
      </c>
      <c r="D69" s="0" t="s">
        <v>22</v>
      </c>
      <c r="E69" s="0" t="s">
        <v>4193</v>
      </c>
      <c r="F69" s="0" t="s">
        <v>1042</v>
      </c>
      <c r="G69" s="0" t="s">
        <v>1074</v>
      </c>
      <c r="H69" s="0" t="s">
        <v>1075</v>
      </c>
      <c r="I69" s="0" t="s">
        <v>1076</v>
      </c>
      <c r="J69" s="0" t="s">
        <v>1077</v>
      </c>
      <c r="K69" s="0" t="s">
        <v>1078</v>
      </c>
      <c r="L69" s="0" t="s">
        <v>4194</v>
      </c>
      <c r="M69" s="0" t="s">
        <v>4109</v>
      </c>
      <c r="N69" s="0" t="s">
        <v>106</v>
      </c>
      <c r="O69" s="0" t="s">
        <v>1074</v>
      </c>
      <c r="P69" s="0" t="s">
        <v>1075</v>
      </c>
      <c r="Q69" s="0" t="s">
        <v>1076</v>
      </c>
      <c r="R69" s="0" t="s">
        <v>1077</v>
      </c>
      <c r="S69" s="0" t="s">
        <v>1078</v>
      </c>
      <c r="T69" s="0" t="s">
        <v>4140</v>
      </c>
      <c r="U69" s="0" t="s">
        <v>4141</v>
      </c>
      <c r="V69" s="0" t="s">
        <v>4142</v>
      </c>
      <c r="W69" s="0" t="s">
        <v>4019</v>
      </c>
      <c r="X69" s="0" t="s">
        <v>4143</v>
      </c>
      <c r="Y69" s="0" t="s">
        <v>4141</v>
      </c>
      <c r="Z69" s="0" t="s">
        <v>4144</v>
      </c>
      <c r="AA69" s="0" t="s">
        <v>4145</v>
      </c>
      <c r="AB69" s="0" t="s">
        <v>4142</v>
      </c>
      <c r="AC69" s="0" t="s">
        <v>65</v>
      </c>
      <c r="AD69" s="0" t="s">
        <v>65</v>
      </c>
      <c r="AE69" s="0" t="s">
        <v>65</v>
      </c>
      <c r="AF69" s="0" t="s">
        <v>4195</v>
      </c>
      <c r="AG69" s="0" t="s">
        <v>4196</v>
      </c>
      <c r="AH69" s="0" t="s">
        <v>4195</v>
      </c>
      <c r="AI69" s="0" t="s">
        <v>4196</v>
      </c>
      <c r="AJ69" s="0" t="s">
        <v>4195</v>
      </c>
      <c r="AK69" s="0" t="s">
        <v>4196</v>
      </c>
      <c r="AL69" s="0" t="s">
        <v>4153</v>
      </c>
    </row>
    <row customHeight="1" ht="11.25">
      <c r="A70" s="0" t="s">
        <v>22</v>
      </c>
      <c r="B70" s="0" t="s">
        <v>48</v>
      </c>
      <c r="C70" s="0" t="s">
        <v>50</v>
      </c>
      <c r="D70" s="0" t="s">
        <v>22</v>
      </c>
      <c r="E70" s="0" t="s">
        <v>1089</v>
      </c>
      <c r="F70" s="0" t="s">
        <v>1029</v>
      </c>
      <c r="G70" s="0" t="s">
        <v>1074</v>
      </c>
      <c r="H70" s="0" t="s">
        <v>1090</v>
      </c>
      <c r="I70" s="0" t="s">
        <v>1091</v>
      </c>
      <c r="J70" s="0" t="s">
        <v>1092</v>
      </c>
      <c r="K70" s="0" t="s">
        <v>1093</v>
      </c>
      <c r="L70" s="0" t="s">
        <v>1094</v>
      </c>
      <c r="M70" s="0" t="s">
        <v>148</v>
      </c>
      <c r="N70" s="0" t="s">
        <v>106</v>
      </c>
      <c r="O70" s="0" t="s">
        <v>1074</v>
      </c>
      <c r="P70" s="0" t="s">
        <v>1090</v>
      </c>
      <c r="Q70" s="0" t="s">
        <v>1091</v>
      </c>
      <c r="R70" s="0" t="s">
        <v>1092</v>
      </c>
      <c r="S70" s="0" t="s">
        <v>1093</v>
      </c>
      <c r="T70" s="0" t="s">
        <v>4016</v>
      </c>
      <c r="U70" s="0" t="s">
        <v>4017</v>
      </c>
      <c r="V70" s="0" t="s">
        <v>4166</v>
      </c>
      <c r="W70" s="0" t="s">
        <v>4019</v>
      </c>
      <c r="X70" s="0" t="s">
        <v>4156</v>
      </c>
      <c r="Y70" s="0" t="s">
        <v>4021</v>
      </c>
      <c r="Z70" s="0" t="s">
        <v>4157</v>
      </c>
      <c r="AA70" s="0" t="s">
        <v>4197</v>
      </c>
      <c r="AB70" s="0" t="s">
        <v>4166</v>
      </c>
      <c r="AC70" s="0" t="s">
        <v>65</v>
      </c>
      <c r="AD70" s="0" t="s">
        <v>19</v>
      </c>
      <c r="AE70" s="0" t="s">
        <v>19</v>
      </c>
      <c r="AF70" s="0" t="s">
        <v>4198</v>
      </c>
      <c r="AG70" s="0" t="s">
        <v>4199</v>
      </c>
      <c r="AH70" s="0" t="s">
        <v>22</v>
      </c>
      <c r="AI70" s="0" t="s">
        <v>22</v>
      </c>
      <c r="AJ70" s="0" t="s">
        <v>22</v>
      </c>
      <c r="AK70" s="0" t="s">
        <v>22</v>
      </c>
      <c r="AL70" s="0" t="s">
        <v>4200</v>
      </c>
    </row>
    <row customHeight="1" ht="11.25">
      <c r="A71" s="0" t="s">
        <v>22</v>
      </c>
      <c r="B71" s="0" t="s">
        <v>48</v>
      </c>
      <c r="C71" s="0" t="s">
        <v>50</v>
      </c>
      <c r="D71" s="0" t="s">
        <v>22</v>
      </c>
      <c r="E71" s="0" t="s">
        <v>1089</v>
      </c>
      <c r="F71" s="0" t="s">
        <v>1029</v>
      </c>
      <c r="G71" s="0" t="s">
        <v>1074</v>
      </c>
      <c r="H71" s="0" t="s">
        <v>1090</v>
      </c>
      <c r="I71" s="0" t="s">
        <v>1091</v>
      </c>
      <c r="J71" s="0" t="s">
        <v>1092</v>
      </c>
      <c r="K71" s="0" t="s">
        <v>1093</v>
      </c>
      <c r="L71" s="0" t="s">
        <v>1094</v>
      </c>
      <c r="M71" s="0" t="s">
        <v>148</v>
      </c>
      <c r="N71" s="0" t="s">
        <v>106</v>
      </c>
      <c r="O71" s="0" t="s">
        <v>1074</v>
      </c>
      <c r="P71" s="0" t="s">
        <v>1090</v>
      </c>
      <c r="Q71" s="0" t="s">
        <v>1091</v>
      </c>
      <c r="R71" s="0" t="s">
        <v>1092</v>
      </c>
      <c r="S71" s="0" t="s">
        <v>1093</v>
      </c>
      <c r="T71" s="0" t="s">
        <v>4016</v>
      </c>
      <c r="U71" s="0" t="s">
        <v>4017</v>
      </c>
      <c r="V71" s="0" t="s">
        <v>4166</v>
      </c>
      <c r="W71" s="0" t="s">
        <v>4019</v>
      </c>
      <c r="X71" s="0" t="s">
        <v>4156</v>
      </c>
      <c r="Y71" s="0" t="s">
        <v>4021</v>
      </c>
      <c r="Z71" s="0" t="s">
        <v>4157</v>
      </c>
      <c r="AA71" s="0" t="s">
        <v>4197</v>
      </c>
      <c r="AB71" s="0" t="s">
        <v>4166</v>
      </c>
      <c r="AC71" s="0" t="s">
        <v>65</v>
      </c>
      <c r="AD71" s="0" t="s">
        <v>19</v>
      </c>
      <c r="AE71" s="0" t="s">
        <v>19</v>
      </c>
      <c r="AF71" s="0" t="s">
        <v>4198</v>
      </c>
      <c r="AG71" s="0" t="s">
        <v>4199</v>
      </c>
      <c r="AH71" s="0" t="s">
        <v>22</v>
      </c>
      <c r="AI71" s="0" t="s">
        <v>22</v>
      </c>
      <c r="AJ71" s="0" t="s">
        <v>22</v>
      </c>
      <c r="AK71" s="0" t="s">
        <v>22</v>
      </c>
      <c r="AL71" s="0" t="s">
        <v>4158</v>
      </c>
    </row>
    <row customHeight="1" ht="11.25">
      <c r="A72" s="0" t="s">
        <v>22</v>
      </c>
      <c r="B72" s="0" t="s">
        <v>48</v>
      </c>
      <c r="C72" s="0" t="s">
        <v>50</v>
      </c>
      <c r="D72" s="0" t="s">
        <v>22</v>
      </c>
      <c r="E72" s="0" t="s">
        <v>4201</v>
      </c>
      <c r="F72" s="0" t="s">
        <v>1029</v>
      </c>
      <c r="G72" s="0" t="s">
        <v>1074</v>
      </c>
      <c r="H72" s="0" t="s">
        <v>1090</v>
      </c>
      <c r="I72" s="0" t="s">
        <v>1091</v>
      </c>
      <c r="J72" s="0" t="s">
        <v>1092</v>
      </c>
      <c r="K72" s="0" t="s">
        <v>1093</v>
      </c>
      <c r="L72" s="0" t="s">
        <v>1094</v>
      </c>
      <c r="M72" s="0" t="s">
        <v>148</v>
      </c>
      <c r="N72" s="0" t="s">
        <v>106</v>
      </c>
      <c r="O72" s="0" t="s">
        <v>1074</v>
      </c>
      <c r="P72" s="0" t="s">
        <v>1090</v>
      </c>
      <c r="Q72" s="0" t="s">
        <v>1091</v>
      </c>
      <c r="R72" s="0" t="s">
        <v>1092</v>
      </c>
      <c r="S72" s="0" t="s">
        <v>1093</v>
      </c>
      <c r="T72" s="0" t="s">
        <v>4016</v>
      </c>
      <c r="U72" s="0" t="s">
        <v>4017</v>
      </c>
      <c r="V72" s="0" t="s">
        <v>4018</v>
      </c>
      <c r="W72" s="0" t="s">
        <v>4202</v>
      </c>
      <c r="X72" s="0" t="s">
        <v>4020</v>
      </c>
      <c r="Y72" s="0" t="s">
        <v>4021</v>
      </c>
      <c r="Z72" s="0" t="s">
        <v>4203</v>
      </c>
      <c r="AA72" s="0" t="s">
        <v>4204</v>
      </c>
      <c r="AB72" s="0" t="s">
        <v>4018</v>
      </c>
      <c r="AC72" s="0" t="s">
        <v>65</v>
      </c>
      <c r="AD72" s="0" t="s">
        <v>19</v>
      </c>
      <c r="AE72" s="0" t="s">
        <v>19</v>
      </c>
      <c r="AF72" s="0" t="s">
        <v>4205</v>
      </c>
      <c r="AG72" s="0" t="s">
        <v>4206</v>
      </c>
      <c r="AH72" s="0" t="s">
        <v>22</v>
      </c>
      <c r="AI72" s="0" t="s">
        <v>22</v>
      </c>
      <c r="AJ72" s="0" t="s">
        <v>22</v>
      </c>
      <c r="AK72" s="0" t="s">
        <v>22</v>
      </c>
      <c r="AL72" s="0" t="s">
        <v>4207</v>
      </c>
    </row>
    <row customHeight="1" ht="11.25">
      <c r="A73" s="0" t="s">
        <v>22</v>
      </c>
      <c r="B73" s="0" t="s">
        <v>48</v>
      </c>
      <c r="C73" s="0" t="s">
        <v>50</v>
      </c>
      <c r="D73" s="0" t="s">
        <v>22</v>
      </c>
      <c r="E73" s="0" t="s">
        <v>4208</v>
      </c>
      <c r="F73" s="0" t="s">
        <v>1029</v>
      </c>
      <c r="G73" s="0" t="s">
        <v>1074</v>
      </c>
      <c r="H73" s="0" t="s">
        <v>1090</v>
      </c>
      <c r="I73" s="0" t="s">
        <v>1091</v>
      </c>
      <c r="J73" s="0" t="s">
        <v>1092</v>
      </c>
      <c r="K73" s="0" t="s">
        <v>1093</v>
      </c>
      <c r="L73" s="0" t="s">
        <v>4209</v>
      </c>
      <c r="M73" s="0" t="s">
        <v>148</v>
      </c>
      <c r="N73" s="0" t="s">
        <v>106</v>
      </c>
      <c r="O73" s="0" t="s">
        <v>1074</v>
      </c>
      <c r="P73" s="0" t="s">
        <v>1090</v>
      </c>
      <c r="Q73" s="0" t="s">
        <v>1091</v>
      </c>
      <c r="R73" s="0" t="s">
        <v>1092</v>
      </c>
      <c r="S73" s="0" t="s">
        <v>1093</v>
      </c>
      <c r="T73" s="0" t="s">
        <v>4016</v>
      </c>
      <c r="U73" s="0" t="s">
        <v>4017</v>
      </c>
      <c r="V73" s="0" t="s">
        <v>4166</v>
      </c>
      <c r="W73" s="0" t="s">
        <v>4019</v>
      </c>
      <c r="X73" s="0" t="s">
        <v>4156</v>
      </c>
      <c r="Y73" s="0" t="s">
        <v>4021</v>
      </c>
      <c r="Z73" s="0" t="s">
        <v>4157</v>
      </c>
      <c r="AA73" s="0" t="s">
        <v>4197</v>
      </c>
      <c r="AB73" s="0" t="s">
        <v>4166</v>
      </c>
      <c r="AC73" s="0" t="s">
        <v>65</v>
      </c>
      <c r="AD73" s="0" t="s">
        <v>19</v>
      </c>
      <c r="AE73" s="0" t="s">
        <v>19</v>
      </c>
      <c r="AF73" s="0" t="s">
        <v>4198</v>
      </c>
      <c r="AG73" s="0" t="s">
        <v>4210</v>
      </c>
      <c r="AH73" s="0" t="s">
        <v>22</v>
      </c>
      <c r="AI73" s="0" t="s">
        <v>22</v>
      </c>
      <c r="AJ73" s="0" t="s">
        <v>22</v>
      </c>
      <c r="AK73" s="0" t="s">
        <v>22</v>
      </c>
      <c r="AL73" s="0" t="s">
        <v>4158</v>
      </c>
    </row>
    <row customHeight="1" ht="11.25">
      <c r="A74" s="0" t="s">
        <v>22</v>
      </c>
      <c r="B74" s="0" t="s">
        <v>48</v>
      </c>
      <c r="C74" s="0" t="s">
        <v>50</v>
      </c>
      <c r="D74" s="0" t="s">
        <v>22</v>
      </c>
      <c r="E74" s="0" t="s">
        <v>4208</v>
      </c>
      <c r="F74" s="0" t="s">
        <v>1029</v>
      </c>
      <c r="G74" s="0" t="s">
        <v>1074</v>
      </c>
      <c r="H74" s="0" t="s">
        <v>1090</v>
      </c>
      <c r="I74" s="0" t="s">
        <v>1091</v>
      </c>
      <c r="J74" s="0" t="s">
        <v>1092</v>
      </c>
      <c r="K74" s="0" t="s">
        <v>1093</v>
      </c>
      <c r="L74" s="0" t="s">
        <v>4209</v>
      </c>
      <c r="M74" s="0" t="s">
        <v>148</v>
      </c>
      <c r="N74" s="0" t="s">
        <v>106</v>
      </c>
      <c r="O74" s="0" t="s">
        <v>1074</v>
      </c>
      <c r="P74" s="0" t="s">
        <v>1090</v>
      </c>
      <c r="Q74" s="0" t="s">
        <v>1091</v>
      </c>
      <c r="R74" s="0" t="s">
        <v>1092</v>
      </c>
      <c r="S74" s="0" t="s">
        <v>1093</v>
      </c>
      <c r="T74" s="0" t="s">
        <v>4016</v>
      </c>
      <c r="U74" s="0" t="s">
        <v>4017</v>
      </c>
      <c r="V74" s="0" t="s">
        <v>4166</v>
      </c>
      <c r="W74" s="0" t="s">
        <v>4019</v>
      </c>
      <c r="X74" s="0" t="s">
        <v>4156</v>
      </c>
      <c r="Y74" s="0" t="s">
        <v>4021</v>
      </c>
      <c r="Z74" s="0" t="s">
        <v>4157</v>
      </c>
      <c r="AA74" s="0" t="s">
        <v>4197</v>
      </c>
      <c r="AB74" s="0" t="s">
        <v>4166</v>
      </c>
      <c r="AC74" s="0" t="s">
        <v>65</v>
      </c>
      <c r="AD74" s="0" t="s">
        <v>19</v>
      </c>
      <c r="AE74" s="0" t="s">
        <v>19</v>
      </c>
      <c r="AF74" s="0" t="s">
        <v>4198</v>
      </c>
      <c r="AG74" s="0" t="s">
        <v>4210</v>
      </c>
      <c r="AH74" s="0" t="s">
        <v>22</v>
      </c>
      <c r="AI74" s="0" t="s">
        <v>22</v>
      </c>
      <c r="AJ74" s="0" t="s">
        <v>22</v>
      </c>
      <c r="AK74" s="0" t="s">
        <v>22</v>
      </c>
      <c r="AL74" s="0" t="s">
        <v>4200</v>
      </c>
    </row>
    <row customHeight="1" ht="11.25">
      <c r="A75" s="0" t="s">
        <v>22</v>
      </c>
      <c r="B75" s="0" t="s">
        <v>48</v>
      </c>
      <c r="C75" s="0" t="s">
        <v>50</v>
      </c>
      <c r="D75" s="0" t="s">
        <v>22</v>
      </c>
      <c r="E75" s="0" t="s">
        <v>4061</v>
      </c>
      <c r="F75" s="0" t="s">
        <v>1029</v>
      </c>
      <c r="G75" s="0" t="s">
        <v>1030</v>
      </c>
      <c r="H75" s="0" t="s">
        <v>1030</v>
      </c>
      <c r="I75" s="0" t="s">
        <v>1031</v>
      </c>
      <c r="J75" s="0" t="s">
        <v>1032</v>
      </c>
      <c r="K75" s="0" t="s">
        <v>1033</v>
      </c>
      <c r="L75" s="0" t="s">
        <v>4062</v>
      </c>
      <c r="M75" s="0" t="s">
        <v>4063</v>
      </c>
      <c r="N75" s="0" t="s">
        <v>107</v>
      </c>
      <c r="O75" s="0" t="s">
        <v>1055</v>
      </c>
      <c r="P75" s="0" t="s">
        <v>3701</v>
      </c>
      <c r="Q75" s="0" t="s">
        <v>3702</v>
      </c>
      <c r="R75" s="0" t="s">
        <v>4211</v>
      </c>
      <c r="S75" s="0" t="s">
        <v>4212</v>
      </c>
      <c r="T75" s="0" t="s">
        <v>4016</v>
      </c>
      <c r="U75" s="0" t="s">
        <v>4017</v>
      </c>
      <c r="V75" s="0" t="s">
        <v>4018</v>
      </c>
      <c r="W75" s="0" t="s">
        <v>4019</v>
      </c>
      <c r="X75" s="0" t="s">
        <v>4020</v>
      </c>
      <c r="Y75" s="0" t="s">
        <v>4021</v>
      </c>
      <c r="Z75" s="0" t="s">
        <v>4064</v>
      </c>
      <c r="AA75" s="0" t="s">
        <v>4042</v>
      </c>
      <c r="AB75" s="0" t="s">
        <v>4018</v>
      </c>
      <c r="AC75" s="0" t="s">
        <v>65</v>
      </c>
      <c r="AD75" s="0" t="s">
        <v>19</v>
      </c>
      <c r="AE75" s="0" t="s">
        <v>19</v>
      </c>
      <c r="AF75" s="0" t="s">
        <v>4065</v>
      </c>
      <c r="AG75" s="0" t="s">
        <v>4066</v>
      </c>
      <c r="AH75" s="0" t="s">
        <v>22</v>
      </c>
      <c r="AI75" s="0" t="s">
        <v>22</v>
      </c>
      <c r="AJ75" s="0" t="s">
        <v>22</v>
      </c>
      <c r="AK75" s="0" t="s">
        <v>22</v>
      </c>
      <c r="AL75" s="0" t="s">
        <v>4068</v>
      </c>
    </row>
    <row customHeight="1" ht="11.25">
      <c r="A76" s="0" t="s">
        <v>22</v>
      </c>
      <c r="B76" s="0" t="s">
        <v>48</v>
      </c>
      <c r="C76" s="0" t="s">
        <v>50</v>
      </c>
      <c r="D76" s="0" t="s">
        <v>22</v>
      </c>
      <c r="E76" s="0" t="s">
        <v>4061</v>
      </c>
      <c r="F76" s="0" t="s">
        <v>1029</v>
      </c>
      <c r="G76" s="0" t="s">
        <v>1030</v>
      </c>
      <c r="H76" s="0" t="s">
        <v>1030</v>
      </c>
      <c r="I76" s="0" t="s">
        <v>1031</v>
      </c>
      <c r="J76" s="0" t="s">
        <v>1032</v>
      </c>
      <c r="K76" s="0" t="s">
        <v>1033</v>
      </c>
      <c r="L76" s="0" t="s">
        <v>4062</v>
      </c>
      <c r="M76" s="0" t="s">
        <v>4063</v>
      </c>
      <c r="N76" s="0" t="s">
        <v>107</v>
      </c>
      <c r="O76" s="0" t="s">
        <v>1055</v>
      </c>
      <c r="P76" s="0" t="s">
        <v>3701</v>
      </c>
      <c r="Q76" s="0" t="s">
        <v>3702</v>
      </c>
      <c r="R76" s="0" t="s">
        <v>4211</v>
      </c>
      <c r="S76" s="0" t="s">
        <v>4212</v>
      </c>
      <c r="T76" s="0" t="s">
        <v>4016</v>
      </c>
      <c r="U76" s="0" t="s">
        <v>4017</v>
      </c>
      <c r="V76" s="0" t="s">
        <v>4018</v>
      </c>
      <c r="W76" s="0" t="s">
        <v>4019</v>
      </c>
      <c r="X76" s="0" t="s">
        <v>4020</v>
      </c>
      <c r="Y76" s="0" t="s">
        <v>4021</v>
      </c>
      <c r="Z76" s="0" t="s">
        <v>4064</v>
      </c>
      <c r="AA76" s="0" t="s">
        <v>4042</v>
      </c>
      <c r="AB76" s="0" t="s">
        <v>4018</v>
      </c>
      <c r="AC76" s="0" t="s">
        <v>65</v>
      </c>
      <c r="AD76" s="0" t="s">
        <v>19</v>
      </c>
      <c r="AE76" s="0" t="s">
        <v>19</v>
      </c>
      <c r="AF76" s="0" t="s">
        <v>4065</v>
      </c>
      <c r="AG76" s="0" t="s">
        <v>4066</v>
      </c>
      <c r="AH76" s="0" t="s">
        <v>22</v>
      </c>
      <c r="AI76" s="0" t="s">
        <v>22</v>
      </c>
      <c r="AJ76" s="0" t="s">
        <v>22</v>
      </c>
      <c r="AK76" s="0" t="s">
        <v>22</v>
      </c>
      <c r="AL76" s="0" t="s">
        <v>4067</v>
      </c>
    </row>
    <row customHeight="1" ht="11.25">
      <c r="A77" s="0" t="s">
        <v>22</v>
      </c>
      <c r="B77" s="0" t="s">
        <v>48</v>
      </c>
      <c r="C77" s="0" t="s">
        <v>50</v>
      </c>
      <c r="D77" s="0" t="s">
        <v>22</v>
      </c>
      <c r="E77" s="0" t="s">
        <v>1105</v>
      </c>
      <c r="F77" s="0" t="s">
        <v>1083</v>
      </c>
      <c r="G77" s="0" t="s">
        <v>1030</v>
      </c>
      <c r="H77" s="0" t="s">
        <v>1030</v>
      </c>
      <c r="I77" s="0" t="s">
        <v>1031</v>
      </c>
      <c r="J77" s="0" t="s">
        <v>1032</v>
      </c>
      <c r="K77" s="0" t="s">
        <v>1033</v>
      </c>
      <c r="L77" s="0" t="s">
        <v>1106</v>
      </c>
      <c r="M77" s="0" t="s">
        <v>1107</v>
      </c>
      <c r="N77" s="0" t="s">
        <v>107</v>
      </c>
      <c r="O77" s="0" t="s">
        <v>1055</v>
      </c>
      <c r="P77" s="0" t="s">
        <v>3701</v>
      </c>
      <c r="Q77" s="0" t="s">
        <v>3702</v>
      </c>
      <c r="R77" s="0" t="s">
        <v>4211</v>
      </c>
      <c r="S77" s="0" t="s">
        <v>4212</v>
      </c>
      <c r="T77" s="0" t="s">
        <v>4016</v>
      </c>
      <c r="U77" s="0" t="s">
        <v>4017</v>
      </c>
      <c r="V77" s="0" t="s">
        <v>4096</v>
      </c>
      <c r="W77" s="0" t="s">
        <v>4019</v>
      </c>
      <c r="X77" s="0" t="s">
        <v>4020</v>
      </c>
      <c r="Y77" s="0" t="s">
        <v>4021</v>
      </c>
      <c r="Z77" s="0" t="s">
        <v>4028</v>
      </c>
      <c r="AA77" s="0" t="s">
        <v>4029</v>
      </c>
      <c r="AB77" s="0" t="s">
        <v>4096</v>
      </c>
      <c r="AC77" s="0" t="s">
        <v>19</v>
      </c>
      <c r="AD77" s="0" t="s">
        <v>65</v>
      </c>
      <c r="AE77" s="0" t="s">
        <v>19</v>
      </c>
      <c r="AF77" s="0" t="s">
        <v>22</v>
      </c>
      <c r="AG77" s="0" t="s">
        <v>22</v>
      </c>
      <c r="AH77" s="0" t="s">
        <v>4082</v>
      </c>
      <c r="AI77" s="0" t="s">
        <v>4083</v>
      </c>
      <c r="AJ77" s="0" t="s">
        <v>4082</v>
      </c>
      <c r="AK77" s="0" t="s">
        <v>4083</v>
      </c>
      <c r="AL77" s="0" t="s">
        <v>22</v>
      </c>
    </row>
    <row customHeight="1" ht="11.25">
      <c r="A78" s="0" t="s">
        <v>22</v>
      </c>
      <c r="B78" s="0" t="s">
        <v>48</v>
      </c>
      <c r="C78" s="0" t="s">
        <v>50</v>
      </c>
      <c r="D78" s="0" t="s">
        <v>22</v>
      </c>
      <c r="E78" s="0" t="s">
        <v>1105</v>
      </c>
      <c r="F78" s="0" t="s">
        <v>1083</v>
      </c>
      <c r="G78" s="0" t="s">
        <v>1030</v>
      </c>
      <c r="H78" s="0" t="s">
        <v>1030</v>
      </c>
      <c r="I78" s="0" t="s">
        <v>1031</v>
      </c>
      <c r="J78" s="0" t="s">
        <v>1032</v>
      </c>
      <c r="K78" s="0" t="s">
        <v>1033</v>
      </c>
      <c r="L78" s="0" t="s">
        <v>1106</v>
      </c>
      <c r="M78" s="0" t="s">
        <v>1107</v>
      </c>
      <c r="N78" s="0" t="s">
        <v>107</v>
      </c>
      <c r="O78" s="0" t="s">
        <v>1055</v>
      </c>
      <c r="P78" s="0" t="s">
        <v>3701</v>
      </c>
      <c r="Q78" s="0" t="s">
        <v>3702</v>
      </c>
      <c r="R78" s="0" t="s">
        <v>4211</v>
      </c>
      <c r="S78" s="0" t="s">
        <v>4212</v>
      </c>
      <c r="T78" s="0" t="s">
        <v>4016</v>
      </c>
      <c r="U78" s="0" t="s">
        <v>4017</v>
      </c>
      <c r="V78" s="0" t="s">
        <v>4096</v>
      </c>
      <c r="W78" s="0" t="s">
        <v>4019</v>
      </c>
      <c r="X78" s="0" t="s">
        <v>4020</v>
      </c>
      <c r="Y78" s="0" t="s">
        <v>4021</v>
      </c>
      <c r="Z78" s="0" t="s">
        <v>4028</v>
      </c>
      <c r="AA78" s="0" t="s">
        <v>4029</v>
      </c>
      <c r="AB78" s="0" t="s">
        <v>4096</v>
      </c>
      <c r="AC78" s="0" t="s">
        <v>19</v>
      </c>
      <c r="AD78" s="0" t="s">
        <v>65</v>
      </c>
      <c r="AE78" s="0" t="s">
        <v>19</v>
      </c>
      <c r="AF78" s="0" t="s">
        <v>22</v>
      </c>
      <c r="AG78" s="0" t="s">
        <v>22</v>
      </c>
      <c r="AH78" s="0" t="s">
        <v>4082</v>
      </c>
      <c r="AI78" s="0" t="s">
        <v>4083</v>
      </c>
      <c r="AJ78" s="0" t="s">
        <v>4082</v>
      </c>
      <c r="AK78" s="0" t="s">
        <v>4083</v>
      </c>
      <c r="AL78" s="0" t="s">
        <v>22</v>
      </c>
    </row>
    <row customHeight="1" ht="11.25">
      <c r="A79" s="0" t="s">
        <v>22</v>
      </c>
      <c r="B79" s="0" t="s">
        <v>48</v>
      </c>
      <c r="C79" s="0" t="s">
        <v>50</v>
      </c>
      <c r="D79" s="0" t="s">
        <v>22</v>
      </c>
      <c r="E79" s="0" t="s">
        <v>4061</v>
      </c>
      <c r="F79" s="0" t="s">
        <v>1029</v>
      </c>
      <c r="G79" s="0" t="s">
        <v>1030</v>
      </c>
      <c r="H79" s="0" t="s">
        <v>1030</v>
      </c>
      <c r="I79" s="0" t="s">
        <v>1031</v>
      </c>
      <c r="J79" s="0" t="s">
        <v>1032</v>
      </c>
      <c r="K79" s="0" t="s">
        <v>1033</v>
      </c>
      <c r="L79" s="0" t="s">
        <v>4062</v>
      </c>
      <c r="M79" s="0" t="s">
        <v>4063</v>
      </c>
      <c r="N79" s="0" t="s">
        <v>90</v>
      </c>
      <c r="O79" s="0" t="s">
        <v>1055</v>
      </c>
      <c r="P79" s="0" t="s">
        <v>3707</v>
      </c>
      <c r="Q79" s="0" t="s">
        <v>3708</v>
      </c>
      <c r="R79" s="0" t="s">
        <v>4213</v>
      </c>
      <c r="S79" s="0" t="s">
        <v>4214</v>
      </c>
      <c r="T79" s="0" t="s">
        <v>4016</v>
      </c>
      <c r="U79" s="0" t="s">
        <v>4017</v>
      </c>
      <c r="V79" s="0" t="s">
        <v>4018</v>
      </c>
      <c r="W79" s="0" t="s">
        <v>4019</v>
      </c>
      <c r="X79" s="0" t="s">
        <v>4020</v>
      </c>
      <c r="Y79" s="0" t="s">
        <v>4021</v>
      </c>
      <c r="Z79" s="0" t="s">
        <v>4064</v>
      </c>
      <c r="AA79" s="0" t="s">
        <v>4042</v>
      </c>
      <c r="AB79" s="0" t="s">
        <v>4018</v>
      </c>
      <c r="AC79" s="0" t="s">
        <v>65</v>
      </c>
      <c r="AD79" s="0" t="s">
        <v>19</v>
      </c>
      <c r="AE79" s="0" t="s">
        <v>19</v>
      </c>
      <c r="AF79" s="0" t="s">
        <v>4065</v>
      </c>
      <c r="AG79" s="0" t="s">
        <v>4066</v>
      </c>
      <c r="AH79" s="0" t="s">
        <v>22</v>
      </c>
      <c r="AI79" s="0" t="s">
        <v>22</v>
      </c>
      <c r="AJ79" s="0" t="s">
        <v>22</v>
      </c>
      <c r="AK79" s="0" t="s">
        <v>22</v>
      </c>
      <c r="AL79" s="0" t="s">
        <v>4067</v>
      </c>
    </row>
    <row customHeight="1" ht="11.25">
      <c r="A80" s="0" t="s">
        <v>22</v>
      </c>
      <c r="B80" s="0" t="s">
        <v>48</v>
      </c>
      <c r="C80" s="0" t="s">
        <v>50</v>
      </c>
      <c r="D80" s="0" t="s">
        <v>22</v>
      </c>
      <c r="E80" s="0" t="s">
        <v>4061</v>
      </c>
      <c r="F80" s="0" t="s">
        <v>1029</v>
      </c>
      <c r="G80" s="0" t="s">
        <v>1030</v>
      </c>
      <c r="H80" s="0" t="s">
        <v>1030</v>
      </c>
      <c r="I80" s="0" t="s">
        <v>1031</v>
      </c>
      <c r="J80" s="0" t="s">
        <v>1032</v>
      </c>
      <c r="K80" s="0" t="s">
        <v>1033</v>
      </c>
      <c r="L80" s="0" t="s">
        <v>4062</v>
      </c>
      <c r="M80" s="0" t="s">
        <v>4063</v>
      </c>
      <c r="N80" s="0" t="s">
        <v>90</v>
      </c>
      <c r="O80" s="0" t="s">
        <v>1055</v>
      </c>
      <c r="P80" s="0" t="s">
        <v>3707</v>
      </c>
      <c r="Q80" s="0" t="s">
        <v>3708</v>
      </c>
      <c r="R80" s="0" t="s">
        <v>4213</v>
      </c>
      <c r="S80" s="0" t="s">
        <v>4214</v>
      </c>
      <c r="T80" s="0" t="s">
        <v>4016</v>
      </c>
      <c r="U80" s="0" t="s">
        <v>4017</v>
      </c>
      <c r="V80" s="0" t="s">
        <v>4018</v>
      </c>
      <c r="W80" s="0" t="s">
        <v>4019</v>
      </c>
      <c r="X80" s="0" t="s">
        <v>4020</v>
      </c>
      <c r="Y80" s="0" t="s">
        <v>4021</v>
      </c>
      <c r="Z80" s="0" t="s">
        <v>4064</v>
      </c>
      <c r="AA80" s="0" t="s">
        <v>4042</v>
      </c>
      <c r="AB80" s="0" t="s">
        <v>4018</v>
      </c>
      <c r="AC80" s="0" t="s">
        <v>65</v>
      </c>
      <c r="AD80" s="0" t="s">
        <v>19</v>
      </c>
      <c r="AE80" s="0" t="s">
        <v>19</v>
      </c>
      <c r="AF80" s="0" t="s">
        <v>4065</v>
      </c>
      <c r="AG80" s="0" t="s">
        <v>4066</v>
      </c>
      <c r="AH80" s="0" t="s">
        <v>22</v>
      </c>
      <c r="AI80" s="0" t="s">
        <v>22</v>
      </c>
      <c r="AJ80" s="0" t="s">
        <v>22</v>
      </c>
      <c r="AK80" s="0" t="s">
        <v>22</v>
      </c>
      <c r="AL80" s="0" t="s">
        <v>4068</v>
      </c>
    </row>
    <row customHeight="1" ht="11.25">
      <c r="A81" s="0" t="s">
        <v>22</v>
      </c>
      <c r="B81" s="0" t="s">
        <v>48</v>
      </c>
      <c r="C81" s="0" t="s">
        <v>50</v>
      </c>
      <c r="D81" s="0" t="s">
        <v>22</v>
      </c>
      <c r="E81" s="0" t="s">
        <v>1105</v>
      </c>
      <c r="F81" s="0" t="s">
        <v>1083</v>
      </c>
      <c r="G81" s="0" t="s">
        <v>1030</v>
      </c>
      <c r="H81" s="0" t="s">
        <v>1030</v>
      </c>
      <c r="I81" s="0" t="s">
        <v>1031</v>
      </c>
      <c r="J81" s="0" t="s">
        <v>1032</v>
      </c>
      <c r="K81" s="0" t="s">
        <v>1033</v>
      </c>
      <c r="L81" s="0" t="s">
        <v>1106</v>
      </c>
      <c r="M81" s="0" t="s">
        <v>1107</v>
      </c>
      <c r="N81" s="0" t="s">
        <v>90</v>
      </c>
      <c r="O81" s="0" t="s">
        <v>1055</v>
      </c>
      <c r="P81" s="0" t="s">
        <v>3707</v>
      </c>
      <c r="Q81" s="0" t="s">
        <v>3708</v>
      </c>
      <c r="R81" s="0" t="s">
        <v>4213</v>
      </c>
      <c r="S81" s="0" t="s">
        <v>4214</v>
      </c>
      <c r="T81" s="0" t="s">
        <v>4016</v>
      </c>
      <c r="U81" s="0" t="s">
        <v>4017</v>
      </c>
      <c r="V81" s="0" t="s">
        <v>4096</v>
      </c>
      <c r="W81" s="0" t="s">
        <v>4019</v>
      </c>
      <c r="X81" s="0" t="s">
        <v>4020</v>
      </c>
      <c r="Y81" s="0" t="s">
        <v>4021</v>
      </c>
      <c r="Z81" s="0" t="s">
        <v>4028</v>
      </c>
      <c r="AA81" s="0" t="s">
        <v>4029</v>
      </c>
      <c r="AB81" s="0" t="s">
        <v>4096</v>
      </c>
      <c r="AC81" s="0" t="s">
        <v>19</v>
      </c>
      <c r="AD81" s="0" t="s">
        <v>65</v>
      </c>
      <c r="AE81" s="0" t="s">
        <v>19</v>
      </c>
      <c r="AF81" s="0" t="s">
        <v>22</v>
      </c>
      <c r="AG81" s="0" t="s">
        <v>22</v>
      </c>
      <c r="AH81" s="0" t="s">
        <v>4082</v>
      </c>
      <c r="AI81" s="0" t="s">
        <v>4083</v>
      </c>
      <c r="AJ81" s="0" t="s">
        <v>4082</v>
      </c>
      <c r="AK81" s="0" t="s">
        <v>4083</v>
      </c>
      <c r="AL81" s="0" t="s">
        <v>22</v>
      </c>
    </row>
    <row customHeight="1" ht="11.25">
      <c r="A82" s="0" t="s">
        <v>22</v>
      </c>
      <c r="B82" s="0" t="s">
        <v>48</v>
      </c>
      <c r="C82" s="0" t="s">
        <v>50</v>
      </c>
      <c r="D82" s="0" t="s">
        <v>22</v>
      </c>
      <c r="E82" s="0" t="s">
        <v>1105</v>
      </c>
      <c r="F82" s="0" t="s">
        <v>1083</v>
      </c>
      <c r="G82" s="0" t="s">
        <v>1030</v>
      </c>
      <c r="H82" s="0" t="s">
        <v>1030</v>
      </c>
      <c r="I82" s="0" t="s">
        <v>1031</v>
      </c>
      <c r="J82" s="0" t="s">
        <v>1032</v>
      </c>
      <c r="K82" s="0" t="s">
        <v>1033</v>
      </c>
      <c r="L82" s="0" t="s">
        <v>1106</v>
      </c>
      <c r="M82" s="0" t="s">
        <v>1107</v>
      </c>
      <c r="N82" s="0" t="s">
        <v>90</v>
      </c>
      <c r="O82" s="0" t="s">
        <v>1055</v>
      </c>
      <c r="P82" s="0" t="s">
        <v>3707</v>
      </c>
      <c r="Q82" s="0" t="s">
        <v>3708</v>
      </c>
      <c r="R82" s="0" t="s">
        <v>4213</v>
      </c>
      <c r="S82" s="0" t="s">
        <v>4214</v>
      </c>
      <c r="T82" s="0" t="s">
        <v>4016</v>
      </c>
      <c r="U82" s="0" t="s">
        <v>4017</v>
      </c>
      <c r="V82" s="0" t="s">
        <v>4096</v>
      </c>
      <c r="W82" s="0" t="s">
        <v>4019</v>
      </c>
      <c r="X82" s="0" t="s">
        <v>4020</v>
      </c>
      <c r="Y82" s="0" t="s">
        <v>4021</v>
      </c>
      <c r="Z82" s="0" t="s">
        <v>4028</v>
      </c>
      <c r="AA82" s="0" t="s">
        <v>4029</v>
      </c>
      <c r="AB82" s="0" t="s">
        <v>4096</v>
      </c>
      <c r="AC82" s="0" t="s">
        <v>19</v>
      </c>
      <c r="AD82" s="0" t="s">
        <v>65</v>
      </c>
      <c r="AE82" s="0" t="s">
        <v>19</v>
      </c>
      <c r="AF82" s="0" t="s">
        <v>22</v>
      </c>
      <c r="AG82" s="0" t="s">
        <v>22</v>
      </c>
      <c r="AH82" s="0" t="s">
        <v>4082</v>
      </c>
      <c r="AI82" s="0" t="s">
        <v>4083</v>
      </c>
      <c r="AJ82" s="0" t="s">
        <v>4082</v>
      </c>
      <c r="AK82" s="0" t="s">
        <v>4083</v>
      </c>
      <c r="AL82" s="0" t="s">
        <v>22</v>
      </c>
    </row>
    <row customHeight="1" ht="11.25">
      <c r="A83" s="0" t="s">
        <v>22</v>
      </c>
      <c r="B83" s="0" t="s">
        <v>48</v>
      </c>
      <c r="C83" s="0" t="s">
        <v>50</v>
      </c>
      <c r="D83" s="0" t="s">
        <v>22</v>
      </c>
      <c r="E83" s="0" t="s">
        <v>4061</v>
      </c>
      <c r="F83" s="0" t="s">
        <v>1029</v>
      </c>
      <c r="G83" s="0" t="s">
        <v>1030</v>
      </c>
      <c r="H83" s="0" t="s">
        <v>1030</v>
      </c>
      <c r="I83" s="0" t="s">
        <v>1031</v>
      </c>
      <c r="J83" s="0" t="s">
        <v>1032</v>
      </c>
      <c r="K83" s="0" t="s">
        <v>1033</v>
      </c>
      <c r="L83" s="0" t="s">
        <v>4062</v>
      </c>
      <c r="M83" s="0" t="s">
        <v>4063</v>
      </c>
      <c r="N83" s="0" t="s">
        <v>91</v>
      </c>
      <c r="O83" s="0" t="s">
        <v>1055</v>
      </c>
      <c r="P83" s="0" t="s">
        <v>3713</v>
      </c>
      <c r="Q83" s="0" t="s">
        <v>3714</v>
      </c>
      <c r="R83" s="0" t="s">
        <v>4215</v>
      </c>
      <c r="S83" s="0" t="s">
        <v>4216</v>
      </c>
      <c r="T83" s="0" t="s">
        <v>4016</v>
      </c>
      <c r="U83" s="0" t="s">
        <v>4017</v>
      </c>
      <c r="V83" s="0" t="s">
        <v>4018</v>
      </c>
      <c r="W83" s="0" t="s">
        <v>4019</v>
      </c>
      <c r="X83" s="0" t="s">
        <v>4020</v>
      </c>
      <c r="Y83" s="0" t="s">
        <v>4021</v>
      </c>
      <c r="Z83" s="0" t="s">
        <v>4064</v>
      </c>
      <c r="AA83" s="0" t="s">
        <v>4042</v>
      </c>
      <c r="AB83" s="0" t="s">
        <v>4018</v>
      </c>
      <c r="AC83" s="0" t="s">
        <v>65</v>
      </c>
      <c r="AD83" s="0" t="s">
        <v>19</v>
      </c>
      <c r="AE83" s="0" t="s">
        <v>19</v>
      </c>
      <c r="AF83" s="0" t="s">
        <v>4065</v>
      </c>
      <c r="AG83" s="0" t="s">
        <v>4066</v>
      </c>
      <c r="AH83" s="0" t="s">
        <v>22</v>
      </c>
      <c r="AI83" s="0" t="s">
        <v>22</v>
      </c>
      <c r="AJ83" s="0" t="s">
        <v>22</v>
      </c>
      <c r="AK83" s="0" t="s">
        <v>22</v>
      </c>
      <c r="AL83" s="0" t="s">
        <v>4068</v>
      </c>
    </row>
    <row customHeight="1" ht="11.25">
      <c r="A84" s="0" t="s">
        <v>22</v>
      </c>
      <c r="B84" s="0" t="s">
        <v>48</v>
      </c>
      <c r="C84" s="0" t="s">
        <v>50</v>
      </c>
      <c r="D84" s="0" t="s">
        <v>22</v>
      </c>
      <c r="E84" s="0" t="s">
        <v>4061</v>
      </c>
      <c r="F84" s="0" t="s">
        <v>1029</v>
      </c>
      <c r="G84" s="0" t="s">
        <v>1030</v>
      </c>
      <c r="H84" s="0" t="s">
        <v>1030</v>
      </c>
      <c r="I84" s="0" t="s">
        <v>1031</v>
      </c>
      <c r="J84" s="0" t="s">
        <v>1032</v>
      </c>
      <c r="K84" s="0" t="s">
        <v>1033</v>
      </c>
      <c r="L84" s="0" t="s">
        <v>4062</v>
      </c>
      <c r="M84" s="0" t="s">
        <v>4063</v>
      </c>
      <c r="N84" s="0" t="s">
        <v>91</v>
      </c>
      <c r="O84" s="0" t="s">
        <v>1055</v>
      </c>
      <c r="P84" s="0" t="s">
        <v>3713</v>
      </c>
      <c r="Q84" s="0" t="s">
        <v>3714</v>
      </c>
      <c r="R84" s="0" t="s">
        <v>4215</v>
      </c>
      <c r="S84" s="0" t="s">
        <v>4216</v>
      </c>
      <c r="T84" s="0" t="s">
        <v>4016</v>
      </c>
      <c r="U84" s="0" t="s">
        <v>4017</v>
      </c>
      <c r="V84" s="0" t="s">
        <v>4018</v>
      </c>
      <c r="W84" s="0" t="s">
        <v>4019</v>
      </c>
      <c r="X84" s="0" t="s">
        <v>4020</v>
      </c>
      <c r="Y84" s="0" t="s">
        <v>4021</v>
      </c>
      <c r="Z84" s="0" t="s">
        <v>4064</v>
      </c>
      <c r="AA84" s="0" t="s">
        <v>4042</v>
      </c>
      <c r="AB84" s="0" t="s">
        <v>4018</v>
      </c>
      <c r="AC84" s="0" t="s">
        <v>65</v>
      </c>
      <c r="AD84" s="0" t="s">
        <v>19</v>
      </c>
      <c r="AE84" s="0" t="s">
        <v>19</v>
      </c>
      <c r="AF84" s="0" t="s">
        <v>4065</v>
      </c>
      <c r="AG84" s="0" t="s">
        <v>4066</v>
      </c>
      <c r="AH84" s="0" t="s">
        <v>22</v>
      </c>
      <c r="AI84" s="0" t="s">
        <v>22</v>
      </c>
      <c r="AJ84" s="0" t="s">
        <v>22</v>
      </c>
      <c r="AK84" s="0" t="s">
        <v>22</v>
      </c>
      <c r="AL84" s="0" t="s">
        <v>4067</v>
      </c>
    </row>
    <row customHeight="1" ht="11.25">
      <c r="A85" s="0" t="s">
        <v>22</v>
      </c>
      <c r="B85" s="0" t="s">
        <v>48</v>
      </c>
      <c r="C85" s="0" t="s">
        <v>50</v>
      </c>
      <c r="D85" s="0" t="s">
        <v>22</v>
      </c>
      <c r="E85" s="0" t="s">
        <v>1105</v>
      </c>
      <c r="F85" s="0" t="s">
        <v>1083</v>
      </c>
      <c r="G85" s="0" t="s">
        <v>1030</v>
      </c>
      <c r="H85" s="0" t="s">
        <v>1030</v>
      </c>
      <c r="I85" s="0" t="s">
        <v>1031</v>
      </c>
      <c r="J85" s="0" t="s">
        <v>1032</v>
      </c>
      <c r="K85" s="0" t="s">
        <v>1033</v>
      </c>
      <c r="L85" s="0" t="s">
        <v>1106</v>
      </c>
      <c r="M85" s="0" t="s">
        <v>1107</v>
      </c>
      <c r="N85" s="0" t="s">
        <v>91</v>
      </c>
      <c r="O85" s="0" t="s">
        <v>1055</v>
      </c>
      <c r="P85" s="0" t="s">
        <v>3713</v>
      </c>
      <c r="Q85" s="0" t="s">
        <v>3714</v>
      </c>
      <c r="R85" s="0" t="s">
        <v>4215</v>
      </c>
      <c r="S85" s="0" t="s">
        <v>4216</v>
      </c>
      <c r="T85" s="0" t="s">
        <v>4016</v>
      </c>
      <c r="U85" s="0" t="s">
        <v>4017</v>
      </c>
      <c r="V85" s="0" t="s">
        <v>4096</v>
      </c>
      <c r="W85" s="0" t="s">
        <v>4019</v>
      </c>
      <c r="X85" s="0" t="s">
        <v>4020</v>
      </c>
      <c r="Y85" s="0" t="s">
        <v>4021</v>
      </c>
      <c r="Z85" s="0" t="s">
        <v>4028</v>
      </c>
      <c r="AA85" s="0" t="s">
        <v>4029</v>
      </c>
      <c r="AB85" s="0" t="s">
        <v>4096</v>
      </c>
      <c r="AC85" s="0" t="s">
        <v>19</v>
      </c>
      <c r="AD85" s="0" t="s">
        <v>65</v>
      </c>
      <c r="AE85" s="0" t="s">
        <v>19</v>
      </c>
      <c r="AF85" s="0" t="s">
        <v>22</v>
      </c>
      <c r="AG85" s="0" t="s">
        <v>22</v>
      </c>
      <c r="AH85" s="0" t="s">
        <v>4082</v>
      </c>
      <c r="AI85" s="0" t="s">
        <v>4083</v>
      </c>
      <c r="AJ85" s="0" t="s">
        <v>4082</v>
      </c>
      <c r="AK85" s="0" t="s">
        <v>4083</v>
      </c>
      <c r="AL85" s="0" t="s">
        <v>22</v>
      </c>
    </row>
    <row customHeight="1" ht="11.25">
      <c r="A86" s="0" t="s">
        <v>22</v>
      </c>
      <c r="B86" s="0" t="s">
        <v>48</v>
      </c>
      <c r="C86" s="0" t="s">
        <v>50</v>
      </c>
      <c r="D86" s="0" t="s">
        <v>22</v>
      </c>
      <c r="E86" s="0" t="s">
        <v>1105</v>
      </c>
      <c r="F86" s="0" t="s">
        <v>1083</v>
      </c>
      <c r="G86" s="0" t="s">
        <v>1030</v>
      </c>
      <c r="H86" s="0" t="s">
        <v>1030</v>
      </c>
      <c r="I86" s="0" t="s">
        <v>1031</v>
      </c>
      <c r="J86" s="0" t="s">
        <v>1032</v>
      </c>
      <c r="K86" s="0" t="s">
        <v>1033</v>
      </c>
      <c r="L86" s="0" t="s">
        <v>1106</v>
      </c>
      <c r="M86" s="0" t="s">
        <v>1107</v>
      </c>
      <c r="N86" s="0" t="s">
        <v>91</v>
      </c>
      <c r="O86" s="0" t="s">
        <v>1055</v>
      </c>
      <c r="P86" s="0" t="s">
        <v>3713</v>
      </c>
      <c r="Q86" s="0" t="s">
        <v>3714</v>
      </c>
      <c r="R86" s="0" t="s">
        <v>4215</v>
      </c>
      <c r="S86" s="0" t="s">
        <v>4216</v>
      </c>
      <c r="T86" s="0" t="s">
        <v>4016</v>
      </c>
      <c r="U86" s="0" t="s">
        <v>4017</v>
      </c>
      <c r="V86" s="0" t="s">
        <v>4096</v>
      </c>
      <c r="W86" s="0" t="s">
        <v>4019</v>
      </c>
      <c r="X86" s="0" t="s">
        <v>4020</v>
      </c>
      <c r="Y86" s="0" t="s">
        <v>4021</v>
      </c>
      <c r="Z86" s="0" t="s">
        <v>4028</v>
      </c>
      <c r="AA86" s="0" t="s">
        <v>4029</v>
      </c>
      <c r="AB86" s="0" t="s">
        <v>4096</v>
      </c>
      <c r="AC86" s="0" t="s">
        <v>19</v>
      </c>
      <c r="AD86" s="0" t="s">
        <v>65</v>
      </c>
      <c r="AE86" s="0" t="s">
        <v>19</v>
      </c>
      <c r="AF86" s="0" t="s">
        <v>22</v>
      </c>
      <c r="AG86" s="0" t="s">
        <v>22</v>
      </c>
      <c r="AH86" s="0" t="s">
        <v>4082</v>
      </c>
      <c r="AI86" s="0" t="s">
        <v>4083</v>
      </c>
      <c r="AJ86" s="0" t="s">
        <v>4082</v>
      </c>
      <c r="AK86" s="0" t="s">
        <v>4083</v>
      </c>
      <c r="AL86" s="0" t="s">
        <v>22</v>
      </c>
    </row>
    <row customHeight="1" ht="11.25">
      <c r="A87" s="0" t="s">
        <v>22</v>
      </c>
      <c r="B87" s="0" t="s">
        <v>48</v>
      </c>
      <c r="C87" s="0" t="s">
        <v>50</v>
      </c>
      <c r="D87" s="0" t="s">
        <v>22</v>
      </c>
      <c r="E87" s="0" t="s">
        <v>4061</v>
      </c>
      <c r="F87" s="0" t="s">
        <v>1029</v>
      </c>
      <c r="G87" s="0" t="s">
        <v>1030</v>
      </c>
      <c r="H87" s="0" t="s">
        <v>1030</v>
      </c>
      <c r="I87" s="0" t="s">
        <v>1031</v>
      </c>
      <c r="J87" s="0" t="s">
        <v>1032</v>
      </c>
      <c r="K87" s="0" t="s">
        <v>1033</v>
      </c>
      <c r="L87" s="0" t="s">
        <v>4062</v>
      </c>
      <c r="M87" s="0" t="s">
        <v>4063</v>
      </c>
      <c r="N87" s="0" t="s">
        <v>108</v>
      </c>
      <c r="O87" s="0" t="s">
        <v>1055</v>
      </c>
      <c r="P87" s="0" t="s">
        <v>3731</v>
      </c>
      <c r="Q87" s="0" t="s">
        <v>3732</v>
      </c>
      <c r="R87" s="0" t="s">
        <v>4217</v>
      </c>
      <c r="S87" s="0" t="s">
        <v>4218</v>
      </c>
      <c r="T87" s="0" t="s">
        <v>4016</v>
      </c>
      <c r="U87" s="0" t="s">
        <v>4017</v>
      </c>
      <c r="V87" s="0" t="s">
        <v>4018</v>
      </c>
      <c r="W87" s="0" t="s">
        <v>4019</v>
      </c>
      <c r="X87" s="0" t="s">
        <v>4020</v>
      </c>
      <c r="Y87" s="0" t="s">
        <v>4021</v>
      </c>
      <c r="Z87" s="0" t="s">
        <v>4064</v>
      </c>
      <c r="AA87" s="0" t="s">
        <v>4042</v>
      </c>
      <c r="AB87" s="0" t="s">
        <v>4018</v>
      </c>
      <c r="AC87" s="0" t="s">
        <v>65</v>
      </c>
      <c r="AD87" s="0" t="s">
        <v>19</v>
      </c>
      <c r="AE87" s="0" t="s">
        <v>19</v>
      </c>
      <c r="AF87" s="0" t="s">
        <v>4065</v>
      </c>
      <c r="AG87" s="0" t="s">
        <v>4066</v>
      </c>
      <c r="AH87" s="0" t="s">
        <v>22</v>
      </c>
      <c r="AI87" s="0" t="s">
        <v>22</v>
      </c>
      <c r="AJ87" s="0" t="s">
        <v>22</v>
      </c>
      <c r="AK87" s="0" t="s">
        <v>22</v>
      </c>
      <c r="AL87" s="0" t="s">
        <v>4068</v>
      </c>
    </row>
    <row customHeight="1" ht="11.25">
      <c r="A88" s="0" t="s">
        <v>22</v>
      </c>
      <c r="B88" s="0" t="s">
        <v>48</v>
      </c>
      <c r="C88" s="0" t="s">
        <v>50</v>
      </c>
      <c r="D88" s="0" t="s">
        <v>22</v>
      </c>
      <c r="E88" s="0" t="s">
        <v>4061</v>
      </c>
      <c r="F88" s="0" t="s">
        <v>1029</v>
      </c>
      <c r="G88" s="0" t="s">
        <v>1030</v>
      </c>
      <c r="H88" s="0" t="s">
        <v>1030</v>
      </c>
      <c r="I88" s="0" t="s">
        <v>1031</v>
      </c>
      <c r="J88" s="0" t="s">
        <v>1032</v>
      </c>
      <c r="K88" s="0" t="s">
        <v>1033</v>
      </c>
      <c r="L88" s="0" t="s">
        <v>4062</v>
      </c>
      <c r="M88" s="0" t="s">
        <v>4063</v>
      </c>
      <c r="N88" s="0" t="s">
        <v>108</v>
      </c>
      <c r="O88" s="0" t="s">
        <v>1055</v>
      </c>
      <c r="P88" s="0" t="s">
        <v>3731</v>
      </c>
      <c r="Q88" s="0" t="s">
        <v>3732</v>
      </c>
      <c r="R88" s="0" t="s">
        <v>4217</v>
      </c>
      <c r="S88" s="0" t="s">
        <v>4218</v>
      </c>
      <c r="T88" s="0" t="s">
        <v>4016</v>
      </c>
      <c r="U88" s="0" t="s">
        <v>4017</v>
      </c>
      <c r="V88" s="0" t="s">
        <v>4018</v>
      </c>
      <c r="W88" s="0" t="s">
        <v>4019</v>
      </c>
      <c r="X88" s="0" t="s">
        <v>4020</v>
      </c>
      <c r="Y88" s="0" t="s">
        <v>4021</v>
      </c>
      <c r="Z88" s="0" t="s">
        <v>4064</v>
      </c>
      <c r="AA88" s="0" t="s">
        <v>4042</v>
      </c>
      <c r="AB88" s="0" t="s">
        <v>4018</v>
      </c>
      <c r="AC88" s="0" t="s">
        <v>65</v>
      </c>
      <c r="AD88" s="0" t="s">
        <v>19</v>
      </c>
      <c r="AE88" s="0" t="s">
        <v>19</v>
      </c>
      <c r="AF88" s="0" t="s">
        <v>4065</v>
      </c>
      <c r="AG88" s="0" t="s">
        <v>4066</v>
      </c>
      <c r="AH88" s="0" t="s">
        <v>22</v>
      </c>
      <c r="AI88" s="0" t="s">
        <v>22</v>
      </c>
      <c r="AJ88" s="0" t="s">
        <v>22</v>
      </c>
      <c r="AK88" s="0" t="s">
        <v>22</v>
      </c>
      <c r="AL88" s="0" t="s">
        <v>4067</v>
      </c>
    </row>
    <row customHeight="1" ht="11.25">
      <c r="A89" s="0" t="s">
        <v>22</v>
      </c>
      <c r="B89" s="0" t="s">
        <v>48</v>
      </c>
      <c r="C89" s="0" t="s">
        <v>50</v>
      </c>
      <c r="D89" s="0" t="s">
        <v>22</v>
      </c>
      <c r="E89" s="0" t="s">
        <v>1105</v>
      </c>
      <c r="F89" s="0" t="s">
        <v>1083</v>
      </c>
      <c r="G89" s="0" t="s">
        <v>1030</v>
      </c>
      <c r="H89" s="0" t="s">
        <v>1030</v>
      </c>
      <c r="I89" s="0" t="s">
        <v>1031</v>
      </c>
      <c r="J89" s="0" t="s">
        <v>1032</v>
      </c>
      <c r="K89" s="0" t="s">
        <v>1033</v>
      </c>
      <c r="L89" s="0" t="s">
        <v>1106</v>
      </c>
      <c r="M89" s="0" t="s">
        <v>1107</v>
      </c>
      <c r="N89" s="0" t="s">
        <v>108</v>
      </c>
      <c r="O89" s="0" t="s">
        <v>1055</v>
      </c>
      <c r="P89" s="0" t="s">
        <v>3731</v>
      </c>
      <c r="Q89" s="0" t="s">
        <v>3732</v>
      </c>
      <c r="R89" s="0" t="s">
        <v>4217</v>
      </c>
      <c r="S89" s="0" t="s">
        <v>4218</v>
      </c>
      <c r="T89" s="0" t="s">
        <v>4016</v>
      </c>
      <c r="U89" s="0" t="s">
        <v>4017</v>
      </c>
      <c r="V89" s="0" t="s">
        <v>4096</v>
      </c>
      <c r="W89" s="0" t="s">
        <v>4019</v>
      </c>
      <c r="X89" s="0" t="s">
        <v>4020</v>
      </c>
      <c r="Y89" s="0" t="s">
        <v>4021</v>
      </c>
      <c r="Z89" s="0" t="s">
        <v>4028</v>
      </c>
      <c r="AA89" s="0" t="s">
        <v>4029</v>
      </c>
      <c r="AB89" s="0" t="s">
        <v>4096</v>
      </c>
      <c r="AC89" s="0" t="s">
        <v>19</v>
      </c>
      <c r="AD89" s="0" t="s">
        <v>65</v>
      </c>
      <c r="AE89" s="0" t="s">
        <v>19</v>
      </c>
      <c r="AF89" s="0" t="s">
        <v>22</v>
      </c>
      <c r="AG89" s="0" t="s">
        <v>22</v>
      </c>
      <c r="AH89" s="0" t="s">
        <v>4082</v>
      </c>
      <c r="AI89" s="0" t="s">
        <v>4083</v>
      </c>
      <c r="AJ89" s="0" t="s">
        <v>4082</v>
      </c>
      <c r="AK89" s="0" t="s">
        <v>4083</v>
      </c>
      <c r="AL89" s="0" t="s">
        <v>22</v>
      </c>
    </row>
    <row customHeight="1" ht="11.25">
      <c r="A90" s="0" t="s">
        <v>22</v>
      </c>
      <c r="B90" s="0" t="s">
        <v>48</v>
      </c>
      <c r="C90" s="0" t="s">
        <v>50</v>
      </c>
      <c r="D90" s="0" t="s">
        <v>22</v>
      </c>
      <c r="E90" s="0" t="s">
        <v>1105</v>
      </c>
      <c r="F90" s="0" t="s">
        <v>1083</v>
      </c>
      <c r="G90" s="0" t="s">
        <v>1030</v>
      </c>
      <c r="H90" s="0" t="s">
        <v>1030</v>
      </c>
      <c r="I90" s="0" t="s">
        <v>1031</v>
      </c>
      <c r="J90" s="0" t="s">
        <v>1032</v>
      </c>
      <c r="K90" s="0" t="s">
        <v>1033</v>
      </c>
      <c r="L90" s="0" t="s">
        <v>1106</v>
      </c>
      <c r="M90" s="0" t="s">
        <v>1107</v>
      </c>
      <c r="N90" s="0" t="s">
        <v>108</v>
      </c>
      <c r="O90" s="0" t="s">
        <v>1055</v>
      </c>
      <c r="P90" s="0" t="s">
        <v>3731</v>
      </c>
      <c r="Q90" s="0" t="s">
        <v>3732</v>
      </c>
      <c r="R90" s="0" t="s">
        <v>4217</v>
      </c>
      <c r="S90" s="0" t="s">
        <v>4218</v>
      </c>
      <c r="T90" s="0" t="s">
        <v>4016</v>
      </c>
      <c r="U90" s="0" t="s">
        <v>4017</v>
      </c>
      <c r="V90" s="0" t="s">
        <v>4096</v>
      </c>
      <c r="W90" s="0" t="s">
        <v>4019</v>
      </c>
      <c r="X90" s="0" t="s">
        <v>4020</v>
      </c>
      <c r="Y90" s="0" t="s">
        <v>4021</v>
      </c>
      <c r="Z90" s="0" t="s">
        <v>4028</v>
      </c>
      <c r="AA90" s="0" t="s">
        <v>4029</v>
      </c>
      <c r="AB90" s="0" t="s">
        <v>4096</v>
      </c>
      <c r="AC90" s="0" t="s">
        <v>19</v>
      </c>
      <c r="AD90" s="0" t="s">
        <v>65</v>
      </c>
      <c r="AE90" s="0" t="s">
        <v>19</v>
      </c>
      <c r="AF90" s="0" t="s">
        <v>22</v>
      </c>
      <c r="AG90" s="0" t="s">
        <v>22</v>
      </c>
      <c r="AH90" s="0" t="s">
        <v>4082</v>
      </c>
      <c r="AI90" s="0" t="s">
        <v>4083</v>
      </c>
      <c r="AJ90" s="0" t="s">
        <v>4082</v>
      </c>
      <c r="AK90" s="0" t="s">
        <v>4083</v>
      </c>
      <c r="AL90" s="0" t="s">
        <v>22</v>
      </c>
    </row>
    <row customHeight="1" ht="11.25">
      <c r="A91" s="0" t="s">
        <v>22</v>
      </c>
      <c r="B91" s="0" t="s">
        <v>48</v>
      </c>
      <c r="C91" s="0" t="s">
        <v>50</v>
      </c>
      <c r="D91" s="0" t="s">
        <v>22</v>
      </c>
      <c r="E91" s="0" t="s">
        <v>1054</v>
      </c>
      <c r="F91" s="0" t="s">
        <v>1029</v>
      </c>
      <c r="G91" s="0" t="s">
        <v>1055</v>
      </c>
      <c r="H91" s="0" t="s">
        <v>1056</v>
      </c>
      <c r="I91" s="0" t="s">
        <v>1057</v>
      </c>
      <c r="J91" s="0" t="s">
        <v>1058</v>
      </c>
      <c r="K91" s="0" t="s">
        <v>1059</v>
      </c>
      <c r="L91" s="0" t="s">
        <v>1060</v>
      </c>
      <c r="M91" s="0" t="s">
        <v>19</v>
      </c>
      <c r="N91" s="0" t="s">
        <v>106</v>
      </c>
      <c r="O91" s="0" t="s">
        <v>1055</v>
      </c>
      <c r="P91" s="0" t="s">
        <v>1056</v>
      </c>
      <c r="Q91" s="0" t="s">
        <v>1057</v>
      </c>
      <c r="R91" s="0" t="s">
        <v>1058</v>
      </c>
      <c r="S91" s="0" t="s">
        <v>1059</v>
      </c>
      <c r="T91" s="0" t="s">
        <v>4016</v>
      </c>
      <c r="U91" s="0" t="s">
        <v>4017</v>
      </c>
      <c r="V91" s="0" t="s">
        <v>4219</v>
      </c>
      <c r="W91" s="0" t="s">
        <v>4019</v>
      </c>
      <c r="X91" s="0" t="s">
        <v>4020</v>
      </c>
      <c r="Y91" s="0" t="s">
        <v>4021</v>
      </c>
      <c r="Z91" s="0" t="s">
        <v>4220</v>
      </c>
      <c r="AA91" s="0" t="s">
        <v>4221</v>
      </c>
      <c r="AB91" s="0" t="s">
        <v>4219</v>
      </c>
      <c r="AC91" s="0" t="s">
        <v>65</v>
      </c>
      <c r="AD91" s="0" t="s">
        <v>19</v>
      </c>
      <c r="AE91" s="0" t="s">
        <v>19</v>
      </c>
      <c r="AF91" s="0" t="s">
        <v>4222</v>
      </c>
      <c r="AG91" s="0" t="s">
        <v>4223</v>
      </c>
      <c r="AH91" s="0" t="s">
        <v>22</v>
      </c>
      <c r="AI91" s="0" t="s">
        <v>22</v>
      </c>
      <c r="AJ91" s="0" t="s">
        <v>22</v>
      </c>
      <c r="AK91" s="0" t="s">
        <v>22</v>
      </c>
      <c r="AL91" s="0" t="s">
        <v>4036</v>
      </c>
    </row>
    <row customHeight="1" ht="11.25">
      <c r="A92" s="0" t="s">
        <v>22</v>
      </c>
      <c r="B92" s="0" t="s">
        <v>48</v>
      </c>
      <c r="C92" s="0" t="s">
        <v>50</v>
      </c>
      <c r="D92" s="0" t="s">
        <v>22</v>
      </c>
      <c r="E92" s="0" t="s">
        <v>1054</v>
      </c>
      <c r="F92" s="0" t="s">
        <v>1029</v>
      </c>
      <c r="G92" s="0" t="s">
        <v>1055</v>
      </c>
      <c r="H92" s="0" t="s">
        <v>1056</v>
      </c>
      <c r="I92" s="0" t="s">
        <v>1057</v>
      </c>
      <c r="J92" s="0" t="s">
        <v>1058</v>
      </c>
      <c r="K92" s="0" t="s">
        <v>1059</v>
      </c>
      <c r="L92" s="0" t="s">
        <v>1060</v>
      </c>
      <c r="M92" s="0" t="s">
        <v>19</v>
      </c>
      <c r="N92" s="0" t="s">
        <v>106</v>
      </c>
      <c r="O92" s="0" t="s">
        <v>1055</v>
      </c>
      <c r="P92" s="0" t="s">
        <v>1056</v>
      </c>
      <c r="Q92" s="0" t="s">
        <v>1057</v>
      </c>
      <c r="R92" s="0" t="s">
        <v>1058</v>
      </c>
      <c r="S92" s="0" t="s">
        <v>1059</v>
      </c>
      <c r="T92" s="0" t="s">
        <v>4016</v>
      </c>
      <c r="U92" s="0" t="s">
        <v>4017</v>
      </c>
      <c r="V92" s="0" t="s">
        <v>4219</v>
      </c>
      <c r="W92" s="0" t="s">
        <v>4019</v>
      </c>
      <c r="X92" s="0" t="s">
        <v>4020</v>
      </c>
      <c r="Y92" s="0" t="s">
        <v>4021</v>
      </c>
      <c r="Z92" s="0" t="s">
        <v>4220</v>
      </c>
      <c r="AA92" s="0" t="s">
        <v>4221</v>
      </c>
      <c r="AB92" s="0" t="s">
        <v>4219</v>
      </c>
      <c r="AC92" s="0" t="s">
        <v>65</v>
      </c>
      <c r="AD92" s="0" t="s">
        <v>19</v>
      </c>
      <c r="AE92" s="0" t="s">
        <v>19</v>
      </c>
      <c r="AF92" s="0" t="s">
        <v>4222</v>
      </c>
      <c r="AG92" s="0" t="s">
        <v>4223</v>
      </c>
      <c r="AH92" s="0" t="s">
        <v>22</v>
      </c>
      <c r="AI92" s="0" t="s">
        <v>22</v>
      </c>
      <c r="AJ92" s="0" t="s">
        <v>22</v>
      </c>
      <c r="AK92" s="0" t="s">
        <v>22</v>
      </c>
      <c r="AL92" s="0" t="s">
        <v>4036</v>
      </c>
    </row>
    <row customHeight="1" ht="11.25">
      <c r="A93" s="0" t="s">
        <v>22</v>
      </c>
      <c r="B93" s="0" t="s">
        <v>48</v>
      </c>
      <c r="C93" s="0" t="s">
        <v>50</v>
      </c>
      <c r="D93" s="0" t="s">
        <v>22</v>
      </c>
      <c r="E93" s="0" t="s">
        <v>4061</v>
      </c>
      <c r="F93" s="0" t="s">
        <v>1029</v>
      </c>
      <c r="G93" s="0" t="s">
        <v>1030</v>
      </c>
      <c r="H93" s="0" t="s">
        <v>1030</v>
      </c>
      <c r="I93" s="0" t="s">
        <v>1031</v>
      </c>
      <c r="J93" s="0" t="s">
        <v>1032</v>
      </c>
      <c r="K93" s="0" t="s">
        <v>1033</v>
      </c>
      <c r="L93" s="0" t="s">
        <v>4062</v>
      </c>
      <c r="M93" s="0" t="s">
        <v>4063</v>
      </c>
      <c r="N93" s="0" t="s">
        <v>109</v>
      </c>
      <c r="O93" s="0" t="s">
        <v>1055</v>
      </c>
      <c r="P93" s="0" t="s">
        <v>1056</v>
      </c>
      <c r="Q93" s="0" t="s">
        <v>1057</v>
      </c>
      <c r="R93" s="0" t="s">
        <v>1058</v>
      </c>
      <c r="S93" s="0" t="s">
        <v>1059</v>
      </c>
      <c r="T93" s="0" t="s">
        <v>4016</v>
      </c>
      <c r="U93" s="0" t="s">
        <v>4017</v>
      </c>
      <c r="V93" s="0" t="s">
        <v>4018</v>
      </c>
      <c r="W93" s="0" t="s">
        <v>4019</v>
      </c>
      <c r="X93" s="0" t="s">
        <v>4020</v>
      </c>
      <c r="Y93" s="0" t="s">
        <v>4021</v>
      </c>
      <c r="Z93" s="0" t="s">
        <v>4064</v>
      </c>
      <c r="AA93" s="0" t="s">
        <v>4042</v>
      </c>
      <c r="AB93" s="0" t="s">
        <v>4018</v>
      </c>
      <c r="AC93" s="0" t="s">
        <v>65</v>
      </c>
      <c r="AD93" s="0" t="s">
        <v>19</v>
      </c>
      <c r="AE93" s="0" t="s">
        <v>19</v>
      </c>
      <c r="AF93" s="0" t="s">
        <v>4065</v>
      </c>
      <c r="AG93" s="0" t="s">
        <v>4066</v>
      </c>
      <c r="AH93" s="0" t="s">
        <v>22</v>
      </c>
      <c r="AI93" s="0" t="s">
        <v>22</v>
      </c>
      <c r="AJ93" s="0" t="s">
        <v>22</v>
      </c>
      <c r="AK93" s="0" t="s">
        <v>22</v>
      </c>
      <c r="AL93" s="0" t="s">
        <v>4067</v>
      </c>
    </row>
    <row customHeight="1" ht="11.25">
      <c r="A94" s="0" t="s">
        <v>22</v>
      </c>
      <c r="B94" s="0" t="s">
        <v>48</v>
      </c>
      <c r="C94" s="0" t="s">
        <v>50</v>
      </c>
      <c r="D94" s="0" t="s">
        <v>22</v>
      </c>
      <c r="E94" s="0" t="s">
        <v>4061</v>
      </c>
      <c r="F94" s="0" t="s">
        <v>1029</v>
      </c>
      <c r="G94" s="0" t="s">
        <v>1030</v>
      </c>
      <c r="H94" s="0" t="s">
        <v>1030</v>
      </c>
      <c r="I94" s="0" t="s">
        <v>1031</v>
      </c>
      <c r="J94" s="0" t="s">
        <v>1032</v>
      </c>
      <c r="K94" s="0" t="s">
        <v>1033</v>
      </c>
      <c r="L94" s="0" t="s">
        <v>4062</v>
      </c>
      <c r="M94" s="0" t="s">
        <v>4063</v>
      </c>
      <c r="N94" s="0" t="s">
        <v>109</v>
      </c>
      <c r="O94" s="0" t="s">
        <v>1055</v>
      </c>
      <c r="P94" s="0" t="s">
        <v>1056</v>
      </c>
      <c r="Q94" s="0" t="s">
        <v>1057</v>
      </c>
      <c r="R94" s="0" t="s">
        <v>1058</v>
      </c>
      <c r="S94" s="0" t="s">
        <v>1059</v>
      </c>
      <c r="T94" s="0" t="s">
        <v>4016</v>
      </c>
      <c r="U94" s="0" t="s">
        <v>4017</v>
      </c>
      <c r="V94" s="0" t="s">
        <v>4018</v>
      </c>
      <c r="W94" s="0" t="s">
        <v>4019</v>
      </c>
      <c r="X94" s="0" t="s">
        <v>4020</v>
      </c>
      <c r="Y94" s="0" t="s">
        <v>4021</v>
      </c>
      <c r="Z94" s="0" t="s">
        <v>4064</v>
      </c>
      <c r="AA94" s="0" t="s">
        <v>4042</v>
      </c>
      <c r="AB94" s="0" t="s">
        <v>4018</v>
      </c>
      <c r="AC94" s="0" t="s">
        <v>65</v>
      </c>
      <c r="AD94" s="0" t="s">
        <v>19</v>
      </c>
      <c r="AE94" s="0" t="s">
        <v>19</v>
      </c>
      <c r="AF94" s="0" t="s">
        <v>4065</v>
      </c>
      <c r="AG94" s="0" t="s">
        <v>4066</v>
      </c>
      <c r="AH94" s="0" t="s">
        <v>22</v>
      </c>
      <c r="AI94" s="0" t="s">
        <v>22</v>
      </c>
      <c r="AJ94" s="0" t="s">
        <v>22</v>
      </c>
      <c r="AK94" s="0" t="s">
        <v>22</v>
      </c>
      <c r="AL94" s="0" t="s">
        <v>4068</v>
      </c>
    </row>
    <row customHeight="1" ht="11.25">
      <c r="A95" s="0" t="s">
        <v>22</v>
      </c>
      <c r="B95" s="0" t="s">
        <v>48</v>
      </c>
      <c r="C95" s="0" t="s">
        <v>50</v>
      </c>
      <c r="D95" s="0" t="s">
        <v>22</v>
      </c>
      <c r="E95" s="0" t="s">
        <v>4061</v>
      </c>
      <c r="F95" s="0" t="s">
        <v>1029</v>
      </c>
      <c r="G95" s="0" t="s">
        <v>1030</v>
      </c>
      <c r="H95" s="0" t="s">
        <v>1030</v>
      </c>
      <c r="I95" s="0" t="s">
        <v>1031</v>
      </c>
      <c r="J95" s="0" t="s">
        <v>1032</v>
      </c>
      <c r="K95" s="0" t="s">
        <v>1033</v>
      </c>
      <c r="L95" s="0" t="s">
        <v>4062</v>
      </c>
      <c r="M95" s="0" t="s">
        <v>4063</v>
      </c>
      <c r="N95" s="0" t="s">
        <v>92</v>
      </c>
      <c r="O95" s="0" t="s">
        <v>1055</v>
      </c>
      <c r="P95" s="0" t="s">
        <v>3753</v>
      </c>
      <c r="Q95" s="0" t="s">
        <v>3754</v>
      </c>
      <c r="R95" s="0" t="s">
        <v>4224</v>
      </c>
      <c r="S95" s="0" t="s">
        <v>4225</v>
      </c>
      <c r="T95" s="0" t="s">
        <v>4016</v>
      </c>
      <c r="U95" s="0" t="s">
        <v>4017</v>
      </c>
      <c r="V95" s="0" t="s">
        <v>4018</v>
      </c>
      <c r="W95" s="0" t="s">
        <v>4019</v>
      </c>
      <c r="X95" s="0" t="s">
        <v>4020</v>
      </c>
      <c r="Y95" s="0" t="s">
        <v>4021</v>
      </c>
      <c r="Z95" s="0" t="s">
        <v>4064</v>
      </c>
      <c r="AA95" s="0" t="s">
        <v>4042</v>
      </c>
      <c r="AB95" s="0" t="s">
        <v>4018</v>
      </c>
      <c r="AC95" s="0" t="s">
        <v>65</v>
      </c>
      <c r="AD95" s="0" t="s">
        <v>19</v>
      </c>
      <c r="AE95" s="0" t="s">
        <v>19</v>
      </c>
      <c r="AF95" s="0" t="s">
        <v>4065</v>
      </c>
      <c r="AG95" s="0" t="s">
        <v>4066</v>
      </c>
      <c r="AH95" s="0" t="s">
        <v>22</v>
      </c>
      <c r="AI95" s="0" t="s">
        <v>22</v>
      </c>
      <c r="AJ95" s="0" t="s">
        <v>22</v>
      </c>
      <c r="AK95" s="0" t="s">
        <v>22</v>
      </c>
      <c r="AL95" s="0" t="s">
        <v>4068</v>
      </c>
    </row>
    <row customHeight="1" ht="11.25">
      <c r="A96" s="0" t="s">
        <v>22</v>
      </c>
      <c r="B96" s="0" t="s">
        <v>48</v>
      </c>
      <c r="C96" s="0" t="s">
        <v>50</v>
      </c>
      <c r="D96" s="0" t="s">
        <v>22</v>
      </c>
      <c r="E96" s="0" t="s">
        <v>4061</v>
      </c>
      <c r="F96" s="0" t="s">
        <v>1029</v>
      </c>
      <c r="G96" s="0" t="s">
        <v>1030</v>
      </c>
      <c r="H96" s="0" t="s">
        <v>1030</v>
      </c>
      <c r="I96" s="0" t="s">
        <v>1031</v>
      </c>
      <c r="J96" s="0" t="s">
        <v>1032</v>
      </c>
      <c r="K96" s="0" t="s">
        <v>1033</v>
      </c>
      <c r="L96" s="0" t="s">
        <v>4062</v>
      </c>
      <c r="M96" s="0" t="s">
        <v>4063</v>
      </c>
      <c r="N96" s="0" t="s">
        <v>92</v>
      </c>
      <c r="O96" s="0" t="s">
        <v>1055</v>
      </c>
      <c r="P96" s="0" t="s">
        <v>3753</v>
      </c>
      <c r="Q96" s="0" t="s">
        <v>3754</v>
      </c>
      <c r="R96" s="0" t="s">
        <v>4224</v>
      </c>
      <c r="S96" s="0" t="s">
        <v>4225</v>
      </c>
      <c r="T96" s="0" t="s">
        <v>4016</v>
      </c>
      <c r="U96" s="0" t="s">
        <v>4017</v>
      </c>
      <c r="V96" s="0" t="s">
        <v>4018</v>
      </c>
      <c r="W96" s="0" t="s">
        <v>4019</v>
      </c>
      <c r="X96" s="0" t="s">
        <v>4020</v>
      </c>
      <c r="Y96" s="0" t="s">
        <v>4021</v>
      </c>
      <c r="Z96" s="0" t="s">
        <v>4064</v>
      </c>
      <c r="AA96" s="0" t="s">
        <v>4042</v>
      </c>
      <c r="AB96" s="0" t="s">
        <v>4018</v>
      </c>
      <c r="AC96" s="0" t="s">
        <v>65</v>
      </c>
      <c r="AD96" s="0" t="s">
        <v>19</v>
      </c>
      <c r="AE96" s="0" t="s">
        <v>19</v>
      </c>
      <c r="AF96" s="0" t="s">
        <v>4065</v>
      </c>
      <c r="AG96" s="0" t="s">
        <v>4066</v>
      </c>
      <c r="AH96" s="0" t="s">
        <v>22</v>
      </c>
      <c r="AI96" s="0" t="s">
        <v>22</v>
      </c>
      <c r="AJ96" s="0" t="s">
        <v>22</v>
      </c>
      <c r="AK96" s="0" t="s">
        <v>22</v>
      </c>
      <c r="AL96" s="0" t="s">
        <v>4067</v>
      </c>
    </row>
    <row customHeight="1" ht="11.25">
      <c r="A97" s="0" t="s">
        <v>22</v>
      </c>
      <c r="B97" s="0" t="s">
        <v>48</v>
      </c>
      <c r="C97" s="0" t="s">
        <v>50</v>
      </c>
      <c r="D97" s="0" t="s">
        <v>22</v>
      </c>
      <c r="E97" s="0" t="s">
        <v>1105</v>
      </c>
      <c r="F97" s="0" t="s">
        <v>1083</v>
      </c>
      <c r="G97" s="0" t="s">
        <v>1030</v>
      </c>
      <c r="H97" s="0" t="s">
        <v>1030</v>
      </c>
      <c r="I97" s="0" t="s">
        <v>1031</v>
      </c>
      <c r="J97" s="0" t="s">
        <v>1032</v>
      </c>
      <c r="K97" s="0" t="s">
        <v>1033</v>
      </c>
      <c r="L97" s="0" t="s">
        <v>1106</v>
      </c>
      <c r="M97" s="0" t="s">
        <v>1107</v>
      </c>
      <c r="N97" s="0" t="s">
        <v>92</v>
      </c>
      <c r="O97" s="0" t="s">
        <v>1055</v>
      </c>
      <c r="P97" s="0" t="s">
        <v>3753</v>
      </c>
      <c r="Q97" s="0" t="s">
        <v>3754</v>
      </c>
      <c r="R97" s="0" t="s">
        <v>4224</v>
      </c>
      <c r="S97" s="0" t="s">
        <v>4225</v>
      </c>
      <c r="T97" s="0" t="s">
        <v>4016</v>
      </c>
      <c r="U97" s="0" t="s">
        <v>4017</v>
      </c>
      <c r="V97" s="0" t="s">
        <v>4096</v>
      </c>
      <c r="W97" s="0" t="s">
        <v>4019</v>
      </c>
      <c r="X97" s="0" t="s">
        <v>4020</v>
      </c>
      <c r="Y97" s="0" t="s">
        <v>4021</v>
      </c>
      <c r="Z97" s="0" t="s">
        <v>4028</v>
      </c>
      <c r="AA97" s="0" t="s">
        <v>4029</v>
      </c>
      <c r="AB97" s="0" t="s">
        <v>4096</v>
      </c>
      <c r="AC97" s="0" t="s">
        <v>19</v>
      </c>
      <c r="AD97" s="0" t="s">
        <v>65</v>
      </c>
      <c r="AE97" s="0" t="s">
        <v>19</v>
      </c>
      <c r="AF97" s="0" t="s">
        <v>22</v>
      </c>
      <c r="AG97" s="0" t="s">
        <v>22</v>
      </c>
      <c r="AH97" s="0" t="s">
        <v>4082</v>
      </c>
      <c r="AI97" s="0" t="s">
        <v>4083</v>
      </c>
      <c r="AJ97" s="0" t="s">
        <v>4082</v>
      </c>
      <c r="AK97" s="0" t="s">
        <v>4083</v>
      </c>
      <c r="AL97" s="0" t="s">
        <v>22</v>
      </c>
    </row>
    <row customHeight="1" ht="11.25">
      <c r="A98" s="0" t="s">
        <v>22</v>
      </c>
      <c r="B98" s="0" t="s">
        <v>48</v>
      </c>
      <c r="C98" s="0" t="s">
        <v>50</v>
      </c>
      <c r="D98" s="0" t="s">
        <v>22</v>
      </c>
      <c r="E98" s="0" t="s">
        <v>1105</v>
      </c>
      <c r="F98" s="0" t="s">
        <v>1083</v>
      </c>
      <c r="G98" s="0" t="s">
        <v>1030</v>
      </c>
      <c r="H98" s="0" t="s">
        <v>1030</v>
      </c>
      <c r="I98" s="0" t="s">
        <v>1031</v>
      </c>
      <c r="J98" s="0" t="s">
        <v>1032</v>
      </c>
      <c r="K98" s="0" t="s">
        <v>1033</v>
      </c>
      <c r="L98" s="0" t="s">
        <v>1106</v>
      </c>
      <c r="M98" s="0" t="s">
        <v>1107</v>
      </c>
      <c r="N98" s="0" t="s">
        <v>92</v>
      </c>
      <c r="O98" s="0" t="s">
        <v>1055</v>
      </c>
      <c r="P98" s="0" t="s">
        <v>3753</v>
      </c>
      <c r="Q98" s="0" t="s">
        <v>3754</v>
      </c>
      <c r="R98" s="0" t="s">
        <v>4224</v>
      </c>
      <c r="S98" s="0" t="s">
        <v>4225</v>
      </c>
      <c r="T98" s="0" t="s">
        <v>4016</v>
      </c>
      <c r="U98" s="0" t="s">
        <v>4017</v>
      </c>
      <c r="V98" s="0" t="s">
        <v>4096</v>
      </c>
      <c r="W98" s="0" t="s">
        <v>4019</v>
      </c>
      <c r="X98" s="0" t="s">
        <v>4020</v>
      </c>
      <c r="Y98" s="0" t="s">
        <v>4021</v>
      </c>
      <c r="Z98" s="0" t="s">
        <v>4028</v>
      </c>
      <c r="AA98" s="0" t="s">
        <v>4029</v>
      </c>
      <c r="AB98" s="0" t="s">
        <v>4096</v>
      </c>
      <c r="AC98" s="0" t="s">
        <v>19</v>
      </c>
      <c r="AD98" s="0" t="s">
        <v>65</v>
      </c>
      <c r="AE98" s="0" t="s">
        <v>19</v>
      </c>
      <c r="AF98" s="0" t="s">
        <v>22</v>
      </c>
      <c r="AG98" s="0" t="s">
        <v>22</v>
      </c>
      <c r="AH98" s="0" t="s">
        <v>4082</v>
      </c>
      <c r="AI98" s="0" t="s">
        <v>4083</v>
      </c>
      <c r="AJ98" s="0" t="s">
        <v>4082</v>
      </c>
      <c r="AK98" s="0" t="s">
        <v>4083</v>
      </c>
      <c r="AL98" s="0" t="s">
        <v>22</v>
      </c>
    </row>
    <row customHeight="1" ht="11.25">
      <c r="A99" s="0" t="s">
        <v>22</v>
      </c>
      <c r="B99" s="0" t="s">
        <v>48</v>
      </c>
      <c r="C99" s="0" t="s">
        <v>50</v>
      </c>
      <c r="D99" s="0" t="s">
        <v>22</v>
      </c>
      <c r="E99" s="0" t="s">
        <v>4061</v>
      </c>
      <c r="F99" s="0" t="s">
        <v>1029</v>
      </c>
      <c r="G99" s="0" t="s">
        <v>1030</v>
      </c>
      <c r="H99" s="0" t="s">
        <v>1030</v>
      </c>
      <c r="I99" s="0" t="s">
        <v>1031</v>
      </c>
      <c r="J99" s="0" t="s">
        <v>1032</v>
      </c>
      <c r="K99" s="0" t="s">
        <v>1033</v>
      </c>
      <c r="L99" s="0" t="s">
        <v>4062</v>
      </c>
      <c r="M99" s="0" t="s">
        <v>4063</v>
      </c>
      <c r="N99" s="0" t="s">
        <v>145</v>
      </c>
      <c r="O99" s="0" t="s">
        <v>1055</v>
      </c>
      <c r="P99" s="0" t="s">
        <v>3756</v>
      </c>
      <c r="Q99" s="0" t="s">
        <v>3757</v>
      </c>
      <c r="R99" s="0" t="s">
        <v>4226</v>
      </c>
      <c r="S99" s="0" t="s">
        <v>4227</v>
      </c>
      <c r="T99" s="0" t="s">
        <v>4016</v>
      </c>
      <c r="U99" s="0" t="s">
        <v>4017</v>
      </c>
      <c r="V99" s="0" t="s">
        <v>4018</v>
      </c>
      <c r="W99" s="0" t="s">
        <v>4019</v>
      </c>
      <c r="X99" s="0" t="s">
        <v>4020</v>
      </c>
      <c r="Y99" s="0" t="s">
        <v>4021</v>
      </c>
      <c r="Z99" s="0" t="s">
        <v>4064</v>
      </c>
      <c r="AA99" s="0" t="s">
        <v>4042</v>
      </c>
      <c r="AB99" s="0" t="s">
        <v>4018</v>
      </c>
      <c r="AC99" s="0" t="s">
        <v>65</v>
      </c>
      <c r="AD99" s="0" t="s">
        <v>19</v>
      </c>
      <c r="AE99" s="0" t="s">
        <v>19</v>
      </c>
      <c r="AF99" s="0" t="s">
        <v>4065</v>
      </c>
      <c r="AG99" s="0" t="s">
        <v>4066</v>
      </c>
      <c r="AH99" s="0" t="s">
        <v>22</v>
      </c>
      <c r="AI99" s="0" t="s">
        <v>22</v>
      </c>
      <c r="AJ99" s="0" t="s">
        <v>22</v>
      </c>
      <c r="AK99" s="0" t="s">
        <v>22</v>
      </c>
      <c r="AL99" s="0" t="s">
        <v>4067</v>
      </c>
    </row>
    <row customHeight="1" ht="11.25">
      <c r="A100" s="0" t="s">
        <v>22</v>
      </c>
      <c r="B100" s="0" t="s">
        <v>48</v>
      </c>
      <c r="C100" s="0" t="s">
        <v>50</v>
      </c>
      <c r="D100" s="0" t="s">
        <v>22</v>
      </c>
      <c r="E100" s="0" t="s">
        <v>4061</v>
      </c>
      <c r="F100" s="0" t="s">
        <v>1029</v>
      </c>
      <c r="G100" s="0" t="s">
        <v>1030</v>
      </c>
      <c r="H100" s="0" t="s">
        <v>1030</v>
      </c>
      <c r="I100" s="0" t="s">
        <v>1031</v>
      </c>
      <c r="J100" s="0" t="s">
        <v>1032</v>
      </c>
      <c r="K100" s="0" t="s">
        <v>1033</v>
      </c>
      <c r="L100" s="0" t="s">
        <v>4062</v>
      </c>
      <c r="M100" s="0" t="s">
        <v>4063</v>
      </c>
      <c r="N100" s="0" t="s">
        <v>145</v>
      </c>
      <c r="O100" s="0" t="s">
        <v>1055</v>
      </c>
      <c r="P100" s="0" t="s">
        <v>3756</v>
      </c>
      <c r="Q100" s="0" t="s">
        <v>3757</v>
      </c>
      <c r="R100" s="0" t="s">
        <v>4226</v>
      </c>
      <c r="S100" s="0" t="s">
        <v>4227</v>
      </c>
      <c r="T100" s="0" t="s">
        <v>4016</v>
      </c>
      <c r="U100" s="0" t="s">
        <v>4017</v>
      </c>
      <c r="V100" s="0" t="s">
        <v>4018</v>
      </c>
      <c r="W100" s="0" t="s">
        <v>4019</v>
      </c>
      <c r="X100" s="0" t="s">
        <v>4020</v>
      </c>
      <c r="Y100" s="0" t="s">
        <v>4021</v>
      </c>
      <c r="Z100" s="0" t="s">
        <v>4064</v>
      </c>
      <c r="AA100" s="0" t="s">
        <v>4042</v>
      </c>
      <c r="AB100" s="0" t="s">
        <v>4018</v>
      </c>
      <c r="AC100" s="0" t="s">
        <v>65</v>
      </c>
      <c r="AD100" s="0" t="s">
        <v>19</v>
      </c>
      <c r="AE100" s="0" t="s">
        <v>19</v>
      </c>
      <c r="AF100" s="0" t="s">
        <v>4065</v>
      </c>
      <c r="AG100" s="0" t="s">
        <v>4066</v>
      </c>
      <c r="AH100" s="0" t="s">
        <v>22</v>
      </c>
      <c r="AI100" s="0" t="s">
        <v>22</v>
      </c>
      <c r="AJ100" s="0" t="s">
        <v>22</v>
      </c>
      <c r="AK100" s="0" t="s">
        <v>22</v>
      </c>
      <c r="AL100" s="0" t="s">
        <v>4068</v>
      </c>
    </row>
    <row customHeight="1" ht="11.25">
      <c r="A101" s="0" t="s">
        <v>22</v>
      </c>
      <c r="B101" s="0" t="s">
        <v>48</v>
      </c>
      <c r="C101" s="0" t="s">
        <v>50</v>
      </c>
      <c r="D101" s="0" t="s">
        <v>22</v>
      </c>
      <c r="E101" s="0" t="s">
        <v>1105</v>
      </c>
      <c r="F101" s="0" t="s">
        <v>1083</v>
      </c>
      <c r="G101" s="0" t="s">
        <v>1030</v>
      </c>
      <c r="H101" s="0" t="s">
        <v>1030</v>
      </c>
      <c r="I101" s="0" t="s">
        <v>1031</v>
      </c>
      <c r="J101" s="0" t="s">
        <v>1032</v>
      </c>
      <c r="K101" s="0" t="s">
        <v>1033</v>
      </c>
      <c r="L101" s="0" t="s">
        <v>1106</v>
      </c>
      <c r="M101" s="0" t="s">
        <v>1107</v>
      </c>
      <c r="N101" s="0" t="s">
        <v>93</v>
      </c>
      <c r="O101" s="0" t="s">
        <v>1055</v>
      </c>
      <c r="P101" s="0" t="s">
        <v>3756</v>
      </c>
      <c r="Q101" s="0" t="s">
        <v>3757</v>
      </c>
      <c r="R101" s="0" t="s">
        <v>4226</v>
      </c>
      <c r="S101" s="0" t="s">
        <v>4227</v>
      </c>
      <c r="T101" s="0" t="s">
        <v>4016</v>
      </c>
      <c r="U101" s="0" t="s">
        <v>4017</v>
      </c>
      <c r="V101" s="0" t="s">
        <v>4096</v>
      </c>
      <c r="W101" s="0" t="s">
        <v>4019</v>
      </c>
      <c r="X101" s="0" t="s">
        <v>4020</v>
      </c>
      <c r="Y101" s="0" t="s">
        <v>4021</v>
      </c>
      <c r="Z101" s="0" t="s">
        <v>4028</v>
      </c>
      <c r="AA101" s="0" t="s">
        <v>4029</v>
      </c>
      <c r="AB101" s="0" t="s">
        <v>4096</v>
      </c>
      <c r="AC101" s="0" t="s">
        <v>19</v>
      </c>
      <c r="AD101" s="0" t="s">
        <v>65</v>
      </c>
      <c r="AE101" s="0" t="s">
        <v>19</v>
      </c>
      <c r="AF101" s="0" t="s">
        <v>22</v>
      </c>
      <c r="AG101" s="0" t="s">
        <v>22</v>
      </c>
      <c r="AH101" s="0" t="s">
        <v>4082</v>
      </c>
      <c r="AI101" s="0" t="s">
        <v>4083</v>
      </c>
      <c r="AJ101" s="0" t="s">
        <v>4082</v>
      </c>
      <c r="AK101" s="0" t="s">
        <v>4083</v>
      </c>
      <c r="AL101" s="0" t="s">
        <v>22</v>
      </c>
    </row>
    <row customHeight="1" ht="11.25">
      <c r="A102" s="0" t="s">
        <v>22</v>
      </c>
      <c r="B102" s="0" t="s">
        <v>48</v>
      </c>
      <c r="C102" s="0" t="s">
        <v>50</v>
      </c>
      <c r="D102" s="0" t="s">
        <v>22</v>
      </c>
      <c r="E102" s="0" t="s">
        <v>1105</v>
      </c>
      <c r="F102" s="0" t="s">
        <v>1083</v>
      </c>
      <c r="G102" s="0" t="s">
        <v>1030</v>
      </c>
      <c r="H102" s="0" t="s">
        <v>1030</v>
      </c>
      <c r="I102" s="0" t="s">
        <v>1031</v>
      </c>
      <c r="J102" s="0" t="s">
        <v>1032</v>
      </c>
      <c r="K102" s="0" t="s">
        <v>1033</v>
      </c>
      <c r="L102" s="0" t="s">
        <v>1106</v>
      </c>
      <c r="M102" s="0" t="s">
        <v>1107</v>
      </c>
      <c r="N102" s="0" t="s">
        <v>93</v>
      </c>
      <c r="O102" s="0" t="s">
        <v>1055</v>
      </c>
      <c r="P102" s="0" t="s">
        <v>3756</v>
      </c>
      <c r="Q102" s="0" t="s">
        <v>3757</v>
      </c>
      <c r="R102" s="0" t="s">
        <v>4226</v>
      </c>
      <c r="S102" s="0" t="s">
        <v>4227</v>
      </c>
      <c r="T102" s="0" t="s">
        <v>4016</v>
      </c>
      <c r="U102" s="0" t="s">
        <v>4017</v>
      </c>
      <c r="V102" s="0" t="s">
        <v>4096</v>
      </c>
      <c r="W102" s="0" t="s">
        <v>4019</v>
      </c>
      <c r="X102" s="0" t="s">
        <v>4020</v>
      </c>
      <c r="Y102" s="0" t="s">
        <v>4021</v>
      </c>
      <c r="Z102" s="0" t="s">
        <v>4028</v>
      </c>
      <c r="AA102" s="0" t="s">
        <v>4029</v>
      </c>
      <c r="AB102" s="0" t="s">
        <v>4096</v>
      </c>
      <c r="AC102" s="0" t="s">
        <v>19</v>
      </c>
      <c r="AD102" s="0" t="s">
        <v>65</v>
      </c>
      <c r="AE102" s="0" t="s">
        <v>19</v>
      </c>
      <c r="AF102" s="0" t="s">
        <v>22</v>
      </c>
      <c r="AG102" s="0" t="s">
        <v>22</v>
      </c>
      <c r="AH102" s="0" t="s">
        <v>4082</v>
      </c>
      <c r="AI102" s="0" t="s">
        <v>4083</v>
      </c>
      <c r="AJ102" s="0" t="s">
        <v>4082</v>
      </c>
      <c r="AK102" s="0" t="s">
        <v>4083</v>
      </c>
      <c r="AL102" s="0" t="s">
        <v>22</v>
      </c>
    </row>
    <row customHeight="1" ht="11.25">
      <c r="A103" s="0" t="s">
        <v>22</v>
      </c>
      <c r="B103" s="0" t="s">
        <v>48</v>
      </c>
      <c r="C103" s="0" t="s">
        <v>50</v>
      </c>
      <c r="D103" s="0" t="s">
        <v>22</v>
      </c>
      <c r="E103" s="0" t="s">
        <v>4061</v>
      </c>
      <c r="F103" s="0" t="s">
        <v>1029</v>
      </c>
      <c r="G103" s="0" t="s">
        <v>1030</v>
      </c>
      <c r="H103" s="0" t="s">
        <v>1030</v>
      </c>
      <c r="I103" s="0" t="s">
        <v>1031</v>
      </c>
      <c r="J103" s="0" t="s">
        <v>1032</v>
      </c>
      <c r="K103" s="0" t="s">
        <v>1033</v>
      </c>
      <c r="L103" s="0" t="s">
        <v>4062</v>
      </c>
      <c r="M103" s="0" t="s">
        <v>4063</v>
      </c>
      <c r="N103" s="0" t="s">
        <v>93</v>
      </c>
      <c r="O103" s="0" t="s">
        <v>1055</v>
      </c>
      <c r="P103" s="0" t="s">
        <v>3765</v>
      </c>
      <c r="Q103" s="0" t="s">
        <v>3766</v>
      </c>
      <c r="R103" s="0" t="s">
        <v>4228</v>
      </c>
      <c r="S103" s="0" t="s">
        <v>4229</v>
      </c>
      <c r="T103" s="0" t="s">
        <v>4016</v>
      </c>
      <c r="U103" s="0" t="s">
        <v>4017</v>
      </c>
      <c r="V103" s="0" t="s">
        <v>4018</v>
      </c>
      <c r="W103" s="0" t="s">
        <v>4019</v>
      </c>
      <c r="X103" s="0" t="s">
        <v>4020</v>
      </c>
      <c r="Y103" s="0" t="s">
        <v>4021</v>
      </c>
      <c r="Z103" s="0" t="s">
        <v>4064</v>
      </c>
      <c r="AA103" s="0" t="s">
        <v>4042</v>
      </c>
      <c r="AB103" s="0" t="s">
        <v>4018</v>
      </c>
      <c r="AC103" s="0" t="s">
        <v>65</v>
      </c>
      <c r="AD103" s="0" t="s">
        <v>19</v>
      </c>
      <c r="AE103" s="0" t="s">
        <v>19</v>
      </c>
      <c r="AF103" s="0" t="s">
        <v>4065</v>
      </c>
      <c r="AG103" s="0" t="s">
        <v>4066</v>
      </c>
      <c r="AH103" s="0" t="s">
        <v>22</v>
      </c>
      <c r="AI103" s="0" t="s">
        <v>22</v>
      </c>
      <c r="AJ103" s="0" t="s">
        <v>22</v>
      </c>
      <c r="AK103" s="0" t="s">
        <v>22</v>
      </c>
      <c r="AL103" s="0" t="s">
        <v>4068</v>
      </c>
    </row>
    <row customHeight="1" ht="11.25">
      <c r="A104" s="0" t="s">
        <v>22</v>
      </c>
      <c r="B104" s="0" t="s">
        <v>48</v>
      </c>
      <c r="C104" s="0" t="s">
        <v>50</v>
      </c>
      <c r="D104" s="0" t="s">
        <v>22</v>
      </c>
      <c r="E104" s="0" t="s">
        <v>4061</v>
      </c>
      <c r="F104" s="0" t="s">
        <v>1029</v>
      </c>
      <c r="G104" s="0" t="s">
        <v>1030</v>
      </c>
      <c r="H104" s="0" t="s">
        <v>1030</v>
      </c>
      <c r="I104" s="0" t="s">
        <v>1031</v>
      </c>
      <c r="J104" s="0" t="s">
        <v>1032</v>
      </c>
      <c r="K104" s="0" t="s">
        <v>1033</v>
      </c>
      <c r="L104" s="0" t="s">
        <v>4062</v>
      </c>
      <c r="M104" s="0" t="s">
        <v>4063</v>
      </c>
      <c r="N104" s="0" t="s">
        <v>93</v>
      </c>
      <c r="O104" s="0" t="s">
        <v>1055</v>
      </c>
      <c r="P104" s="0" t="s">
        <v>3765</v>
      </c>
      <c r="Q104" s="0" t="s">
        <v>3766</v>
      </c>
      <c r="R104" s="0" t="s">
        <v>4228</v>
      </c>
      <c r="S104" s="0" t="s">
        <v>4229</v>
      </c>
      <c r="T104" s="0" t="s">
        <v>4016</v>
      </c>
      <c r="U104" s="0" t="s">
        <v>4017</v>
      </c>
      <c r="V104" s="0" t="s">
        <v>4018</v>
      </c>
      <c r="W104" s="0" t="s">
        <v>4019</v>
      </c>
      <c r="X104" s="0" t="s">
        <v>4020</v>
      </c>
      <c r="Y104" s="0" t="s">
        <v>4021</v>
      </c>
      <c r="Z104" s="0" t="s">
        <v>4064</v>
      </c>
      <c r="AA104" s="0" t="s">
        <v>4042</v>
      </c>
      <c r="AB104" s="0" t="s">
        <v>4018</v>
      </c>
      <c r="AC104" s="0" t="s">
        <v>65</v>
      </c>
      <c r="AD104" s="0" t="s">
        <v>19</v>
      </c>
      <c r="AE104" s="0" t="s">
        <v>19</v>
      </c>
      <c r="AF104" s="0" t="s">
        <v>4065</v>
      </c>
      <c r="AG104" s="0" t="s">
        <v>4066</v>
      </c>
      <c r="AH104" s="0" t="s">
        <v>22</v>
      </c>
      <c r="AI104" s="0" t="s">
        <v>22</v>
      </c>
      <c r="AJ104" s="0" t="s">
        <v>22</v>
      </c>
      <c r="AK104" s="0" t="s">
        <v>22</v>
      </c>
      <c r="AL104" s="0" t="s">
        <v>4067</v>
      </c>
    </row>
    <row customHeight="1" ht="11.25">
      <c r="A105" s="0" t="s">
        <v>22</v>
      </c>
      <c r="B105" s="0" t="s">
        <v>48</v>
      </c>
      <c r="C105" s="0" t="s">
        <v>50</v>
      </c>
      <c r="D105" s="0" t="s">
        <v>22</v>
      </c>
      <c r="E105" s="0" t="s">
        <v>1105</v>
      </c>
      <c r="F105" s="0" t="s">
        <v>1083</v>
      </c>
      <c r="G105" s="0" t="s">
        <v>1030</v>
      </c>
      <c r="H105" s="0" t="s">
        <v>1030</v>
      </c>
      <c r="I105" s="0" t="s">
        <v>1031</v>
      </c>
      <c r="J105" s="0" t="s">
        <v>1032</v>
      </c>
      <c r="K105" s="0" t="s">
        <v>1033</v>
      </c>
      <c r="L105" s="0" t="s">
        <v>1106</v>
      </c>
      <c r="M105" s="0" t="s">
        <v>1107</v>
      </c>
      <c r="N105" s="0" t="s">
        <v>109</v>
      </c>
      <c r="O105" s="0" t="s">
        <v>1055</v>
      </c>
      <c r="P105" s="0" t="s">
        <v>3765</v>
      </c>
      <c r="Q105" s="0" t="s">
        <v>3766</v>
      </c>
      <c r="R105" s="0" t="s">
        <v>4228</v>
      </c>
      <c r="S105" s="0" t="s">
        <v>4229</v>
      </c>
      <c r="T105" s="0" t="s">
        <v>4016</v>
      </c>
      <c r="U105" s="0" t="s">
        <v>4017</v>
      </c>
      <c r="V105" s="0" t="s">
        <v>4096</v>
      </c>
      <c r="W105" s="0" t="s">
        <v>4019</v>
      </c>
      <c r="X105" s="0" t="s">
        <v>4020</v>
      </c>
      <c r="Y105" s="0" t="s">
        <v>4021</v>
      </c>
      <c r="Z105" s="0" t="s">
        <v>4028</v>
      </c>
      <c r="AA105" s="0" t="s">
        <v>4029</v>
      </c>
      <c r="AB105" s="0" t="s">
        <v>4096</v>
      </c>
      <c r="AC105" s="0" t="s">
        <v>19</v>
      </c>
      <c r="AD105" s="0" t="s">
        <v>65</v>
      </c>
      <c r="AE105" s="0" t="s">
        <v>19</v>
      </c>
      <c r="AF105" s="0" t="s">
        <v>22</v>
      </c>
      <c r="AG105" s="0" t="s">
        <v>22</v>
      </c>
      <c r="AH105" s="0" t="s">
        <v>4082</v>
      </c>
      <c r="AI105" s="0" t="s">
        <v>4083</v>
      </c>
      <c r="AJ105" s="0" t="s">
        <v>4082</v>
      </c>
      <c r="AK105" s="0" t="s">
        <v>4083</v>
      </c>
      <c r="AL105" s="0" t="s">
        <v>22</v>
      </c>
    </row>
    <row customHeight="1" ht="11.25">
      <c r="A106" s="0" t="s">
        <v>22</v>
      </c>
      <c r="B106" s="0" t="s">
        <v>48</v>
      </c>
      <c r="C106" s="0" t="s">
        <v>50</v>
      </c>
      <c r="D106" s="0" t="s">
        <v>22</v>
      </c>
      <c r="E106" s="0" t="s">
        <v>1105</v>
      </c>
      <c r="F106" s="0" t="s">
        <v>1083</v>
      </c>
      <c r="G106" s="0" t="s">
        <v>1030</v>
      </c>
      <c r="H106" s="0" t="s">
        <v>1030</v>
      </c>
      <c r="I106" s="0" t="s">
        <v>1031</v>
      </c>
      <c r="J106" s="0" t="s">
        <v>1032</v>
      </c>
      <c r="K106" s="0" t="s">
        <v>1033</v>
      </c>
      <c r="L106" s="0" t="s">
        <v>1106</v>
      </c>
      <c r="M106" s="0" t="s">
        <v>1107</v>
      </c>
      <c r="N106" s="0" t="s">
        <v>109</v>
      </c>
      <c r="O106" s="0" t="s">
        <v>1055</v>
      </c>
      <c r="P106" s="0" t="s">
        <v>3765</v>
      </c>
      <c r="Q106" s="0" t="s">
        <v>3766</v>
      </c>
      <c r="R106" s="0" t="s">
        <v>4228</v>
      </c>
      <c r="S106" s="0" t="s">
        <v>4229</v>
      </c>
      <c r="T106" s="0" t="s">
        <v>4016</v>
      </c>
      <c r="U106" s="0" t="s">
        <v>4017</v>
      </c>
      <c r="V106" s="0" t="s">
        <v>4096</v>
      </c>
      <c r="W106" s="0" t="s">
        <v>4019</v>
      </c>
      <c r="X106" s="0" t="s">
        <v>4020</v>
      </c>
      <c r="Y106" s="0" t="s">
        <v>4021</v>
      </c>
      <c r="Z106" s="0" t="s">
        <v>4028</v>
      </c>
      <c r="AA106" s="0" t="s">
        <v>4029</v>
      </c>
      <c r="AB106" s="0" t="s">
        <v>4096</v>
      </c>
      <c r="AC106" s="0" t="s">
        <v>19</v>
      </c>
      <c r="AD106" s="0" t="s">
        <v>65</v>
      </c>
      <c r="AE106" s="0" t="s">
        <v>19</v>
      </c>
      <c r="AF106" s="0" t="s">
        <v>22</v>
      </c>
      <c r="AG106" s="0" t="s">
        <v>22</v>
      </c>
      <c r="AH106" s="0" t="s">
        <v>4082</v>
      </c>
      <c r="AI106" s="0" t="s">
        <v>4083</v>
      </c>
      <c r="AJ106" s="0" t="s">
        <v>4082</v>
      </c>
      <c r="AK106" s="0" t="s">
        <v>4083</v>
      </c>
      <c r="AL106" s="0"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4F3856-8F49-FC87-90FC-2A2458480365}"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7203" width="9.140625" hidden="1" customWidth="1"/>
    <col min="2" max="2" style="17239" width="9.140625" hidden="1" customWidth="1"/>
    <col min="3" max="3" style="17404" width="3.00390625" customWidth="1"/>
    <col min="4" max="4" style="17239" width="5.00390625" customWidth="1"/>
    <col min="5" max="5" style="17239" width="48.00390625" customWidth="1"/>
    <col min="6" max="6" style="17239" width="38.00390625" customWidth="1"/>
    <col min="7" max="7" style="17239" width="1.7109375" hidden="1" customWidth="1"/>
    <col min="8" max="11" style="17239" width="19.8515625" customWidth="1"/>
    <col min="12" max="12" style="17239" width="9.7109375" customWidth="1"/>
    <col min="13" max="18" style="17239" width="19.8515625" customWidth="1"/>
    <col min="19" max="19" style="17239" width="1.7109375" hidden="1" customWidth="1"/>
    <col min="20" max="22" style="17239" width="19.8515625" hidden="1" customWidth="1"/>
    <col min="23" max="23" style="17239" width="1.7109375" hidden="1" customWidth="1"/>
    <col min="24" max="26" style="17239" width="19.8515625" hidden="1" customWidth="1"/>
    <col min="27" max="27" style="17239" width="1.7109375" hidden="1" customWidth="1"/>
    <col min="28" max="29" style="17239" width="19.8515625" hidden="1" customWidth="1"/>
    <col min="30" max="30" style="17239" width="1.7109375" hidden="1" customWidth="1"/>
    <col min="31" max="31" style="17239" width="103.7109375" customWidth="1"/>
    <col min="32" max="34" style="17239" width="103.7109375" hidden="1" customWidth="1"/>
    <col min="35" max="35" style="17331" width="3.00390625" customWidth="1"/>
    <col min="36" max="38" style="17316" width="10.00390625" customWidth="1"/>
    <col min="39" max="39" style="17316" width="13.7109375" hidden="1" customWidth="1"/>
    <col min="40" max="40" style="17316" width="15.00390625" customWidth="1"/>
    <col min="41" max="41" style="17316" width="16.00390625" customWidth="1"/>
    <col min="42" max="45" style="17316" width="10.00390625" customWidth="1"/>
    <col min="46" max="46" style="17239" width="10.57421875" hidden="1"/>
  </cols>
  <sheetData>
    <row customHeight="1" ht="22.5" hidden="1">
      <c r="E1" s="753"/>
      <c r="F1" s="753"/>
      <c r="G1" s="753"/>
      <c r="H1" s="2558" t="s">
        <v>347</v>
      </c>
      <c r="I1" s="2558"/>
      <c r="J1" s="2558"/>
      <c r="K1" s="2558"/>
      <c r="L1" s="2558"/>
      <c r="M1" s="2558"/>
      <c r="N1" s="2558"/>
      <c r="O1" s="2558"/>
      <c r="P1" s="2558"/>
      <c r="Q1" s="2558"/>
      <c r="R1" s="2558"/>
      <c r="T1" s="2558" t="s">
        <v>348</v>
      </c>
      <c r="U1" s="2558"/>
      <c r="V1" s="2558"/>
      <c r="X1" s="2558" t="s">
        <v>349</v>
      </c>
      <c r="Y1" s="2558"/>
      <c r="Z1" s="2558"/>
      <c r="AB1" s="2558" t="s">
        <v>350</v>
      </c>
      <c r="AC1" s="2558"/>
      <c r="AT1" s="788" t="s">
        <v>14</v>
      </c>
    </row>
    <row customHeight="1" ht="14.25" hidden="1">
      <c r="AT2" s="788">
        <v>0</v>
      </c>
    </row>
    <row s="17791" customFormat="1" customHeight="1" ht="5.25">
      <c r="C3" s="1042"/>
      <c r="D3" s="1043"/>
      <c r="E3" s="1043"/>
      <c r="F3" s="1043"/>
      <c r="G3" s="1043"/>
      <c r="H3" s="1043" t="s">
        <v>351</v>
      </c>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J3" s="852"/>
      <c r="AK3" s="852"/>
      <c r="AL3" s="852"/>
      <c r="AM3" s="852"/>
      <c r="AN3" s="852"/>
      <c r="AO3" s="852"/>
      <c r="AP3" s="852"/>
      <c r="AQ3" s="852"/>
      <c r="AR3" s="852"/>
      <c r="AS3" s="852"/>
      <c r="AT3" s="1041">
        <v>5</v>
      </c>
    </row>
    <row customHeight="1" ht="39.75">
      <c r="C4" s="791"/>
      <c r="D4" s="24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99"/>
      <c r="F4" s="2499"/>
      <c r="G4" s="2499"/>
      <c r="H4" s="2499"/>
      <c r="I4" s="2499"/>
      <c r="J4" s="2499"/>
      <c r="K4" s="2499"/>
      <c r="L4" s="2499"/>
      <c r="M4" s="2499"/>
      <c r="N4" s="2499"/>
      <c r="O4" s="2499"/>
      <c r="P4" s="2499"/>
      <c r="Q4" s="2499"/>
      <c r="R4" s="2500"/>
      <c r="S4" s="1194"/>
      <c r="T4" s="1040"/>
      <c r="U4" s="1040"/>
      <c r="V4" s="1040"/>
      <c r="W4" s="1040"/>
      <c r="X4" s="1040"/>
      <c r="Y4" s="1040"/>
      <c r="Z4" s="1040"/>
      <c r="AA4" s="1040"/>
      <c r="AB4" s="1040"/>
      <c r="AC4" s="1040"/>
      <c r="AD4" s="1040"/>
      <c r="AE4" s="832"/>
      <c r="AF4" s="832"/>
      <c r="AG4" s="832"/>
      <c r="AH4" s="832"/>
      <c r="AI4" s="829"/>
      <c r="AT4" s="788">
        <v>38</v>
      </c>
    </row>
    <row s="17239" customFormat="1" customHeight="1" ht="18">
      <c r="A5" s="1100"/>
      <c r="C5" s="1163"/>
      <c r="D5" s="2555" t="str">
        <f>IF(org=0,"Не определено",org)</f>
        <v>АО "ДГК"</v>
      </c>
      <c r="E5" s="2556"/>
      <c r="F5" s="2556"/>
      <c r="G5" s="2556"/>
      <c r="H5" s="2556"/>
      <c r="I5" s="2556"/>
      <c r="J5" s="2556"/>
      <c r="K5" s="2556"/>
      <c r="L5" s="2556"/>
      <c r="M5" s="2556"/>
      <c r="N5" s="2556"/>
      <c r="O5" s="2556"/>
      <c r="P5" s="2556"/>
      <c r="Q5" s="2556"/>
      <c r="R5" s="2557"/>
      <c r="S5" s="1194"/>
      <c r="T5" s="1040"/>
      <c r="U5" s="1040"/>
      <c r="V5" s="1040"/>
      <c r="W5" s="1040"/>
      <c r="X5" s="1040"/>
      <c r="Y5" s="1040"/>
      <c r="Z5" s="1040"/>
      <c r="AA5" s="1040"/>
      <c r="AB5" s="1040"/>
      <c r="AC5" s="1040"/>
      <c r="AD5" s="1040"/>
      <c r="AE5" s="832"/>
      <c r="AF5" s="832"/>
      <c r="AG5" s="832"/>
      <c r="AH5" s="832"/>
      <c r="AI5" s="829"/>
      <c r="AJ5" s="852"/>
      <c r="AK5" s="852"/>
      <c r="AL5" s="852"/>
      <c r="AM5" s="852"/>
      <c r="AN5" s="852"/>
      <c r="AO5" s="852"/>
      <c r="AP5" s="852"/>
      <c r="AQ5" s="852"/>
      <c r="AR5" s="852"/>
      <c r="AS5" s="852"/>
      <c r="AT5" s="1099">
        <v>17</v>
      </c>
    </row>
    <row s="17214" customFormat="1" customHeight="1" ht="11.549999999999999">
      <c r="A6" s="820"/>
      <c r="C6" s="827"/>
      <c r="D6" s="826"/>
      <c r="E6" s="826"/>
      <c r="F6" s="826"/>
      <c r="G6" s="826"/>
      <c r="H6" s="826"/>
      <c r="I6" s="826"/>
      <c r="J6" s="826"/>
      <c r="K6" s="826"/>
      <c r="L6" s="826"/>
      <c r="M6" s="826"/>
      <c r="N6" s="826"/>
      <c r="O6" s="826"/>
      <c r="P6" s="826"/>
      <c r="Q6" s="826"/>
      <c r="R6" s="1093"/>
      <c r="S6" s="1093"/>
      <c r="T6" s="826"/>
      <c r="U6" s="826"/>
      <c r="V6" s="1053"/>
      <c r="W6" s="1053"/>
      <c r="X6" s="826"/>
      <c r="Y6" s="826"/>
      <c r="Z6" s="1053"/>
      <c r="AA6" s="1053"/>
      <c r="AB6" s="826"/>
      <c r="AC6" s="1053"/>
      <c r="AD6" s="1053"/>
      <c r="AE6" s="826"/>
      <c r="AF6" s="826"/>
      <c r="AG6" s="826"/>
      <c r="AH6" s="826"/>
      <c r="AJ6" s="830"/>
      <c r="AK6" s="830"/>
      <c r="AL6" s="830"/>
      <c r="AM6" s="830"/>
      <c r="AN6" s="830"/>
      <c r="AO6" s="830"/>
      <c r="AP6" s="830"/>
      <c r="AQ6" s="830"/>
      <c r="AR6" s="830"/>
      <c r="AS6" s="830"/>
      <c r="AT6" s="821">
        <v>11</v>
      </c>
    </row>
    <row customHeight="1" ht="14.699999999999998">
      <c r="C7" s="791"/>
      <c r="D7" s="2559" t="s">
        <v>295</v>
      </c>
      <c r="E7" s="2560"/>
      <c r="F7" s="2560"/>
      <c r="G7" s="2560"/>
      <c r="H7" s="2560"/>
      <c r="I7" s="2560"/>
      <c r="J7" s="2560"/>
      <c r="K7" s="2560"/>
      <c r="L7" s="2560"/>
      <c r="M7" s="2560"/>
      <c r="N7" s="2560"/>
      <c r="O7" s="2560"/>
      <c r="P7" s="2560"/>
      <c r="Q7" s="2560"/>
      <c r="R7" s="2560"/>
      <c r="S7" s="2560"/>
      <c r="T7" s="2560"/>
      <c r="U7" s="2560"/>
      <c r="V7" s="2560"/>
      <c r="W7" s="2560"/>
      <c r="X7" s="2560"/>
      <c r="Y7" s="2560"/>
      <c r="Z7" s="2560"/>
      <c r="AA7" s="2560"/>
      <c r="AB7" s="2560"/>
      <c r="AC7" s="2560"/>
      <c r="AD7" s="2561"/>
      <c r="AE7" s="2564" t="s">
        <v>296</v>
      </c>
      <c r="AF7" s="2564" t="s">
        <v>296</v>
      </c>
      <c r="AG7" s="2564" t="s">
        <v>296</v>
      </c>
      <c r="AH7" s="2564" t="s">
        <v>296</v>
      </c>
      <c r="AT7" s="788">
        <v>14</v>
      </c>
    </row>
    <row customHeight="1" ht="27.299999999999997">
      <c r="C8" s="791"/>
      <c r="D8" s="2468" t="s">
        <v>88</v>
      </c>
      <c r="E8" s="2564" t="str">
        <f>"Наименование "&amp;IF(TEMPLATE_SPHERE&lt;&gt;"HEAT","централизованной ","")&amp;"системы "&amp;TEMPLATE_SPHERE_RUS</f>
        <v>Наименование системы теплоснабжения</v>
      </c>
      <c r="F8" s="2564" t="str">
        <f>IF(TEMPLATE_SPHERE&lt;&gt;"HEAT","Регулируемый вид деятельности","Вид регулируемой деятельности")</f>
        <v>Вид регулируемой деятельности</v>
      </c>
      <c r="G8" s="1169"/>
      <c r="H8" s="2565" t="s">
        <v>352</v>
      </c>
      <c r="I8" s="2567" t="s">
        <v>353</v>
      </c>
      <c r="J8" s="2564" t="s">
        <v>354</v>
      </c>
      <c r="K8" s="2564"/>
      <c r="L8" s="2564"/>
      <c r="M8" s="2559"/>
      <c r="N8" s="2564" t="s">
        <v>355</v>
      </c>
      <c r="O8" s="2564"/>
      <c r="P8" s="2564" t="s">
        <v>356</v>
      </c>
      <c r="Q8" s="2564"/>
      <c r="R8" s="2571" t="s">
        <v>357</v>
      </c>
      <c r="S8" s="1165"/>
      <c r="T8" s="2569" t="s">
        <v>358</v>
      </c>
      <c r="U8" s="2569" t="s">
        <v>359</v>
      </c>
      <c r="V8" s="2569" t="s">
        <v>360</v>
      </c>
      <c r="W8" s="1167"/>
      <c r="X8" s="2569" t="s">
        <v>361</v>
      </c>
      <c r="Y8" s="2569" t="s">
        <v>362</v>
      </c>
      <c r="Z8" s="2569" t="s">
        <v>363</v>
      </c>
      <c r="AA8" s="1167"/>
      <c r="AB8" s="2569" t="s">
        <v>364</v>
      </c>
      <c r="AC8" s="2569" t="s">
        <v>357</v>
      </c>
      <c r="AD8" s="1167"/>
      <c r="AE8" s="2564"/>
      <c r="AF8" s="2564"/>
      <c r="AG8" s="2564"/>
      <c r="AH8" s="2564"/>
      <c r="AT8" s="788">
        <v>26</v>
      </c>
    </row>
    <row customHeight="1" ht="46.199999999999996">
      <c r="C9" s="791"/>
      <c r="D9" s="2468"/>
      <c r="E9" s="2564"/>
      <c r="F9" s="2564"/>
      <c r="G9" s="1170"/>
      <c r="H9" s="2566"/>
      <c r="I9" s="2568"/>
      <c r="J9" s="766" t="s">
        <v>365</v>
      </c>
      <c r="K9" s="766" t="s">
        <v>366</v>
      </c>
      <c r="L9" s="766" t="s">
        <v>367</v>
      </c>
      <c r="M9" s="772" t="s">
        <v>368</v>
      </c>
      <c r="N9" s="766" t="s">
        <v>369</v>
      </c>
      <c r="O9" s="766" t="s">
        <v>368</v>
      </c>
      <c r="P9" s="766" t="s">
        <v>370</v>
      </c>
      <c r="Q9" s="766" t="s">
        <v>368</v>
      </c>
      <c r="R9" s="2572"/>
      <c r="S9" s="1166"/>
      <c r="T9" s="2570"/>
      <c r="U9" s="2570"/>
      <c r="V9" s="2570"/>
      <c r="W9" s="1168"/>
      <c r="X9" s="2570"/>
      <c r="Y9" s="2570"/>
      <c r="Z9" s="2570"/>
      <c r="AA9" s="1168"/>
      <c r="AB9" s="2570"/>
      <c r="AC9" s="2570"/>
      <c r="AD9" s="1168"/>
      <c r="AE9" s="2564"/>
      <c r="AF9" s="2564"/>
      <c r="AG9" s="2564"/>
      <c r="AH9" s="2564"/>
      <c r="AT9" s="788">
        <v>44</v>
      </c>
    </row>
    <row customHeight="1" ht="12" hidden="1">
      <c r="C10" s="828"/>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c r="AB10" s="789"/>
      <c r="AC10" s="789"/>
      <c r="AD10" s="789"/>
      <c r="AE10" s="789"/>
      <c r="AF10" s="789"/>
      <c r="AG10" s="789"/>
      <c r="AH10" s="789"/>
      <c r="AI10" s="788"/>
      <c r="AP10" s="841"/>
      <c r="AQ10" s="841"/>
      <c r="AT10" s="788">
        <v>0</v>
      </c>
    </row>
    <row s="17832" customFormat="1" customHeight="1" ht="11.25" hidden="1">
      <c r="C11" s="839"/>
      <c r="D11" s="840" t="s">
        <v>371</v>
      </c>
      <c r="E11" s="840"/>
      <c r="F11" s="840"/>
      <c r="G11" s="840"/>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776"/>
      <c r="AF11" s="776"/>
      <c r="AG11" s="776"/>
      <c r="AH11" s="776"/>
      <c r="AJ11" s="830"/>
      <c r="AK11" s="830"/>
      <c r="AL11" s="830"/>
      <c r="AM11" s="830"/>
      <c r="AN11" s="830"/>
      <c r="AO11" s="830"/>
      <c r="AP11" s="830"/>
      <c r="AQ11" s="830"/>
      <c r="AR11" s="830"/>
      <c r="AS11" s="830"/>
      <c r="AT11" s="837">
        <v>0</v>
      </c>
    </row>
    <row customHeight="1" ht="14.699999999999998">
      <c r="A12" s="788"/>
      <c r="C12" s="791"/>
      <c r="D12" s="775" t="s">
        <v>106</v>
      </c>
      <c r="E12" s="2118" t="s">
        <v>22</v>
      </c>
      <c r="F12" s="1196"/>
      <c r="G12" s="1197"/>
      <c r="H12" s="2119"/>
      <c r="I12" s="2119"/>
      <c r="J12" s="774"/>
      <c r="K12" s="2204"/>
      <c r="L12" s="773"/>
      <c r="M12" s="2204"/>
      <c r="N12" s="774"/>
      <c r="O12" s="2204"/>
      <c r="P12" s="774"/>
      <c r="Q12" s="2204"/>
      <c r="R12" s="774"/>
      <c r="S12" s="1195"/>
      <c r="T12" s="2119"/>
      <c r="U12" s="774"/>
      <c r="V12" s="774"/>
      <c r="W12" s="1168"/>
      <c r="X12" s="2119"/>
      <c r="Y12" s="774"/>
      <c r="Z12" s="774"/>
      <c r="AA12" s="1168"/>
      <c r="AB12" s="2119"/>
      <c r="AC12" s="774"/>
      <c r="AD12" s="1168"/>
      <c r="AE12" s="2562" t="s">
        <v>372</v>
      </c>
      <c r="AF12" s="2562" t="s">
        <v>373</v>
      </c>
      <c r="AG12" s="2562" t="s">
        <v>374</v>
      </c>
      <c r="AH12" s="2562" t="s">
        <v>375</v>
      </c>
      <c r="AI12" s="788"/>
      <c r="AM12" s="852"/>
      <c r="AP12" s="841" t="s">
        <v>376</v>
      </c>
      <c r="AQ12" s="841" t="s">
        <v>376</v>
      </c>
      <c r="AT12" s="788">
        <v>14</v>
      </c>
    </row>
    <row customHeight="1" ht="18">
      <c r="A13" s="788"/>
      <c r="C13" s="791"/>
      <c r="D13" s="746"/>
      <c r="E13" s="1210" t="str">
        <f>IF(TITLE_DIFFERENTIATION_TYPE="нет","","Добавить систему")</f>
        <v/>
      </c>
      <c r="F13" s="1210" t="str">
        <f>IF(TITLE_DIFFERENTIATION_TYPE="нет","Добавить вид деятельности","")</f>
        <v>Добавить вид деятельности</v>
      </c>
      <c r="G13" s="654"/>
      <c r="H13" s="747"/>
      <c r="I13" s="747"/>
      <c r="J13" s="747"/>
      <c r="K13" s="747"/>
      <c r="L13" s="747"/>
      <c r="M13" s="747"/>
      <c r="N13" s="747"/>
      <c r="O13" s="747"/>
      <c r="P13" s="747"/>
      <c r="Q13" s="747"/>
      <c r="R13" s="747"/>
      <c r="S13" s="747"/>
      <c r="T13" s="747"/>
      <c r="U13" s="747"/>
      <c r="V13" s="747"/>
      <c r="W13" s="747"/>
      <c r="X13" s="747"/>
      <c r="Y13" s="747"/>
      <c r="Z13" s="747"/>
      <c r="AA13" s="747"/>
      <c r="AB13" s="747"/>
      <c r="AC13" s="747"/>
      <c r="AD13" s="1198"/>
      <c r="AE13" s="2563"/>
      <c r="AF13" s="2563"/>
      <c r="AG13" s="2563"/>
      <c r="AH13" s="2563"/>
      <c r="AI13" s="788"/>
      <c r="AT13" s="788">
        <v>17</v>
      </c>
    </row>
    <row customHeight="1" ht="14.699999999999998">
      <c r="AI14" s="788"/>
      <c r="AT14" s="788">
        <v>14</v>
      </c>
    </row>
    <row customHeight="1" ht="14.699999999999998">
      <c r="E15" s="1099"/>
      <c r="L15" s="1099"/>
      <c r="AT15" s="788">
        <v>14</v>
      </c>
    </row>
    <row customHeight="1" ht="14.699999999999998">
      <c r="L16" s="1099"/>
      <c r="AT16" s="788">
        <v>14</v>
      </c>
    </row>
    <row customHeight="1" ht="14.699999999999998">
      <c r="L17" s="1099"/>
      <c r="AT17" s="788">
        <v>14</v>
      </c>
    </row>
    <row customHeight="1" ht="22.5" hidden="1">
      <c r="A18" s="790" t="s">
        <v>82</v>
      </c>
      <c r="B18" s="788">
        <v>0</v>
      </c>
      <c r="C18" s="792">
        <v>3</v>
      </c>
      <c r="D18" s="788">
        <v>5</v>
      </c>
      <c r="E18" s="788">
        <v>48</v>
      </c>
      <c r="F18" s="788">
        <v>38</v>
      </c>
      <c r="G18" s="1099">
        <v>0</v>
      </c>
      <c r="H18" s="788">
        <v>0</v>
      </c>
      <c r="I18" s="788">
        <v>0</v>
      </c>
      <c r="J18" s="788">
        <v>0</v>
      </c>
      <c r="K18" s="788">
        <v>0</v>
      </c>
      <c r="L18" s="788">
        <v>0</v>
      </c>
      <c r="M18" s="788">
        <v>0</v>
      </c>
      <c r="N18" s="788">
        <v>0</v>
      </c>
      <c r="O18" s="788">
        <v>0</v>
      </c>
      <c r="P18" s="788">
        <v>0</v>
      </c>
      <c r="Q18" s="788">
        <v>0</v>
      </c>
      <c r="R18" s="788">
        <v>0</v>
      </c>
      <c r="S18" s="1099">
        <v>0</v>
      </c>
      <c r="T18" s="846">
        <v>0</v>
      </c>
      <c r="U18" s="846">
        <v>0</v>
      </c>
      <c r="V18" s="846">
        <v>0</v>
      </c>
      <c r="W18" s="1099">
        <v>0</v>
      </c>
      <c r="X18" s="846">
        <v>0</v>
      </c>
      <c r="Y18" s="846">
        <v>0</v>
      </c>
      <c r="Z18" s="846">
        <v>0</v>
      </c>
      <c r="AA18" s="1099">
        <v>0</v>
      </c>
      <c r="AB18" s="846">
        <v>0</v>
      </c>
      <c r="AC18" s="846">
        <v>0</v>
      </c>
      <c r="AD18" s="1099">
        <v>0</v>
      </c>
      <c r="AE18" s="788">
        <v>0</v>
      </c>
      <c r="AF18" s="846">
        <v>0</v>
      </c>
      <c r="AG18" s="846">
        <v>0</v>
      </c>
      <c r="AH18" s="846">
        <v>0</v>
      </c>
      <c r="AI18" s="793">
        <v>3</v>
      </c>
      <c r="AJ18" s="830">
        <v>10</v>
      </c>
      <c r="AK18" s="830">
        <v>10</v>
      </c>
      <c r="AL18" s="830">
        <v>10</v>
      </c>
      <c r="AM18" s="830">
        <v>0</v>
      </c>
      <c r="AN18" s="830">
        <v>15</v>
      </c>
      <c r="AO18" s="830">
        <v>16</v>
      </c>
      <c r="AP18" s="830">
        <v>10</v>
      </c>
      <c r="AQ18" s="830">
        <v>10</v>
      </c>
      <c r="AR18" s="830">
        <v>10</v>
      </c>
      <c r="AS18" s="830">
        <v>10</v>
      </c>
      <c r="AT18" s="788">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B990F9-817D-138F-68F2-ADF5C30FBAA8}"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9987" width="9.140625"/>
  </cols>
  <sheetData>
    <row customHeight="1" ht="11.25">
      <c r="A1" s="524" t="s">
        <v>127</v>
      </c>
      <c r="B1" s="524" t="s">
        <v>4230</v>
      </c>
    </row>
    <row customHeight="1" ht="11.25">
      <c r="A2" s="403" t="s">
        <v>98</v>
      </c>
      <c r="B2" s="403" t="s">
        <v>4231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91A983-B916-A4B8-28FF-599411274CA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9985" width="9.140625"/>
    <col min="2" max="2" style="19985" width="65.28125" customWidth="1"/>
  </cols>
  <sheetData>
    <row customHeight="1" ht="11.25">
      <c r="A1" s="1176" t="s">
        <v>4232</v>
      </c>
      <c r="B1" s="1176" t="s">
        <v>4233</v>
      </c>
    </row>
    <row customHeight="1" ht="11.25">
      <c r="A2" s="1176">
        <v>4213775</v>
      </c>
      <c r="B2" s="1176" t="s">
        <v>1399</v>
      </c>
    </row>
    <row customHeight="1" ht="11.25">
      <c r="A3" s="1176">
        <v>4213784</v>
      </c>
      <c r="B3" s="1176" t="s">
        <v>1433</v>
      </c>
    </row>
    <row customHeight="1" ht="11.25">
      <c r="A4" s="1176">
        <v>4213781</v>
      </c>
      <c r="B4" s="1176" t="s">
        <v>1426</v>
      </c>
    </row>
    <row customHeight="1" ht="11.25">
      <c r="A5" s="1176">
        <v>4213776</v>
      </c>
      <c r="B5" s="1176" t="s">
        <v>163</v>
      </c>
    </row>
    <row customHeight="1" ht="11.25">
      <c r="A6" s="1176">
        <v>4213777</v>
      </c>
      <c r="B6" s="1176" t="s">
        <v>169</v>
      </c>
    </row>
    <row customHeight="1" ht="11.25">
      <c r="A7" s="1176">
        <v>4213778</v>
      </c>
      <c r="B7" s="1176" t="s">
        <v>175</v>
      </c>
    </row>
    <row customHeight="1" ht="11.25">
      <c r="A8" s="1176">
        <v>4213780</v>
      </c>
      <c r="B8" s="1176" t="s">
        <v>181</v>
      </c>
    </row>
    <row customHeight="1" ht="11.25">
      <c r="A9" s="1176">
        <v>4213779</v>
      </c>
      <c r="B9" s="1176" t="s">
        <v>1565</v>
      </c>
    </row>
    <row customHeight="1" ht="11.25">
      <c r="A10" s="1176">
        <v>4213783</v>
      </c>
      <c r="B10" s="1176" t="s">
        <v>1579</v>
      </c>
    </row>
    <row customHeight="1" ht="11.25">
      <c r="A11" s="1176">
        <v>4213782</v>
      </c>
      <c r="B11" s="1176" t="s">
        <v>187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5B6B12-629E-FDFE-9D58-927B43707F27}"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9985" width="9.140625"/>
    <col min="2" max="2" style="19985" width="65.28125" customWidth="1"/>
  </cols>
  <sheetData>
    <row customHeight="1" ht="11.25">
      <c r="A1" s="1176" t="s">
        <v>4232</v>
      </c>
      <c r="B1" s="1176" t="s">
        <v>4234</v>
      </c>
    </row>
    <row customHeight="1" ht="11.25">
      <c r="A2" s="1176" t="s">
        <v>4235</v>
      </c>
      <c r="B2" s="1176" t="s">
        <v>1667</v>
      </c>
    </row>
    <row customHeight="1" ht="11.25">
      <c r="A3" s="1176" t="s">
        <v>4236</v>
      </c>
      <c r="B3" s="1176" t="s">
        <v>1676</v>
      </c>
    </row>
    <row customHeight="1" ht="11.25">
      <c r="A4" s="1176" t="s">
        <v>4237</v>
      </c>
      <c r="B4" s="1176" t="s">
        <v>1684</v>
      </c>
    </row>
    <row customHeight="1" ht="11.25">
      <c r="A5" s="1176" t="s">
        <v>4238</v>
      </c>
      <c r="B5" s="1176" t="s">
        <v>1693</v>
      </c>
    </row>
    <row customHeight="1" ht="11.25">
      <c r="A6" s="1176" t="s">
        <v>4239</v>
      </c>
      <c r="B6" s="1176" t="s">
        <v>1698</v>
      </c>
    </row>
    <row customHeight="1" ht="11.25">
      <c r="A7" s="1176" t="s">
        <v>4240</v>
      </c>
      <c r="B7" s="1176" t="s">
        <v>1705</v>
      </c>
    </row>
    <row customHeight="1" ht="11.25">
      <c r="A8" s="1176" t="s">
        <v>4241</v>
      </c>
      <c r="B8" s="1176" t="s">
        <v>1711</v>
      </c>
    </row>
    <row customHeight="1" ht="11.25">
      <c r="A9" s="1176" t="s">
        <v>4242</v>
      </c>
      <c r="B9" s="1176" t="s">
        <v>1716</v>
      </c>
    </row>
    <row customHeight="1" ht="11.25">
      <c r="A10" s="1176" t="s">
        <v>4243</v>
      </c>
      <c r="B10" s="1176" t="s">
        <v>1719</v>
      </c>
    </row>
    <row customHeight="1" ht="11.25">
      <c r="A11" s="1176" t="s">
        <v>4244</v>
      </c>
      <c r="B11" s="1176" t="s">
        <v>1725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805BC8-DA67-9532-9A01-965924F09A94}"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714" t="s">
        <v>3214</v>
      </c>
      <c r="B1" s="714" t="s">
        <v>3209</v>
      </c>
      <c r="C1" s="714" t="s">
        <v>3211</v>
      </c>
      <c r="D1" s="714" t="s">
        <v>3212</v>
      </c>
    </row>
    <row customHeight="1" ht="11.25">
      <c r="A2" s="0">
        <v>1</v>
      </c>
      <c r="B2" s="0" t="s">
        <v>4245</v>
      </c>
      <c r="C2" s="0" t="s">
        <v>4245</v>
      </c>
      <c r="D2" s="0" t="s">
        <v>4246</v>
      </c>
    </row>
    <row customHeight="1" ht="11.25">
      <c r="A3" s="0">
        <v>2</v>
      </c>
      <c r="B3" s="0" t="s">
        <v>4245</v>
      </c>
      <c r="C3" s="0" t="s">
        <v>4247</v>
      </c>
      <c r="D3" s="0" t="s">
        <v>4248</v>
      </c>
    </row>
    <row customHeight="1" ht="11.25">
      <c r="A4" s="0">
        <v>3</v>
      </c>
      <c r="B4" s="0" t="s">
        <v>4245</v>
      </c>
      <c r="C4" s="0" t="s">
        <v>4249</v>
      </c>
      <c r="D4" s="0" t="s">
        <v>4250</v>
      </c>
    </row>
    <row customHeight="1" ht="11.25">
      <c r="A5" s="0">
        <v>4</v>
      </c>
      <c r="B5" s="0" t="s">
        <v>4245</v>
      </c>
      <c r="C5" s="0" t="s">
        <v>4251</v>
      </c>
      <c r="D5" s="0" t="s">
        <v>4252</v>
      </c>
    </row>
    <row customHeight="1" ht="11.25">
      <c r="A6" s="0">
        <v>5</v>
      </c>
      <c r="B6" s="0" t="s">
        <v>4245</v>
      </c>
      <c r="C6" s="0" t="s">
        <v>4253</v>
      </c>
      <c r="D6" s="0" t="s">
        <v>4254</v>
      </c>
    </row>
    <row customHeight="1" ht="11.25">
      <c r="A7" s="0">
        <v>6</v>
      </c>
      <c r="B7" s="0" t="s">
        <v>4245</v>
      </c>
      <c r="C7" s="0" t="s">
        <v>4255</v>
      </c>
      <c r="D7" s="0" t="s">
        <v>4256</v>
      </c>
    </row>
    <row customHeight="1" ht="11.25">
      <c r="A8" s="0">
        <v>7</v>
      </c>
      <c r="B8" s="0" t="s">
        <v>4245</v>
      </c>
      <c r="C8" s="0" t="s">
        <v>4257</v>
      </c>
      <c r="D8" s="0" t="s">
        <v>4258</v>
      </c>
    </row>
    <row customHeight="1" ht="11.25">
      <c r="A9" s="0">
        <v>8</v>
      </c>
      <c r="B9" s="0" t="s">
        <v>4245</v>
      </c>
      <c r="C9" s="0" t="s">
        <v>4259</v>
      </c>
      <c r="D9" s="0" t="s">
        <v>4260</v>
      </c>
    </row>
    <row customHeight="1" ht="11.25">
      <c r="A10" s="0">
        <v>9</v>
      </c>
      <c r="B10" s="0" t="s">
        <v>4245</v>
      </c>
      <c r="C10" s="0" t="s">
        <v>4261</v>
      </c>
      <c r="D10" s="0" t="s">
        <v>4262</v>
      </c>
    </row>
    <row customHeight="1" ht="11.25">
      <c r="A11" s="0">
        <v>10</v>
      </c>
      <c r="B11" s="0" t="s">
        <v>4245</v>
      </c>
      <c r="C11" s="0" t="s">
        <v>4263</v>
      </c>
      <c r="D11" s="0" t="s">
        <v>4264</v>
      </c>
    </row>
    <row customHeight="1" ht="11.25">
      <c r="A12" s="0">
        <v>11</v>
      </c>
      <c r="B12" s="0" t="s">
        <v>4245</v>
      </c>
      <c r="C12" s="0" t="s">
        <v>4265</v>
      </c>
      <c r="D12" s="0" t="s">
        <v>4266</v>
      </c>
    </row>
    <row customHeight="1" ht="11.25">
      <c r="A13" s="0">
        <v>13</v>
      </c>
      <c r="B13" s="0" t="s">
        <v>4245</v>
      </c>
      <c r="C13" s="0" t="s">
        <v>4267</v>
      </c>
      <c r="D13" s="0" t="s">
        <v>4268</v>
      </c>
    </row>
    <row customHeight="1" ht="11.25">
      <c r="A14" s="0">
        <v>14</v>
      </c>
      <c r="B14" s="0" t="s">
        <v>4245</v>
      </c>
      <c r="C14" s="0" t="s">
        <v>4269</v>
      </c>
      <c r="D14" s="0" t="s">
        <v>4270</v>
      </c>
    </row>
    <row customHeight="1" ht="11.25">
      <c r="A15" s="0">
        <v>15</v>
      </c>
      <c r="B15" s="0" t="s">
        <v>4245</v>
      </c>
      <c r="C15" s="0" t="s">
        <v>4271</v>
      </c>
      <c r="D15" s="0" t="s">
        <v>4272</v>
      </c>
    </row>
    <row customHeight="1" ht="11.25">
      <c r="A16" s="0">
        <v>16</v>
      </c>
      <c r="B16" s="0" t="s">
        <v>4245</v>
      </c>
      <c r="C16" s="0" t="s">
        <v>4273</v>
      </c>
      <c r="D16" s="0" t="s">
        <v>4274</v>
      </c>
    </row>
    <row customHeight="1" ht="11.25">
      <c r="A17" s="0">
        <v>17</v>
      </c>
      <c r="B17" s="0" t="s">
        <v>4245</v>
      </c>
      <c r="C17" s="0" t="s">
        <v>4275</v>
      </c>
      <c r="D17" s="0" t="s">
        <v>4276</v>
      </c>
    </row>
    <row customHeight="1" ht="11.25">
      <c r="A18" s="0">
        <v>18</v>
      </c>
      <c r="B18" s="0" t="s">
        <v>4245</v>
      </c>
      <c r="C18" s="0" t="s">
        <v>4277</v>
      </c>
      <c r="D18" s="0" t="s">
        <v>4278</v>
      </c>
    </row>
    <row customHeight="1" ht="11.25">
      <c r="A19" s="0">
        <v>19</v>
      </c>
      <c r="B19" s="0" t="s">
        <v>4245</v>
      </c>
      <c r="C19" s="0" t="s">
        <v>4279</v>
      </c>
      <c r="D19" s="0" t="s">
        <v>4280</v>
      </c>
    </row>
    <row customHeight="1" ht="11.25">
      <c r="A20" s="0">
        <v>20</v>
      </c>
      <c r="B20" s="0" t="s">
        <v>4245</v>
      </c>
      <c r="C20" s="0" t="s">
        <v>4281</v>
      </c>
      <c r="D20" s="0" t="s">
        <v>4282</v>
      </c>
    </row>
    <row customHeight="1" ht="11.25">
      <c r="A21" s="0">
        <v>21</v>
      </c>
      <c r="B21" s="0" t="s">
        <v>4283</v>
      </c>
      <c r="C21" s="0" t="s">
        <v>4284</v>
      </c>
      <c r="D21" s="0" t="s">
        <v>4285</v>
      </c>
    </row>
    <row customHeight="1" ht="11.25">
      <c r="A22" s="0">
        <v>22</v>
      </c>
      <c r="B22" s="0" t="s">
        <v>4283</v>
      </c>
      <c r="C22" s="0" t="s">
        <v>4283</v>
      </c>
      <c r="D22" s="0" t="s">
        <v>4286</v>
      </c>
    </row>
    <row customHeight="1" ht="11.25">
      <c r="A23" s="0">
        <v>23</v>
      </c>
      <c r="B23" s="0" t="s">
        <v>4283</v>
      </c>
      <c r="C23" s="0" t="s">
        <v>4287</v>
      </c>
      <c r="D23" s="0" t="s">
        <v>4288</v>
      </c>
    </row>
    <row customHeight="1" ht="11.25">
      <c r="A24" s="0">
        <v>24</v>
      </c>
      <c r="B24" s="0" t="s">
        <v>4283</v>
      </c>
      <c r="C24" s="0" t="s">
        <v>4289</v>
      </c>
      <c r="D24" s="0" t="s">
        <v>4290</v>
      </c>
    </row>
    <row customHeight="1" ht="11.25">
      <c r="A25" s="0">
        <v>25</v>
      </c>
      <c r="B25" s="0" t="s">
        <v>4283</v>
      </c>
      <c r="C25" s="0" t="s">
        <v>4291</v>
      </c>
      <c r="D25" s="0" t="s">
        <v>4292</v>
      </c>
    </row>
    <row customHeight="1" ht="11.25">
      <c r="A26" s="0">
        <v>26</v>
      </c>
      <c r="B26" s="0" t="s">
        <v>4283</v>
      </c>
      <c r="C26" s="0" t="s">
        <v>4293</v>
      </c>
      <c r="D26" s="0" t="s">
        <v>4294</v>
      </c>
    </row>
    <row customHeight="1" ht="11.25">
      <c r="A27" s="0">
        <v>27</v>
      </c>
      <c r="B27" s="0" t="s">
        <v>4283</v>
      </c>
      <c r="C27" s="0" t="s">
        <v>4295</v>
      </c>
      <c r="D27" s="0" t="s">
        <v>4296</v>
      </c>
    </row>
    <row customHeight="1" ht="11.25">
      <c r="A28" s="0">
        <v>28</v>
      </c>
      <c r="B28" s="0" t="s">
        <v>4283</v>
      </c>
      <c r="C28" s="0" t="s">
        <v>4297</v>
      </c>
      <c r="D28" s="0" t="s">
        <v>4298</v>
      </c>
    </row>
    <row customHeight="1" ht="11.25">
      <c r="A29" s="0">
        <v>29</v>
      </c>
      <c r="B29" s="0" t="s">
        <v>4283</v>
      </c>
      <c r="C29" s="0" t="s">
        <v>4299</v>
      </c>
      <c r="D29" s="0" t="s">
        <v>4300</v>
      </c>
    </row>
    <row customHeight="1" ht="11.25">
      <c r="A30" s="0">
        <v>30</v>
      </c>
      <c r="B30" s="0" t="s">
        <v>4283</v>
      </c>
      <c r="C30" s="0" t="s">
        <v>4301</v>
      </c>
      <c r="D30" s="0" t="s">
        <v>4302</v>
      </c>
    </row>
    <row customHeight="1" ht="11.25">
      <c r="A31" s="0">
        <v>31</v>
      </c>
      <c r="B31" s="0" t="s">
        <v>4283</v>
      </c>
      <c r="C31" s="0" t="s">
        <v>4303</v>
      </c>
      <c r="D31" s="0" t="s">
        <v>4304</v>
      </c>
    </row>
    <row customHeight="1" ht="11.25">
      <c r="A32" s="0">
        <v>32</v>
      </c>
      <c r="B32" s="0" t="s">
        <v>4305</v>
      </c>
      <c r="C32" s="0" t="s">
        <v>4305</v>
      </c>
      <c r="D32" s="0" t="s">
        <v>4306</v>
      </c>
    </row>
    <row customHeight="1" ht="11.25">
      <c r="A33" s="0">
        <v>33</v>
      </c>
      <c r="B33" s="0" t="s">
        <v>4305</v>
      </c>
      <c r="C33" s="0" t="s">
        <v>4307</v>
      </c>
      <c r="D33" s="0" t="s">
        <v>4308</v>
      </c>
    </row>
    <row customHeight="1" ht="11.25">
      <c r="A34" s="0">
        <v>34</v>
      </c>
      <c r="B34" s="0" t="s">
        <v>4305</v>
      </c>
      <c r="C34" s="0" t="s">
        <v>4309</v>
      </c>
      <c r="D34" s="0" t="s">
        <v>4310</v>
      </c>
    </row>
    <row customHeight="1" ht="11.25">
      <c r="A35" s="0">
        <v>35</v>
      </c>
      <c r="B35" s="0" t="s">
        <v>4305</v>
      </c>
      <c r="C35" s="0" t="s">
        <v>4311</v>
      </c>
      <c r="D35" s="0" t="s">
        <v>4312</v>
      </c>
    </row>
    <row customHeight="1" ht="11.25">
      <c r="A36" s="0">
        <v>36</v>
      </c>
      <c r="B36" s="0" t="s">
        <v>4305</v>
      </c>
      <c r="C36" s="0" t="s">
        <v>4313</v>
      </c>
      <c r="D36" s="0" t="s">
        <v>4314</v>
      </c>
    </row>
    <row customHeight="1" ht="11.25">
      <c r="A37" s="0">
        <v>37</v>
      </c>
      <c r="B37" s="0" t="s">
        <v>4305</v>
      </c>
      <c r="C37" s="0" t="s">
        <v>4315</v>
      </c>
      <c r="D37" s="0" t="s">
        <v>4316</v>
      </c>
    </row>
    <row customHeight="1" ht="11.25">
      <c r="A38" s="0">
        <v>38</v>
      </c>
      <c r="B38" s="0" t="s">
        <v>4305</v>
      </c>
      <c r="C38" s="0" t="s">
        <v>4271</v>
      </c>
      <c r="D38" s="0" t="s">
        <v>4317</v>
      </c>
    </row>
    <row customHeight="1" ht="11.25">
      <c r="A39" s="0">
        <v>39</v>
      </c>
      <c r="B39" s="0" t="s">
        <v>4305</v>
      </c>
      <c r="C39" s="0" t="s">
        <v>4318</v>
      </c>
      <c r="D39" s="0" t="s">
        <v>4319</v>
      </c>
    </row>
    <row customHeight="1" ht="11.25">
      <c r="A40" s="0">
        <v>40</v>
      </c>
      <c r="B40" s="0" t="s">
        <v>4305</v>
      </c>
      <c r="C40" s="0" t="s">
        <v>4320</v>
      </c>
      <c r="D40" s="0" t="s">
        <v>4321</v>
      </c>
    </row>
    <row customHeight="1" ht="11.25">
      <c r="A41" s="0">
        <v>41</v>
      </c>
      <c r="B41" s="0" t="s">
        <v>4322</v>
      </c>
      <c r="C41" s="0" t="s">
        <v>4322</v>
      </c>
      <c r="D41" s="0" t="s">
        <v>4323</v>
      </c>
    </row>
    <row customHeight="1" ht="11.25">
      <c r="A42" s="0">
        <v>42</v>
      </c>
      <c r="B42" s="0" t="s">
        <v>4322</v>
      </c>
      <c r="C42" s="0" t="s">
        <v>4324</v>
      </c>
      <c r="D42" s="0" t="s">
        <v>4325</v>
      </c>
    </row>
    <row customHeight="1" ht="11.25">
      <c r="A43" s="0">
        <v>43</v>
      </c>
      <c r="B43" s="0" t="s">
        <v>4322</v>
      </c>
      <c r="C43" s="0" t="s">
        <v>4326</v>
      </c>
      <c r="D43" s="0" t="s">
        <v>4327</v>
      </c>
    </row>
    <row customHeight="1" ht="11.25">
      <c r="A44" s="0">
        <v>44</v>
      </c>
      <c r="B44" s="0" t="s">
        <v>4322</v>
      </c>
      <c r="C44" s="0" t="s">
        <v>4328</v>
      </c>
      <c r="D44" s="0" t="s">
        <v>4329</v>
      </c>
    </row>
    <row customHeight="1" ht="11.25">
      <c r="A45" s="0">
        <v>45</v>
      </c>
      <c r="B45" s="0" t="s">
        <v>4322</v>
      </c>
      <c r="C45" s="0" t="s">
        <v>4330</v>
      </c>
      <c r="D45" s="0" t="s">
        <v>4331</v>
      </c>
    </row>
    <row customHeight="1" ht="11.25">
      <c r="A46" s="0">
        <v>46</v>
      </c>
      <c r="B46" s="0" t="s">
        <v>4322</v>
      </c>
      <c r="C46" s="0" t="s">
        <v>4332</v>
      </c>
      <c r="D46" s="0" t="s">
        <v>4333</v>
      </c>
    </row>
    <row customHeight="1" ht="11.25">
      <c r="A47" s="0">
        <v>47</v>
      </c>
      <c r="B47" s="0" t="s">
        <v>4322</v>
      </c>
      <c r="C47" s="0" t="s">
        <v>4334</v>
      </c>
      <c r="D47" s="0" t="s">
        <v>4335</v>
      </c>
    </row>
    <row customHeight="1" ht="11.25">
      <c r="A48" s="0">
        <v>48</v>
      </c>
      <c r="B48" s="0" t="s">
        <v>4322</v>
      </c>
      <c r="C48" s="0" t="s">
        <v>4336</v>
      </c>
      <c r="D48" s="0" t="s">
        <v>4337</v>
      </c>
    </row>
    <row customHeight="1" ht="11.25">
      <c r="A49" s="0">
        <v>49</v>
      </c>
      <c r="B49" s="0" t="s">
        <v>4322</v>
      </c>
      <c r="C49" s="0" t="s">
        <v>4338</v>
      </c>
      <c r="D49" s="0" t="s">
        <v>4339</v>
      </c>
    </row>
    <row customHeight="1" ht="11.25">
      <c r="A50" s="0">
        <v>50</v>
      </c>
      <c r="B50" s="0" t="s">
        <v>4322</v>
      </c>
      <c r="C50" s="0" t="s">
        <v>4340</v>
      </c>
      <c r="D50" s="0" t="s">
        <v>4341</v>
      </c>
    </row>
    <row customHeight="1" ht="11.25">
      <c r="A51" s="0">
        <v>51</v>
      </c>
      <c r="B51" s="0" t="s">
        <v>4322</v>
      </c>
      <c r="C51" s="0" t="s">
        <v>4342</v>
      </c>
      <c r="D51" s="0" t="s">
        <v>4343</v>
      </c>
    </row>
    <row customHeight="1" ht="11.25">
      <c r="A52" s="0">
        <v>52</v>
      </c>
      <c r="B52" s="0" t="s">
        <v>4322</v>
      </c>
      <c r="C52" s="0" t="s">
        <v>4344</v>
      </c>
      <c r="D52" s="0" t="s">
        <v>4345</v>
      </c>
    </row>
    <row customHeight="1" ht="11.25">
      <c r="A53" s="0">
        <v>53</v>
      </c>
      <c r="B53" s="0" t="s">
        <v>4322</v>
      </c>
      <c r="C53" s="0" t="s">
        <v>4346</v>
      </c>
      <c r="D53" s="0" t="s">
        <v>4347</v>
      </c>
    </row>
    <row customHeight="1" ht="11.25">
      <c r="A54" s="0">
        <v>54</v>
      </c>
      <c r="B54" s="0" t="s">
        <v>4322</v>
      </c>
      <c r="C54" s="0" t="s">
        <v>4348</v>
      </c>
      <c r="D54" s="0" t="s">
        <v>4349</v>
      </c>
    </row>
    <row customHeight="1" ht="11.25">
      <c r="A55" s="0">
        <v>55</v>
      </c>
      <c r="B55" s="0" t="s">
        <v>4322</v>
      </c>
      <c r="C55" s="0" t="s">
        <v>4350</v>
      </c>
      <c r="D55" s="0" t="s">
        <v>4351</v>
      </c>
    </row>
    <row customHeight="1" ht="11.25">
      <c r="A56" s="0">
        <v>56</v>
      </c>
      <c r="B56" s="0" t="s">
        <v>4322</v>
      </c>
      <c r="C56" s="0" t="s">
        <v>4352</v>
      </c>
      <c r="D56" s="0" t="s">
        <v>4353</v>
      </c>
    </row>
    <row customHeight="1" ht="11.25">
      <c r="A57" s="0">
        <v>57</v>
      </c>
      <c r="B57" s="0" t="s">
        <v>4354</v>
      </c>
      <c r="C57" s="0" t="s">
        <v>4355</v>
      </c>
      <c r="D57" s="0" t="s">
        <v>4356</v>
      </c>
    </row>
    <row customHeight="1" ht="11.25">
      <c r="A58" s="0">
        <v>58</v>
      </c>
      <c r="B58" s="0" t="s">
        <v>4354</v>
      </c>
      <c r="C58" s="0" t="s">
        <v>4354</v>
      </c>
      <c r="D58" s="0" t="s">
        <v>4357</v>
      </c>
    </row>
    <row customHeight="1" ht="11.25">
      <c r="A59" s="0">
        <v>59</v>
      </c>
      <c r="B59" s="0" t="s">
        <v>4354</v>
      </c>
      <c r="C59" s="0" t="s">
        <v>4358</v>
      </c>
      <c r="D59" s="0" t="s">
        <v>4359</v>
      </c>
    </row>
    <row customHeight="1" ht="11.25">
      <c r="A60" s="0">
        <v>60</v>
      </c>
      <c r="B60" s="0" t="s">
        <v>4354</v>
      </c>
      <c r="C60" s="0" t="s">
        <v>4360</v>
      </c>
      <c r="D60" s="0" t="s">
        <v>4361</v>
      </c>
    </row>
    <row customHeight="1" ht="11.25">
      <c r="A61" s="0">
        <v>61</v>
      </c>
      <c r="B61" s="0" t="s">
        <v>4354</v>
      </c>
      <c r="C61" s="0" t="s">
        <v>4362</v>
      </c>
      <c r="D61" s="0" t="s">
        <v>4363</v>
      </c>
    </row>
    <row customHeight="1" ht="11.25">
      <c r="A62" s="0">
        <v>62</v>
      </c>
      <c r="B62" s="0" t="s">
        <v>4354</v>
      </c>
      <c r="C62" s="0" t="s">
        <v>4364</v>
      </c>
      <c r="D62" s="0" t="s">
        <v>4365</v>
      </c>
    </row>
    <row customHeight="1" ht="11.25">
      <c r="A63" s="0">
        <v>63</v>
      </c>
      <c r="B63" s="0" t="s">
        <v>4354</v>
      </c>
      <c r="C63" s="0" t="s">
        <v>4366</v>
      </c>
      <c r="D63" s="0" t="s">
        <v>4367</v>
      </c>
    </row>
    <row customHeight="1" ht="11.25">
      <c r="A64" s="0">
        <v>64</v>
      </c>
      <c r="B64" s="0" t="s">
        <v>4354</v>
      </c>
      <c r="C64" s="0" t="s">
        <v>4368</v>
      </c>
      <c r="D64" s="0" t="s">
        <v>4369</v>
      </c>
    </row>
    <row customHeight="1" ht="11.25">
      <c r="A65" s="0">
        <v>65</v>
      </c>
      <c r="B65" s="0" t="s">
        <v>4354</v>
      </c>
      <c r="C65" s="0" t="s">
        <v>4370</v>
      </c>
      <c r="D65" s="0" t="s">
        <v>4371</v>
      </c>
    </row>
    <row customHeight="1" ht="11.25">
      <c r="A66" s="0">
        <v>66</v>
      </c>
      <c r="B66" s="0" t="s">
        <v>4354</v>
      </c>
      <c r="C66" s="0" t="s">
        <v>4372</v>
      </c>
      <c r="D66" s="0" t="s">
        <v>4373</v>
      </c>
    </row>
    <row customHeight="1" ht="11.25">
      <c r="A67" s="0">
        <v>67</v>
      </c>
      <c r="B67" s="0" t="s">
        <v>4354</v>
      </c>
      <c r="C67" s="0" t="s">
        <v>4374</v>
      </c>
      <c r="D67" s="0" t="s">
        <v>4375</v>
      </c>
    </row>
    <row customHeight="1" ht="11.25">
      <c r="A68" s="0">
        <v>68</v>
      </c>
      <c r="B68" s="0" t="s">
        <v>4354</v>
      </c>
      <c r="C68" s="0" t="s">
        <v>4376</v>
      </c>
      <c r="D68" s="0" t="s">
        <v>4377</v>
      </c>
    </row>
    <row customHeight="1" ht="11.25">
      <c r="A69" s="0">
        <v>69</v>
      </c>
      <c r="B69" s="0" t="s">
        <v>4354</v>
      </c>
      <c r="C69" s="0" t="s">
        <v>4378</v>
      </c>
      <c r="D69" s="0" t="s">
        <v>4379</v>
      </c>
    </row>
    <row customHeight="1" ht="11.25">
      <c r="A70" s="0">
        <v>70</v>
      </c>
      <c r="B70" s="0" t="s">
        <v>4380</v>
      </c>
      <c r="C70" s="0" t="s">
        <v>4380</v>
      </c>
      <c r="D70" s="0" t="s">
        <v>4381</v>
      </c>
    </row>
    <row customHeight="1" ht="11.25">
      <c r="A71" s="0">
        <v>71</v>
      </c>
      <c r="B71" s="0" t="s">
        <v>4380</v>
      </c>
      <c r="C71" s="0" t="s">
        <v>4382</v>
      </c>
      <c r="D71" s="0" t="s">
        <v>4383</v>
      </c>
    </row>
    <row customHeight="1" ht="11.25">
      <c r="A72" s="0">
        <v>72</v>
      </c>
      <c r="B72" s="0" t="s">
        <v>4380</v>
      </c>
      <c r="C72" s="0" t="s">
        <v>4384</v>
      </c>
      <c r="D72" s="0" t="s">
        <v>4385</v>
      </c>
    </row>
    <row customHeight="1" ht="11.25">
      <c r="A73" s="0">
        <v>73</v>
      </c>
      <c r="B73" s="0" t="s">
        <v>4380</v>
      </c>
      <c r="C73" s="0" t="s">
        <v>4386</v>
      </c>
      <c r="D73" s="0" t="s">
        <v>4387</v>
      </c>
    </row>
    <row customHeight="1" ht="11.25">
      <c r="A74" s="0">
        <v>74</v>
      </c>
      <c r="B74" s="0" t="s">
        <v>4380</v>
      </c>
      <c r="C74" s="0" t="s">
        <v>4388</v>
      </c>
      <c r="D74" s="0" t="s">
        <v>4389</v>
      </c>
    </row>
    <row customHeight="1" ht="11.25">
      <c r="A75" s="0">
        <v>75</v>
      </c>
      <c r="B75" s="0" t="s">
        <v>4380</v>
      </c>
      <c r="C75" s="0" t="s">
        <v>4390</v>
      </c>
      <c r="D75" s="0" t="s">
        <v>4391</v>
      </c>
    </row>
    <row customHeight="1" ht="11.25">
      <c r="A76" s="0">
        <v>76</v>
      </c>
      <c r="B76" s="0" t="s">
        <v>4380</v>
      </c>
      <c r="C76" s="0" t="s">
        <v>4392</v>
      </c>
      <c r="D76" s="0" t="s">
        <v>4393</v>
      </c>
    </row>
    <row customHeight="1" ht="11.25">
      <c r="A77" s="0">
        <v>77</v>
      </c>
      <c r="B77" s="0" t="s">
        <v>4380</v>
      </c>
      <c r="C77" s="0" t="s">
        <v>4394</v>
      </c>
      <c r="D77" s="0" t="s">
        <v>4395</v>
      </c>
    </row>
    <row customHeight="1" ht="11.25">
      <c r="A78" s="0">
        <v>78</v>
      </c>
      <c r="B78" s="0" t="s">
        <v>4380</v>
      </c>
      <c r="C78" s="0" t="s">
        <v>4396</v>
      </c>
      <c r="D78" s="0" t="s">
        <v>4397</v>
      </c>
    </row>
    <row customHeight="1" ht="11.25">
      <c r="A79" s="0">
        <v>79</v>
      </c>
      <c r="B79" s="0" t="s">
        <v>4380</v>
      </c>
      <c r="C79" s="0" t="s">
        <v>4398</v>
      </c>
      <c r="D79" s="0" t="s">
        <v>4399</v>
      </c>
    </row>
    <row customHeight="1" ht="11.25">
      <c r="A80" s="0">
        <v>80</v>
      </c>
      <c r="B80" s="0" t="s">
        <v>4400</v>
      </c>
      <c r="C80" s="0" t="s">
        <v>4401</v>
      </c>
      <c r="D80" s="0" t="s">
        <v>4402</v>
      </c>
    </row>
    <row customHeight="1" ht="11.25">
      <c r="A81" s="0">
        <v>81</v>
      </c>
      <c r="B81" s="0" t="s">
        <v>4400</v>
      </c>
      <c r="C81" s="0" t="s">
        <v>4400</v>
      </c>
      <c r="D81" s="0" t="s">
        <v>4403</v>
      </c>
    </row>
    <row customHeight="1" ht="11.25">
      <c r="A82" s="0">
        <v>82</v>
      </c>
      <c r="B82" s="0" t="s">
        <v>4400</v>
      </c>
      <c r="C82" s="0" t="s">
        <v>4404</v>
      </c>
      <c r="D82" s="0" t="s">
        <v>4405</v>
      </c>
    </row>
    <row customHeight="1" ht="11.25">
      <c r="A83" s="0">
        <v>83</v>
      </c>
      <c r="B83" s="0" t="s">
        <v>4400</v>
      </c>
      <c r="C83" s="0" t="s">
        <v>4406</v>
      </c>
      <c r="D83" s="0" t="s">
        <v>4407</v>
      </c>
    </row>
    <row customHeight="1" ht="11.25">
      <c r="A84" s="0">
        <v>84</v>
      </c>
      <c r="B84" s="0" t="s">
        <v>4400</v>
      </c>
      <c r="C84" s="0" t="s">
        <v>4408</v>
      </c>
      <c r="D84" s="0" t="s">
        <v>4409</v>
      </c>
    </row>
    <row customHeight="1" ht="11.25">
      <c r="A85" s="0">
        <v>85</v>
      </c>
      <c r="B85" s="0" t="s">
        <v>4400</v>
      </c>
      <c r="C85" s="0" t="s">
        <v>4410</v>
      </c>
      <c r="D85" s="0" t="s">
        <v>4411</v>
      </c>
    </row>
    <row customHeight="1" ht="11.25">
      <c r="A86" s="0">
        <v>86</v>
      </c>
      <c r="B86" s="0" t="s">
        <v>4400</v>
      </c>
      <c r="C86" s="0" t="s">
        <v>4412</v>
      </c>
      <c r="D86" s="0" t="s">
        <v>4413</v>
      </c>
    </row>
    <row customHeight="1" ht="11.25">
      <c r="A87" s="0">
        <v>87</v>
      </c>
      <c r="B87" s="0" t="s">
        <v>4400</v>
      </c>
      <c r="C87" s="0" t="s">
        <v>4414</v>
      </c>
      <c r="D87" s="0" t="s">
        <v>4415</v>
      </c>
    </row>
    <row customHeight="1" ht="11.25">
      <c r="A88" s="0">
        <v>88</v>
      </c>
      <c r="B88" s="0" t="s">
        <v>4400</v>
      </c>
      <c r="C88" s="0" t="s">
        <v>4416</v>
      </c>
      <c r="D88" s="0" t="s">
        <v>4417</v>
      </c>
    </row>
    <row customHeight="1" ht="11.25">
      <c r="A89" s="0">
        <v>89</v>
      </c>
      <c r="B89" s="0" t="s">
        <v>4418</v>
      </c>
      <c r="C89" s="0" t="s">
        <v>4419</v>
      </c>
      <c r="D89" s="0" t="s">
        <v>4420</v>
      </c>
    </row>
    <row customHeight="1" ht="11.25">
      <c r="A90" s="0">
        <v>90</v>
      </c>
      <c r="B90" s="0" t="s">
        <v>4418</v>
      </c>
      <c r="C90" s="0" t="s">
        <v>4421</v>
      </c>
      <c r="D90" s="0" t="s">
        <v>4422</v>
      </c>
    </row>
    <row customHeight="1" ht="11.25">
      <c r="A91" s="0">
        <v>91</v>
      </c>
      <c r="B91" s="0" t="s">
        <v>4418</v>
      </c>
      <c r="C91" s="0" t="s">
        <v>4418</v>
      </c>
      <c r="D91" s="0" t="s">
        <v>4423</v>
      </c>
    </row>
    <row customHeight="1" ht="11.25">
      <c r="A92" s="0">
        <v>92</v>
      </c>
      <c r="B92" s="0" t="s">
        <v>4418</v>
      </c>
      <c r="C92" s="0" t="s">
        <v>4424</v>
      </c>
      <c r="D92" s="0" t="s">
        <v>4425</v>
      </c>
    </row>
    <row customHeight="1" ht="11.25">
      <c r="A93" s="0">
        <v>93</v>
      </c>
      <c r="B93" s="0" t="s">
        <v>4418</v>
      </c>
      <c r="C93" s="0" t="s">
        <v>4426</v>
      </c>
      <c r="D93" s="0" t="s">
        <v>4427</v>
      </c>
    </row>
    <row customHeight="1" ht="11.25">
      <c r="A94" s="0">
        <v>94</v>
      </c>
      <c r="B94" s="0" t="s">
        <v>4418</v>
      </c>
      <c r="C94" s="0" t="s">
        <v>4428</v>
      </c>
      <c r="D94" s="0" t="s">
        <v>4429</v>
      </c>
    </row>
    <row customHeight="1" ht="11.25">
      <c r="A95" s="0">
        <v>95</v>
      </c>
      <c r="B95" s="0" t="s">
        <v>4418</v>
      </c>
      <c r="C95" s="0" t="s">
        <v>4430</v>
      </c>
      <c r="D95" s="0" t="s">
        <v>4431</v>
      </c>
    </row>
    <row customHeight="1" ht="11.25">
      <c r="A96" s="0">
        <v>96</v>
      </c>
      <c r="B96" s="0" t="s">
        <v>4418</v>
      </c>
      <c r="C96" s="0" t="s">
        <v>4432</v>
      </c>
      <c r="D96" s="0" t="s">
        <v>4433</v>
      </c>
    </row>
    <row customHeight="1" ht="11.25">
      <c r="A97" s="0">
        <v>97</v>
      </c>
      <c r="B97" s="0" t="s">
        <v>4418</v>
      </c>
      <c r="C97" s="0" t="s">
        <v>4434</v>
      </c>
      <c r="D97" s="0" t="s">
        <v>4435</v>
      </c>
    </row>
    <row customHeight="1" ht="11.25">
      <c r="A98" s="0">
        <v>98</v>
      </c>
      <c r="B98" s="0" t="s">
        <v>4418</v>
      </c>
      <c r="C98" s="0" t="s">
        <v>4436</v>
      </c>
      <c r="D98" s="0" t="s">
        <v>4437</v>
      </c>
    </row>
    <row customHeight="1" ht="11.25">
      <c r="A99" s="0">
        <v>99</v>
      </c>
      <c r="B99" s="0" t="s">
        <v>4418</v>
      </c>
      <c r="C99" s="0" t="s">
        <v>4438</v>
      </c>
      <c r="D99" s="0" t="s">
        <v>4439</v>
      </c>
    </row>
    <row customHeight="1" ht="11.25">
      <c r="A100" s="0">
        <v>100</v>
      </c>
      <c r="B100" s="0" t="s">
        <v>4418</v>
      </c>
      <c r="C100" s="0" t="s">
        <v>4440</v>
      </c>
      <c r="D100" s="0" t="s">
        <v>4441</v>
      </c>
    </row>
    <row customHeight="1" ht="11.25">
      <c r="A101" s="0">
        <v>101</v>
      </c>
      <c r="B101" s="0" t="s">
        <v>4442</v>
      </c>
      <c r="C101" s="0" t="s">
        <v>4442</v>
      </c>
      <c r="D101" s="0" t="s">
        <v>4443</v>
      </c>
    </row>
    <row customHeight="1" ht="11.25">
      <c r="A102" s="0">
        <v>102</v>
      </c>
      <c r="B102" s="0" t="s">
        <v>4444</v>
      </c>
      <c r="C102" s="0" t="s">
        <v>4444</v>
      </c>
      <c r="D102" s="0" t="s">
        <v>4445</v>
      </c>
    </row>
    <row customHeight="1" ht="11.25">
      <c r="A103" s="0">
        <v>103</v>
      </c>
      <c r="B103" s="0" t="s">
        <v>4446</v>
      </c>
      <c r="C103" s="0" t="s">
        <v>4446</v>
      </c>
      <c r="D103" s="0" t="s">
        <v>4447</v>
      </c>
    </row>
    <row customHeight="1" ht="11.25">
      <c r="A104" s="0">
        <v>104</v>
      </c>
      <c r="B104" s="0" t="s">
        <v>4448</v>
      </c>
      <c r="C104" s="0" t="s">
        <v>4448</v>
      </c>
      <c r="D104" s="0" t="s">
        <v>4449</v>
      </c>
    </row>
    <row customHeight="1" ht="11.25">
      <c r="A105" s="0">
        <v>105</v>
      </c>
      <c r="B105" s="0" t="s">
        <v>4450</v>
      </c>
      <c r="C105" s="0" t="s">
        <v>4450</v>
      </c>
      <c r="D105" s="0" t="s">
        <v>4451</v>
      </c>
    </row>
    <row customHeight="1" ht="11.25">
      <c r="A106" s="0">
        <v>106</v>
      </c>
      <c r="B106" s="0" t="s">
        <v>4452</v>
      </c>
      <c r="C106" s="0" t="s">
        <v>4452</v>
      </c>
      <c r="D106" s="0" t="s">
        <v>4453</v>
      </c>
    </row>
    <row customHeight="1" ht="11.25">
      <c r="A107" s="0">
        <v>107</v>
      </c>
      <c r="B107" s="0" t="s">
        <v>4454</v>
      </c>
      <c r="C107" s="0" t="s">
        <v>4454</v>
      </c>
      <c r="D107" s="0" t="s">
        <v>4455</v>
      </c>
    </row>
    <row customHeight="1" ht="11.25">
      <c r="A108" s="0">
        <v>108</v>
      </c>
      <c r="B108" s="0" t="s">
        <v>4456</v>
      </c>
      <c r="C108" s="0" t="s">
        <v>4456</v>
      </c>
      <c r="D108" s="0" t="s">
        <v>4457</v>
      </c>
    </row>
    <row customHeight="1" ht="11.25">
      <c r="A109" s="0">
        <v>109</v>
      </c>
      <c r="B109" s="0" t="s">
        <v>4458</v>
      </c>
      <c r="C109" s="0" t="s">
        <v>4458</v>
      </c>
      <c r="D109" s="0" t="s">
        <v>4459</v>
      </c>
    </row>
    <row customHeight="1" ht="11.25">
      <c r="A110" s="0">
        <v>110</v>
      </c>
      <c r="B110" s="0" t="s">
        <v>4460</v>
      </c>
      <c r="C110" s="0" t="s">
        <v>4460</v>
      </c>
      <c r="D110" s="0" t="s">
        <v>4461</v>
      </c>
    </row>
    <row customHeight="1" ht="11.25">
      <c r="A111" s="0">
        <v>111</v>
      </c>
      <c r="B111" s="0" t="s">
        <v>4460</v>
      </c>
      <c r="C111" s="0" t="s">
        <v>4462</v>
      </c>
      <c r="D111" s="0" t="s">
        <v>4463</v>
      </c>
    </row>
    <row customHeight="1" ht="11.25">
      <c r="A112" s="0">
        <v>112</v>
      </c>
      <c r="B112" s="0" t="s">
        <v>4460</v>
      </c>
      <c r="C112" s="0" t="s">
        <v>4464</v>
      </c>
      <c r="D112" s="0" t="s">
        <v>4465</v>
      </c>
    </row>
    <row customHeight="1" ht="11.25">
      <c r="A113" s="0">
        <v>113</v>
      </c>
      <c r="B113" s="0" t="s">
        <v>4460</v>
      </c>
      <c r="C113" s="0" t="s">
        <v>4466</v>
      </c>
      <c r="D113" s="0" t="s">
        <v>4467</v>
      </c>
    </row>
    <row customHeight="1" ht="11.25">
      <c r="A114" s="0">
        <v>114</v>
      </c>
      <c r="B114" s="0" t="s">
        <v>4460</v>
      </c>
      <c r="C114" s="0" t="s">
        <v>4468</v>
      </c>
      <c r="D114" s="0" t="s">
        <v>4469</v>
      </c>
    </row>
    <row customHeight="1" ht="11.25">
      <c r="A115" s="0">
        <v>115</v>
      </c>
      <c r="B115" s="0" t="s">
        <v>4460</v>
      </c>
      <c r="C115" s="0" t="s">
        <v>4344</v>
      </c>
      <c r="D115" s="0" t="s">
        <v>4470</v>
      </c>
    </row>
    <row customHeight="1" ht="11.25">
      <c r="A116" s="0">
        <v>116</v>
      </c>
      <c r="B116" s="0" t="s">
        <v>4460</v>
      </c>
      <c r="C116" s="0" t="s">
        <v>4348</v>
      </c>
      <c r="D116" s="0" t="s">
        <v>4471</v>
      </c>
    </row>
    <row customHeight="1" ht="11.25">
      <c r="A117" s="0">
        <v>117</v>
      </c>
      <c r="B117" s="0" t="s">
        <v>4460</v>
      </c>
      <c r="C117" s="0" t="s">
        <v>4472</v>
      </c>
      <c r="D117" s="0" t="s">
        <v>4473</v>
      </c>
    </row>
    <row customHeight="1" ht="11.25">
      <c r="A118" s="0">
        <v>118</v>
      </c>
      <c r="B118" s="0" t="s">
        <v>4460</v>
      </c>
      <c r="C118" s="0" t="s">
        <v>4474</v>
      </c>
      <c r="D118" s="0" t="s">
        <v>4475</v>
      </c>
    </row>
    <row customHeight="1" ht="11.25">
      <c r="A119" s="0">
        <v>119</v>
      </c>
      <c r="B119" s="0" t="s">
        <v>4476</v>
      </c>
      <c r="C119" s="0" t="s">
        <v>4477</v>
      </c>
      <c r="D119" s="0" t="s">
        <v>4478</v>
      </c>
    </row>
    <row customHeight="1" ht="11.25">
      <c r="A120" s="0">
        <v>120</v>
      </c>
      <c r="B120" s="0" t="s">
        <v>4476</v>
      </c>
      <c r="C120" s="0" t="s">
        <v>4476</v>
      </c>
      <c r="D120" s="0" t="s">
        <v>4479</v>
      </c>
    </row>
    <row customHeight="1" ht="11.25">
      <c r="A121" s="0">
        <v>121</v>
      </c>
      <c r="B121" s="0" t="s">
        <v>4476</v>
      </c>
      <c r="C121" s="0" t="s">
        <v>4480</v>
      </c>
      <c r="D121" s="0" t="s">
        <v>4481</v>
      </c>
    </row>
    <row customHeight="1" ht="11.25">
      <c r="A122" s="0">
        <v>122</v>
      </c>
      <c r="B122" s="0" t="s">
        <v>4476</v>
      </c>
      <c r="C122" s="0" t="s">
        <v>4482</v>
      </c>
      <c r="D122" s="0" t="s">
        <v>4483</v>
      </c>
    </row>
    <row customHeight="1" ht="11.25">
      <c r="A123" s="0">
        <v>123</v>
      </c>
      <c r="B123" s="0" t="s">
        <v>4476</v>
      </c>
      <c r="C123" s="0" t="s">
        <v>4484</v>
      </c>
      <c r="D123" s="0" t="s">
        <v>4485</v>
      </c>
    </row>
    <row customHeight="1" ht="11.25">
      <c r="A124" s="0">
        <v>124</v>
      </c>
      <c r="B124" s="0" t="s">
        <v>4476</v>
      </c>
      <c r="C124" s="0" t="s">
        <v>4486</v>
      </c>
      <c r="D124" s="0" t="s">
        <v>4487</v>
      </c>
    </row>
    <row customHeight="1" ht="11.25">
      <c r="A125" s="0">
        <v>125</v>
      </c>
      <c r="B125" s="0" t="s">
        <v>4476</v>
      </c>
      <c r="C125" s="0" t="s">
        <v>4488</v>
      </c>
      <c r="D125" s="0" t="s">
        <v>4489</v>
      </c>
    </row>
    <row customHeight="1" ht="11.25">
      <c r="A126" s="0">
        <v>126</v>
      </c>
      <c r="B126" s="0" t="s">
        <v>4490</v>
      </c>
      <c r="C126" s="0" t="s">
        <v>4490</v>
      </c>
      <c r="D126" s="0" t="s">
        <v>4491</v>
      </c>
    </row>
    <row customHeight="1" ht="11.25">
      <c r="A127" s="0">
        <v>127</v>
      </c>
      <c r="B127" s="0" t="s">
        <v>4492</v>
      </c>
      <c r="C127" s="0" t="s">
        <v>4493</v>
      </c>
      <c r="D127" s="0" t="s">
        <v>4494</v>
      </c>
    </row>
    <row customHeight="1" ht="11.25">
      <c r="A128" s="0">
        <v>128</v>
      </c>
      <c r="B128" s="0" t="s">
        <v>4492</v>
      </c>
      <c r="C128" s="0" t="s">
        <v>4495</v>
      </c>
      <c r="D128" s="0" t="s">
        <v>4496</v>
      </c>
    </row>
    <row customHeight="1" ht="11.25">
      <c r="A129" s="0">
        <v>129</v>
      </c>
      <c r="B129" s="0" t="s">
        <v>4492</v>
      </c>
      <c r="C129" s="0" t="s">
        <v>4497</v>
      </c>
      <c r="D129" s="0" t="s">
        <v>4498</v>
      </c>
    </row>
    <row customHeight="1" ht="11.25">
      <c r="A130" s="0">
        <v>130</v>
      </c>
      <c r="B130" s="0" t="s">
        <v>4492</v>
      </c>
      <c r="C130" s="0" t="s">
        <v>4492</v>
      </c>
      <c r="D130" s="0" t="s">
        <v>4499</v>
      </c>
    </row>
    <row customHeight="1" ht="11.25">
      <c r="A131" s="0">
        <v>131</v>
      </c>
      <c r="B131" s="0" t="s">
        <v>4492</v>
      </c>
      <c r="C131" s="0" t="s">
        <v>4500</v>
      </c>
      <c r="D131" s="0" t="s">
        <v>4501</v>
      </c>
    </row>
    <row customHeight="1" ht="11.25">
      <c r="A132" s="0">
        <v>132</v>
      </c>
      <c r="B132" s="0" t="s">
        <v>4492</v>
      </c>
      <c r="C132" s="0" t="s">
        <v>4502</v>
      </c>
      <c r="D132" s="0" t="s">
        <v>4503</v>
      </c>
    </row>
    <row customHeight="1" ht="11.25">
      <c r="A133" s="0">
        <v>133</v>
      </c>
      <c r="B133" s="0" t="s">
        <v>4492</v>
      </c>
      <c r="C133" s="0" t="s">
        <v>4504</v>
      </c>
      <c r="D133" s="0" t="s">
        <v>4505</v>
      </c>
    </row>
    <row customHeight="1" ht="11.25">
      <c r="A134" s="0">
        <v>134</v>
      </c>
      <c r="B134" s="0" t="s">
        <v>4492</v>
      </c>
      <c r="C134" s="0" t="s">
        <v>4506</v>
      </c>
      <c r="D134" s="0" t="s">
        <v>4507</v>
      </c>
    </row>
    <row customHeight="1" ht="11.25">
      <c r="A135" s="0">
        <v>135</v>
      </c>
      <c r="B135" s="0" t="s">
        <v>4492</v>
      </c>
      <c r="C135" s="0" t="s">
        <v>4508</v>
      </c>
      <c r="D135" s="0" t="s">
        <v>4509</v>
      </c>
    </row>
    <row customHeight="1" ht="11.25">
      <c r="A136" s="0">
        <v>136</v>
      </c>
      <c r="B136" s="0" t="s">
        <v>4492</v>
      </c>
      <c r="C136" s="0" t="s">
        <v>4510</v>
      </c>
      <c r="D136" s="0" t="s">
        <v>4511</v>
      </c>
    </row>
    <row customHeight="1" ht="11.25">
      <c r="A137" s="0">
        <v>137</v>
      </c>
      <c r="B137" s="0" t="s">
        <v>4492</v>
      </c>
      <c r="C137" s="0" t="s">
        <v>4512</v>
      </c>
      <c r="D137" s="0" t="s">
        <v>4513</v>
      </c>
    </row>
    <row customHeight="1" ht="11.25">
      <c r="A138" s="0">
        <v>138</v>
      </c>
      <c r="B138" s="0" t="s">
        <v>4492</v>
      </c>
      <c r="C138" s="0" t="s">
        <v>4514</v>
      </c>
      <c r="D138" s="0" t="s">
        <v>4515</v>
      </c>
    </row>
    <row customHeight="1" ht="11.25">
      <c r="A139" s="0">
        <v>139</v>
      </c>
      <c r="B139" s="0" t="s">
        <v>4492</v>
      </c>
      <c r="C139" s="0" t="s">
        <v>4516</v>
      </c>
      <c r="D139" s="0" t="s">
        <v>4517</v>
      </c>
    </row>
    <row customHeight="1" ht="11.25">
      <c r="A140" s="0">
        <v>140</v>
      </c>
      <c r="B140" s="0" t="s">
        <v>4518</v>
      </c>
      <c r="C140" s="0" t="s">
        <v>4518</v>
      </c>
      <c r="D140" s="0" t="s">
        <v>4519</v>
      </c>
    </row>
    <row customHeight="1" ht="11.25">
      <c r="A141" s="0">
        <v>141</v>
      </c>
      <c r="B141" s="0" t="s">
        <v>4520</v>
      </c>
      <c r="C141" s="0" t="s">
        <v>4521</v>
      </c>
      <c r="D141" s="0" t="s">
        <v>4522</v>
      </c>
    </row>
    <row customHeight="1" ht="11.25">
      <c r="A142" s="0">
        <v>142</v>
      </c>
      <c r="B142" s="0" t="s">
        <v>4520</v>
      </c>
      <c r="C142" s="0" t="s">
        <v>4523</v>
      </c>
      <c r="D142" s="0" t="s">
        <v>4524</v>
      </c>
    </row>
    <row customHeight="1" ht="11.25">
      <c r="A143" s="0">
        <v>143</v>
      </c>
      <c r="B143" s="0" t="s">
        <v>4520</v>
      </c>
      <c r="C143" s="0" t="s">
        <v>4525</v>
      </c>
      <c r="D143" s="0" t="s">
        <v>4526</v>
      </c>
    </row>
    <row customHeight="1" ht="11.25">
      <c r="A144" s="0">
        <v>144</v>
      </c>
      <c r="B144" s="0" t="s">
        <v>4520</v>
      </c>
      <c r="C144" s="0" t="s">
        <v>4527</v>
      </c>
      <c r="D144" s="0" t="s">
        <v>4528</v>
      </c>
    </row>
    <row customHeight="1" ht="11.25">
      <c r="A145" s="0">
        <v>145</v>
      </c>
      <c r="B145" s="0" t="s">
        <v>4520</v>
      </c>
      <c r="C145" s="0" t="s">
        <v>4529</v>
      </c>
      <c r="D145" s="0" t="s">
        <v>4530</v>
      </c>
    </row>
    <row customHeight="1" ht="11.25">
      <c r="A146" s="0">
        <v>146</v>
      </c>
      <c r="B146" s="0" t="s">
        <v>4520</v>
      </c>
      <c r="C146" s="0" t="s">
        <v>4531</v>
      </c>
      <c r="D146" s="0" t="s">
        <v>4532</v>
      </c>
    </row>
    <row customHeight="1" ht="11.25">
      <c r="A147" s="0">
        <v>147</v>
      </c>
      <c r="B147" s="0" t="s">
        <v>4520</v>
      </c>
      <c r="C147" s="0" t="s">
        <v>4533</v>
      </c>
      <c r="D147" s="0" t="s">
        <v>4534</v>
      </c>
    </row>
    <row customHeight="1" ht="11.25">
      <c r="A148" s="0">
        <v>148</v>
      </c>
      <c r="B148" s="0" t="s">
        <v>4520</v>
      </c>
      <c r="C148" s="0" t="s">
        <v>4520</v>
      </c>
      <c r="D148" s="0" t="s">
        <v>4535</v>
      </c>
    </row>
    <row customHeight="1" ht="11.25">
      <c r="A149" s="0">
        <v>149</v>
      </c>
      <c r="B149" s="0" t="s">
        <v>4520</v>
      </c>
      <c r="C149" s="0" t="s">
        <v>4536</v>
      </c>
      <c r="D149" s="0" t="s">
        <v>4537</v>
      </c>
    </row>
    <row customHeight="1" ht="11.25">
      <c r="A150" s="0">
        <v>150</v>
      </c>
      <c r="B150" s="0" t="s">
        <v>4520</v>
      </c>
      <c r="C150" s="0" t="s">
        <v>4538</v>
      </c>
      <c r="D150" s="0" t="s">
        <v>4539</v>
      </c>
    </row>
    <row customHeight="1" ht="11.25">
      <c r="A151" s="0">
        <v>151</v>
      </c>
      <c r="B151" s="0" t="s">
        <v>4520</v>
      </c>
      <c r="C151" s="0" t="s">
        <v>4540</v>
      </c>
      <c r="D151" s="0" t="s">
        <v>4541</v>
      </c>
    </row>
    <row customHeight="1" ht="11.25">
      <c r="A152" s="0">
        <v>152</v>
      </c>
      <c r="B152" s="0" t="s">
        <v>4520</v>
      </c>
      <c r="C152" s="0" t="s">
        <v>4542</v>
      </c>
      <c r="D152" s="0" t="s">
        <v>4543</v>
      </c>
    </row>
    <row customHeight="1" ht="11.25">
      <c r="A153" s="0">
        <v>153</v>
      </c>
      <c r="B153" s="0" t="s">
        <v>4520</v>
      </c>
      <c r="C153" s="0" t="s">
        <v>4544</v>
      </c>
      <c r="D153" s="0" t="s">
        <v>4545</v>
      </c>
    </row>
    <row customHeight="1" ht="11.25">
      <c r="A154" s="0">
        <v>154</v>
      </c>
      <c r="B154" s="0" t="s">
        <v>4520</v>
      </c>
      <c r="C154" s="0" t="s">
        <v>4546</v>
      </c>
      <c r="D154" s="0" t="s">
        <v>4547</v>
      </c>
    </row>
    <row customHeight="1" ht="11.25">
      <c r="A155" s="0">
        <v>155</v>
      </c>
      <c r="B155" s="0" t="s">
        <v>4520</v>
      </c>
      <c r="C155" s="0" t="s">
        <v>4548</v>
      </c>
      <c r="D155" s="0" t="s">
        <v>4549</v>
      </c>
    </row>
    <row customHeight="1" ht="11.25">
      <c r="A156" s="0">
        <v>156</v>
      </c>
      <c r="B156" s="0" t="s">
        <v>4520</v>
      </c>
      <c r="C156" s="0" t="s">
        <v>4550</v>
      </c>
      <c r="D156" s="0" t="s">
        <v>4551</v>
      </c>
    </row>
    <row customHeight="1" ht="11.25">
      <c r="A157" s="0">
        <v>157</v>
      </c>
      <c r="B157" s="0" t="s">
        <v>4520</v>
      </c>
      <c r="C157" s="0" t="s">
        <v>4552</v>
      </c>
      <c r="D157" s="0" t="s">
        <v>4553</v>
      </c>
    </row>
    <row customHeight="1" ht="11.25">
      <c r="A158" s="0">
        <v>158</v>
      </c>
      <c r="B158" s="0" t="s">
        <v>4520</v>
      </c>
      <c r="C158" s="0" t="s">
        <v>4554</v>
      </c>
      <c r="D158" s="0" t="s">
        <v>4555</v>
      </c>
    </row>
    <row customHeight="1" ht="11.25">
      <c r="A159" s="0">
        <v>159</v>
      </c>
      <c r="B159" s="0" t="s">
        <v>4520</v>
      </c>
      <c r="C159" s="0" t="s">
        <v>4556</v>
      </c>
      <c r="D159" s="0" t="s">
        <v>4557</v>
      </c>
    </row>
    <row customHeight="1" ht="11.25">
      <c r="A160" s="0">
        <v>160</v>
      </c>
      <c r="B160" s="0" t="s">
        <v>4520</v>
      </c>
      <c r="C160" s="0" t="s">
        <v>4558</v>
      </c>
      <c r="D160" s="0" t="s">
        <v>4559</v>
      </c>
    </row>
    <row customHeight="1" ht="11.25">
      <c r="A161" s="0">
        <v>161</v>
      </c>
      <c r="B161" s="0" t="s">
        <v>4520</v>
      </c>
      <c r="C161" s="0" t="s">
        <v>4560</v>
      </c>
      <c r="D161" s="0" t="s">
        <v>4561</v>
      </c>
    </row>
    <row customHeight="1" ht="11.25">
      <c r="A162" s="0">
        <v>162</v>
      </c>
      <c r="B162" s="0" t="s">
        <v>4562</v>
      </c>
      <c r="C162" s="0" t="s">
        <v>4563</v>
      </c>
      <c r="D162" s="0" t="s">
        <v>4564</v>
      </c>
    </row>
    <row customHeight="1" ht="11.25">
      <c r="A163" s="0">
        <v>163</v>
      </c>
      <c r="B163" s="0" t="s">
        <v>4562</v>
      </c>
      <c r="C163" s="0" t="s">
        <v>4562</v>
      </c>
      <c r="D163" s="0" t="s">
        <v>4565</v>
      </c>
    </row>
    <row customHeight="1" ht="11.25">
      <c r="A164" s="0">
        <v>164</v>
      </c>
      <c r="B164" s="0" t="s">
        <v>4562</v>
      </c>
      <c r="C164" s="0" t="s">
        <v>4566</v>
      </c>
      <c r="D164" s="0" t="s">
        <v>4567</v>
      </c>
    </row>
    <row customHeight="1" ht="11.25">
      <c r="A165" s="0">
        <v>165</v>
      </c>
      <c r="B165" s="0" t="s">
        <v>4562</v>
      </c>
      <c r="C165" s="0" t="s">
        <v>4568</v>
      </c>
      <c r="D165" s="0" t="s">
        <v>4569</v>
      </c>
    </row>
    <row customHeight="1" ht="11.25">
      <c r="A166" s="0">
        <v>166</v>
      </c>
      <c r="B166" s="0" t="s">
        <v>4562</v>
      </c>
      <c r="C166" s="0" t="s">
        <v>4570</v>
      </c>
      <c r="D166" s="0" t="s">
        <v>4571</v>
      </c>
    </row>
    <row customHeight="1" ht="11.25">
      <c r="A167" s="0">
        <v>167</v>
      </c>
      <c r="B167" s="0" t="s">
        <v>4562</v>
      </c>
      <c r="C167" s="0" t="s">
        <v>4572</v>
      </c>
      <c r="D167" s="0" t="s">
        <v>4573</v>
      </c>
    </row>
    <row customHeight="1" ht="11.25">
      <c r="A168" s="0">
        <v>168</v>
      </c>
      <c r="B168" s="0" t="s">
        <v>4562</v>
      </c>
      <c r="C168" s="0" t="s">
        <v>4574</v>
      </c>
      <c r="D168" s="0" t="s">
        <v>4575</v>
      </c>
    </row>
    <row customHeight="1" ht="11.25">
      <c r="A169" s="0">
        <v>169</v>
      </c>
      <c r="B169" s="0" t="s">
        <v>4562</v>
      </c>
      <c r="C169" s="0" t="s">
        <v>4576</v>
      </c>
      <c r="D169" s="0" t="s">
        <v>4577</v>
      </c>
    </row>
    <row customHeight="1" ht="11.25">
      <c r="A170" s="0">
        <v>170</v>
      </c>
      <c r="B170" s="0" t="s">
        <v>4562</v>
      </c>
      <c r="C170" s="0" t="s">
        <v>4578</v>
      </c>
      <c r="D170" s="0" t="s">
        <v>4579</v>
      </c>
    </row>
    <row customHeight="1" ht="11.25">
      <c r="A171" s="0">
        <v>171</v>
      </c>
      <c r="B171" s="0" t="s">
        <v>4580</v>
      </c>
      <c r="C171" s="0" t="s">
        <v>4581</v>
      </c>
      <c r="D171" s="0" t="s">
        <v>4582</v>
      </c>
    </row>
    <row customHeight="1" ht="11.25">
      <c r="A172" s="0">
        <v>172</v>
      </c>
      <c r="B172" s="0" t="s">
        <v>4580</v>
      </c>
      <c r="C172" s="0" t="s">
        <v>4580</v>
      </c>
      <c r="D172" s="0" t="s">
        <v>4583</v>
      </c>
    </row>
    <row customHeight="1" ht="11.25">
      <c r="A173" s="0">
        <v>173</v>
      </c>
      <c r="B173" s="0" t="s">
        <v>4580</v>
      </c>
      <c r="C173" s="0" t="s">
        <v>4584</v>
      </c>
      <c r="D173" s="0" t="s">
        <v>4585</v>
      </c>
    </row>
    <row customHeight="1" ht="11.25">
      <c r="A174" s="0">
        <v>174</v>
      </c>
      <c r="B174" s="0" t="s">
        <v>4580</v>
      </c>
      <c r="C174" s="0" t="s">
        <v>4586</v>
      </c>
      <c r="D174" s="0" t="s">
        <v>4587</v>
      </c>
    </row>
    <row customHeight="1" ht="11.25">
      <c r="A175" s="0">
        <v>175</v>
      </c>
      <c r="B175" s="0" t="s">
        <v>4580</v>
      </c>
      <c r="C175" s="0" t="s">
        <v>4588</v>
      </c>
      <c r="D175" s="0" t="s">
        <v>4589</v>
      </c>
    </row>
    <row customHeight="1" ht="11.25">
      <c r="A176" s="0">
        <v>176</v>
      </c>
      <c r="B176" s="0" t="s">
        <v>4580</v>
      </c>
      <c r="C176" s="0" t="s">
        <v>4570</v>
      </c>
      <c r="D176" s="0" t="s">
        <v>4590</v>
      </c>
    </row>
    <row customHeight="1" ht="11.25">
      <c r="A177" s="0">
        <v>177</v>
      </c>
      <c r="B177" s="0" t="s">
        <v>4580</v>
      </c>
      <c r="C177" s="0" t="s">
        <v>4591</v>
      </c>
      <c r="D177" s="0" t="s">
        <v>4592</v>
      </c>
    </row>
    <row customHeight="1" ht="11.25">
      <c r="A178" s="0">
        <v>178</v>
      </c>
      <c r="B178" s="0" t="s">
        <v>4580</v>
      </c>
      <c r="C178" s="0" t="s">
        <v>4593</v>
      </c>
      <c r="D178" s="0" t="s">
        <v>4594</v>
      </c>
    </row>
    <row customHeight="1" ht="11.25">
      <c r="A179" s="0">
        <v>179</v>
      </c>
      <c r="B179" s="0" t="s">
        <v>4580</v>
      </c>
      <c r="C179" s="0" t="s">
        <v>4595</v>
      </c>
      <c r="D179" s="0" t="s">
        <v>4596</v>
      </c>
    </row>
    <row customHeight="1" ht="11.25">
      <c r="A180" s="0">
        <v>180</v>
      </c>
      <c r="B180" s="0" t="s">
        <v>4580</v>
      </c>
      <c r="C180" s="0" t="s">
        <v>4597</v>
      </c>
      <c r="D180" s="0" t="s">
        <v>4598</v>
      </c>
    </row>
    <row customHeight="1" ht="11.25">
      <c r="A181" s="0">
        <v>181</v>
      </c>
      <c r="B181" s="0" t="s">
        <v>4599</v>
      </c>
      <c r="C181" s="0" t="s">
        <v>4600</v>
      </c>
      <c r="D181" s="0" t="s">
        <v>4601</v>
      </c>
    </row>
    <row customHeight="1" ht="11.25">
      <c r="A182" s="0">
        <v>182</v>
      </c>
      <c r="B182" s="0" t="s">
        <v>4599</v>
      </c>
      <c r="C182" s="0" t="s">
        <v>4602</v>
      </c>
      <c r="D182" s="0" t="s">
        <v>4603</v>
      </c>
    </row>
    <row customHeight="1" ht="11.25">
      <c r="A183" s="0">
        <v>183</v>
      </c>
      <c r="B183" s="0" t="s">
        <v>4599</v>
      </c>
      <c r="C183" s="0" t="s">
        <v>4604</v>
      </c>
      <c r="D183" s="0" t="s">
        <v>4605</v>
      </c>
    </row>
    <row customHeight="1" ht="11.25">
      <c r="A184" s="0">
        <v>184</v>
      </c>
      <c r="B184" s="0" t="s">
        <v>4599</v>
      </c>
      <c r="C184" s="0" t="s">
        <v>4599</v>
      </c>
      <c r="D184" s="0" t="s">
        <v>4606</v>
      </c>
    </row>
    <row customHeight="1" ht="11.25">
      <c r="A185" s="0">
        <v>185</v>
      </c>
      <c r="B185" s="0" t="s">
        <v>4599</v>
      </c>
      <c r="C185" s="0" t="s">
        <v>4607</v>
      </c>
      <c r="D185" s="0" t="s">
        <v>4608</v>
      </c>
    </row>
    <row customHeight="1" ht="11.25">
      <c r="A186" s="0">
        <v>186</v>
      </c>
      <c r="B186" s="0" t="s">
        <v>4599</v>
      </c>
      <c r="C186" s="0" t="s">
        <v>4609</v>
      </c>
      <c r="D186" s="0" t="s">
        <v>4610</v>
      </c>
    </row>
    <row customHeight="1" ht="11.25">
      <c r="A187" s="0">
        <v>187</v>
      </c>
      <c r="B187" s="0" t="s">
        <v>4599</v>
      </c>
      <c r="C187" s="0" t="s">
        <v>4611</v>
      </c>
      <c r="D187" s="0" t="s">
        <v>4612</v>
      </c>
    </row>
    <row customHeight="1" ht="11.25">
      <c r="A188" s="0">
        <v>188</v>
      </c>
      <c r="B188" s="0" t="s">
        <v>4599</v>
      </c>
      <c r="C188" s="0" t="s">
        <v>4613</v>
      </c>
      <c r="D188" s="0" t="s">
        <v>4614</v>
      </c>
    </row>
    <row customHeight="1" ht="11.25">
      <c r="A189" s="0">
        <v>189</v>
      </c>
      <c r="B189" s="0" t="s">
        <v>4599</v>
      </c>
      <c r="C189" s="0" t="s">
        <v>4615</v>
      </c>
      <c r="D189" s="0" t="s">
        <v>4616</v>
      </c>
    </row>
    <row customHeight="1" ht="11.25">
      <c r="A190" s="0">
        <v>190</v>
      </c>
      <c r="B190" s="0" t="s">
        <v>4599</v>
      </c>
      <c r="C190" s="0" t="s">
        <v>4617</v>
      </c>
      <c r="D190" s="0" t="s">
        <v>4618</v>
      </c>
    </row>
    <row customHeight="1" ht="11.25">
      <c r="A191" s="0">
        <v>191</v>
      </c>
      <c r="B191" s="0" t="s">
        <v>4599</v>
      </c>
      <c r="C191" s="0" t="s">
        <v>4619</v>
      </c>
      <c r="D191" s="0" t="s">
        <v>4620</v>
      </c>
    </row>
    <row customHeight="1" ht="11.25">
      <c r="A192" s="0">
        <v>192</v>
      </c>
      <c r="B192" s="0" t="s">
        <v>4621</v>
      </c>
      <c r="C192" s="0" t="s">
        <v>4622</v>
      </c>
      <c r="D192" s="0" t="s">
        <v>4623</v>
      </c>
    </row>
    <row customHeight="1" ht="11.25">
      <c r="A193" s="0">
        <v>193</v>
      </c>
      <c r="B193" s="0" t="s">
        <v>4621</v>
      </c>
      <c r="C193" s="0" t="s">
        <v>4624</v>
      </c>
      <c r="D193" s="0" t="s">
        <v>4625</v>
      </c>
    </row>
    <row customHeight="1" ht="11.25">
      <c r="A194" s="0">
        <v>194</v>
      </c>
      <c r="B194" s="0" t="s">
        <v>4621</v>
      </c>
      <c r="C194" s="0" t="s">
        <v>4497</v>
      </c>
      <c r="D194" s="0" t="s">
        <v>4626</v>
      </c>
    </row>
    <row customHeight="1" ht="11.25">
      <c r="A195" s="0">
        <v>195</v>
      </c>
      <c r="B195" s="0" t="s">
        <v>4621</v>
      </c>
      <c r="C195" s="0" t="s">
        <v>4621</v>
      </c>
      <c r="D195" s="0" t="s">
        <v>4627</v>
      </c>
    </row>
    <row customHeight="1" ht="11.25">
      <c r="A196" s="0">
        <v>196</v>
      </c>
      <c r="B196" s="0" t="s">
        <v>4621</v>
      </c>
      <c r="C196" s="0" t="s">
        <v>4628</v>
      </c>
      <c r="D196" s="0" t="s">
        <v>4629</v>
      </c>
    </row>
    <row customHeight="1" ht="11.25">
      <c r="A197" s="0">
        <v>197</v>
      </c>
      <c r="B197" s="0" t="s">
        <v>4621</v>
      </c>
      <c r="C197" s="0" t="s">
        <v>4630</v>
      </c>
      <c r="D197" s="0" t="s">
        <v>4631</v>
      </c>
    </row>
    <row customHeight="1" ht="11.25">
      <c r="A198" s="0">
        <v>198</v>
      </c>
      <c r="B198" s="0" t="s">
        <v>4621</v>
      </c>
      <c r="C198" s="0" t="s">
        <v>4632</v>
      </c>
      <c r="D198" s="0" t="s">
        <v>4633</v>
      </c>
    </row>
    <row customHeight="1" ht="11.25">
      <c r="A199" s="0">
        <v>199</v>
      </c>
      <c r="B199" s="0" t="s">
        <v>4621</v>
      </c>
      <c r="C199" s="0" t="s">
        <v>4634</v>
      </c>
      <c r="D199" s="0" t="s">
        <v>4635</v>
      </c>
    </row>
    <row customHeight="1" ht="11.25">
      <c r="A200" s="0">
        <v>200</v>
      </c>
      <c r="B200" s="0" t="s">
        <v>4621</v>
      </c>
      <c r="C200" s="0" t="s">
        <v>4636</v>
      </c>
      <c r="D200" s="0" t="s">
        <v>4637</v>
      </c>
    </row>
    <row customHeight="1" ht="11.25">
      <c r="A201" s="0">
        <v>201</v>
      </c>
      <c r="B201" s="0" t="s">
        <v>4621</v>
      </c>
      <c r="C201" s="0" t="s">
        <v>4638</v>
      </c>
      <c r="D201" s="0" t="s">
        <v>4639</v>
      </c>
    </row>
    <row customHeight="1" ht="11.25">
      <c r="A202" s="0">
        <v>202</v>
      </c>
      <c r="B202" s="0" t="s">
        <v>4621</v>
      </c>
      <c r="C202" s="0" t="s">
        <v>4640</v>
      </c>
      <c r="D202" s="0" t="s">
        <v>4641</v>
      </c>
    </row>
    <row customHeight="1" ht="11.25">
      <c r="A203" s="0">
        <v>203</v>
      </c>
      <c r="B203" s="0" t="s">
        <v>4621</v>
      </c>
      <c r="C203" s="0" t="s">
        <v>4642</v>
      </c>
      <c r="D203" s="0" t="s">
        <v>4643</v>
      </c>
    </row>
    <row customHeight="1" ht="11.25">
      <c r="A204" s="0">
        <v>204</v>
      </c>
      <c r="B204" s="0" t="s">
        <v>4621</v>
      </c>
      <c r="C204" s="0" t="s">
        <v>4644</v>
      </c>
      <c r="D204" s="0" t="s">
        <v>4645</v>
      </c>
    </row>
    <row customHeight="1" ht="11.25">
      <c r="A205" s="0">
        <v>205</v>
      </c>
      <c r="B205" s="0" t="s">
        <v>4621</v>
      </c>
      <c r="C205" s="0" t="s">
        <v>4646</v>
      </c>
      <c r="D205" s="0" t="s">
        <v>4647</v>
      </c>
    </row>
    <row customHeight="1" ht="11.25">
      <c r="A206" s="0">
        <v>206</v>
      </c>
      <c r="B206" s="0" t="s">
        <v>4621</v>
      </c>
      <c r="C206" s="0" t="s">
        <v>4648</v>
      </c>
      <c r="D206" s="0" t="s">
        <v>4649</v>
      </c>
    </row>
    <row customHeight="1" ht="11.25">
      <c r="A207" s="0">
        <v>207</v>
      </c>
      <c r="B207" s="0" t="s">
        <v>4650</v>
      </c>
      <c r="C207" s="0" t="s">
        <v>4651</v>
      </c>
      <c r="D207" s="0" t="s">
        <v>4652</v>
      </c>
    </row>
    <row customHeight="1" ht="11.25">
      <c r="A208" s="0">
        <v>208</v>
      </c>
      <c r="B208" s="0" t="s">
        <v>4650</v>
      </c>
      <c r="C208" s="0" t="s">
        <v>4653</v>
      </c>
      <c r="D208" s="0" t="s">
        <v>4654</v>
      </c>
    </row>
    <row customHeight="1" ht="11.25">
      <c r="A209" s="0">
        <v>209</v>
      </c>
      <c r="B209" s="0" t="s">
        <v>4650</v>
      </c>
      <c r="C209" s="0" t="s">
        <v>4655</v>
      </c>
      <c r="D209" s="0" t="s">
        <v>4656</v>
      </c>
    </row>
    <row customHeight="1" ht="11.25">
      <c r="A210" s="0">
        <v>210</v>
      </c>
      <c r="B210" s="0" t="s">
        <v>4650</v>
      </c>
      <c r="C210" s="0" t="s">
        <v>4657</v>
      </c>
      <c r="D210" s="0" t="s">
        <v>4658</v>
      </c>
    </row>
    <row customHeight="1" ht="11.25">
      <c r="A211" s="0">
        <v>211</v>
      </c>
      <c r="B211" s="0" t="s">
        <v>4650</v>
      </c>
      <c r="C211" s="0" t="s">
        <v>4650</v>
      </c>
      <c r="D211" s="0" t="s">
        <v>4659</v>
      </c>
    </row>
    <row customHeight="1" ht="11.25">
      <c r="A212" s="0">
        <v>212</v>
      </c>
      <c r="B212" s="0" t="s">
        <v>4650</v>
      </c>
      <c r="C212" s="0" t="s">
        <v>4660</v>
      </c>
      <c r="D212" s="0" t="s">
        <v>4661</v>
      </c>
    </row>
    <row customHeight="1" ht="11.25">
      <c r="A213" s="0">
        <v>213</v>
      </c>
      <c r="B213" s="0" t="s">
        <v>4650</v>
      </c>
      <c r="C213" s="0" t="s">
        <v>4662</v>
      </c>
      <c r="D213" s="0" t="s">
        <v>4663</v>
      </c>
    </row>
    <row customHeight="1" ht="11.25">
      <c r="A214" s="0">
        <v>214</v>
      </c>
      <c r="B214" s="0" t="s">
        <v>4650</v>
      </c>
      <c r="C214" s="0" t="s">
        <v>4664</v>
      </c>
      <c r="D214" s="0" t="s">
        <v>4665</v>
      </c>
    </row>
    <row customHeight="1" ht="11.25">
      <c r="A215" s="0">
        <v>215</v>
      </c>
      <c r="B215" s="0" t="s">
        <v>4650</v>
      </c>
      <c r="C215" s="0" t="s">
        <v>4666</v>
      </c>
      <c r="D215" s="0" t="s">
        <v>4667</v>
      </c>
    </row>
    <row customHeight="1" ht="11.25">
      <c r="A216" s="0">
        <v>216</v>
      </c>
      <c r="B216" s="0" t="s">
        <v>4650</v>
      </c>
      <c r="C216" s="0" t="s">
        <v>4668</v>
      </c>
      <c r="D216" s="0" t="s">
        <v>4669</v>
      </c>
    </row>
    <row customHeight="1" ht="11.25">
      <c r="A217" s="0">
        <v>217</v>
      </c>
      <c r="B217" s="0" t="s">
        <v>4650</v>
      </c>
      <c r="C217" s="0" t="s">
        <v>4670</v>
      </c>
      <c r="D217" s="0" t="s">
        <v>4671</v>
      </c>
    </row>
    <row customHeight="1" ht="11.25">
      <c r="A218" s="0">
        <v>218</v>
      </c>
      <c r="B218" s="0" t="s">
        <v>4672</v>
      </c>
      <c r="C218" s="0" t="s">
        <v>4673</v>
      </c>
      <c r="D218" s="0" t="s">
        <v>4674</v>
      </c>
    </row>
    <row customHeight="1" ht="11.25">
      <c r="A219" s="0">
        <v>219</v>
      </c>
      <c r="B219" s="0" t="s">
        <v>4672</v>
      </c>
      <c r="C219" s="0" t="s">
        <v>4675</v>
      </c>
      <c r="D219" s="0" t="s">
        <v>4676</v>
      </c>
    </row>
    <row customHeight="1" ht="11.25">
      <c r="A220" s="0">
        <v>220</v>
      </c>
      <c r="B220" s="0" t="s">
        <v>4672</v>
      </c>
      <c r="C220" s="0" t="s">
        <v>4677</v>
      </c>
      <c r="D220" s="0" t="s">
        <v>4678</v>
      </c>
    </row>
    <row customHeight="1" ht="11.25">
      <c r="A221" s="0">
        <v>221</v>
      </c>
      <c r="B221" s="0" t="s">
        <v>4672</v>
      </c>
      <c r="C221" s="0" t="s">
        <v>4679</v>
      </c>
      <c r="D221" s="0" t="s">
        <v>4680</v>
      </c>
    </row>
    <row customHeight="1" ht="11.25">
      <c r="A222" s="0">
        <v>222</v>
      </c>
      <c r="B222" s="0" t="s">
        <v>4672</v>
      </c>
      <c r="C222" s="0" t="s">
        <v>4681</v>
      </c>
      <c r="D222" s="0" t="s">
        <v>4682</v>
      </c>
    </row>
    <row customHeight="1" ht="11.25">
      <c r="A223" s="0">
        <v>223</v>
      </c>
      <c r="B223" s="0" t="s">
        <v>4672</v>
      </c>
      <c r="C223" s="0" t="s">
        <v>4672</v>
      </c>
      <c r="D223" s="0" t="s">
        <v>4683</v>
      </c>
    </row>
    <row customHeight="1" ht="11.25">
      <c r="A224" s="0">
        <v>224</v>
      </c>
      <c r="B224" s="0" t="s">
        <v>4672</v>
      </c>
      <c r="C224" s="0" t="s">
        <v>4684</v>
      </c>
      <c r="D224" s="0" t="s">
        <v>4685</v>
      </c>
    </row>
    <row customHeight="1" ht="11.25">
      <c r="A225" s="0">
        <v>225</v>
      </c>
      <c r="B225" s="0" t="s">
        <v>4672</v>
      </c>
      <c r="C225" s="0" t="s">
        <v>4686</v>
      </c>
      <c r="D225" s="0" t="s">
        <v>4687</v>
      </c>
    </row>
    <row customHeight="1" ht="11.25">
      <c r="A226" s="0">
        <v>226</v>
      </c>
      <c r="B226" s="0" t="s">
        <v>4672</v>
      </c>
      <c r="C226" s="0" t="s">
        <v>4688</v>
      </c>
      <c r="D226" s="0" t="s">
        <v>4689</v>
      </c>
    </row>
    <row customHeight="1" ht="11.25">
      <c r="A227" s="0">
        <v>227</v>
      </c>
      <c r="B227" s="0" t="s">
        <v>4672</v>
      </c>
      <c r="C227" s="0" t="s">
        <v>4690</v>
      </c>
      <c r="D227" s="0" t="s">
        <v>4691</v>
      </c>
    </row>
    <row customHeight="1" ht="11.25">
      <c r="A228" s="0">
        <v>228</v>
      </c>
      <c r="B228" s="0" t="s">
        <v>4672</v>
      </c>
      <c r="C228" s="0" t="s">
        <v>4632</v>
      </c>
      <c r="D228" s="0" t="s">
        <v>4692</v>
      </c>
    </row>
    <row customHeight="1" ht="11.25">
      <c r="A229" s="0">
        <v>229</v>
      </c>
      <c r="B229" s="0" t="s">
        <v>4672</v>
      </c>
      <c r="C229" s="0" t="s">
        <v>4693</v>
      </c>
      <c r="D229" s="0" t="s">
        <v>4694</v>
      </c>
    </row>
    <row customHeight="1" ht="11.25">
      <c r="A230" s="0">
        <v>230</v>
      </c>
      <c r="B230" s="0" t="s">
        <v>4695</v>
      </c>
      <c r="C230" s="0" t="s">
        <v>4419</v>
      </c>
      <c r="D230" s="0" t="s">
        <v>4696</v>
      </c>
    </row>
    <row customHeight="1" ht="11.25">
      <c r="A231" s="0">
        <v>231</v>
      </c>
      <c r="B231" s="0" t="s">
        <v>4695</v>
      </c>
      <c r="C231" s="0" t="s">
        <v>4697</v>
      </c>
      <c r="D231" s="0" t="s">
        <v>4698</v>
      </c>
    </row>
    <row customHeight="1" ht="11.25">
      <c r="A232" s="0">
        <v>232</v>
      </c>
      <c r="B232" s="0" t="s">
        <v>4695</v>
      </c>
      <c r="C232" s="0" t="s">
        <v>4695</v>
      </c>
      <c r="D232" s="0" t="s">
        <v>4699</v>
      </c>
    </row>
    <row customHeight="1" ht="11.25">
      <c r="A233" s="0">
        <v>233</v>
      </c>
      <c r="B233" s="0" t="s">
        <v>4695</v>
      </c>
      <c r="C233" s="0" t="s">
        <v>4700</v>
      </c>
      <c r="D233" s="0" t="s">
        <v>4701</v>
      </c>
    </row>
    <row customHeight="1" ht="11.25">
      <c r="A234" s="0">
        <v>234</v>
      </c>
      <c r="B234" s="0" t="s">
        <v>4695</v>
      </c>
      <c r="C234" s="0" t="s">
        <v>4702</v>
      </c>
      <c r="D234" s="0" t="s">
        <v>4703</v>
      </c>
    </row>
    <row customHeight="1" ht="11.25">
      <c r="A235" s="0">
        <v>235</v>
      </c>
      <c r="B235" s="0" t="s">
        <v>4695</v>
      </c>
      <c r="C235" s="0" t="s">
        <v>4704</v>
      </c>
      <c r="D235" s="0" t="s">
        <v>4705</v>
      </c>
    </row>
    <row customHeight="1" ht="11.25">
      <c r="A236" s="0">
        <v>236</v>
      </c>
      <c r="B236" s="0" t="s">
        <v>4695</v>
      </c>
      <c r="C236" s="0" t="s">
        <v>4706</v>
      </c>
      <c r="D236" s="0" t="s">
        <v>4707</v>
      </c>
    </row>
    <row customHeight="1" ht="11.25">
      <c r="A237" s="0">
        <v>237</v>
      </c>
      <c r="B237" s="0" t="s">
        <v>4695</v>
      </c>
      <c r="C237" s="0" t="s">
        <v>4708</v>
      </c>
      <c r="D237" s="0" t="s">
        <v>4709</v>
      </c>
    </row>
    <row customHeight="1" ht="11.25">
      <c r="A238" s="0">
        <v>238</v>
      </c>
      <c r="B238" s="0" t="s">
        <v>4695</v>
      </c>
      <c r="C238" s="0" t="s">
        <v>4710</v>
      </c>
      <c r="D238" s="0" t="s">
        <v>4711</v>
      </c>
    </row>
    <row customHeight="1" ht="11.25">
      <c r="A239" s="0">
        <v>239</v>
      </c>
      <c r="B239" s="0" t="s">
        <v>4712</v>
      </c>
      <c r="C239" s="0" t="s">
        <v>4713</v>
      </c>
      <c r="D239" s="0" t="s">
        <v>4714</v>
      </c>
    </row>
    <row customHeight="1" ht="11.25">
      <c r="A240" s="0">
        <v>240</v>
      </c>
      <c r="B240" s="0" t="s">
        <v>4712</v>
      </c>
      <c r="C240" s="0" t="s">
        <v>4419</v>
      </c>
      <c r="D240" s="0" t="s">
        <v>4715</v>
      </c>
    </row>
    <row customHeight="1" ht="11.25">
      <c r="A241" s="0">
        <v>241</v>
      </c>
      <c r="B241" s="0" t="s">
        <v>4712</v>
      </c>
      <c r="C241" s="0" t="s">
        <v>4523</v>
      </c>
      <c r="D241" s="0" t="s">
        <v>4716</v>
      </c>
    </row>
    <row customHeight="1" ht="11.25">
      <c r="A242" s="0">
        <v>242</v>
      </c>
      <c r="B242" s="0" t="s">
        <v>4712</v>
      </c>
      <c r="C242" s="0" t="s">
        <v>4717</v>
      </c>
      <c r="D242" s="0" t="s">
        <v>4718</v>
      </c>
    </row>
    <row customHeight="1" ht="11.25">
      <c r="A243" s="0">
        <v>243</v>
      </c>
      <c r="B243" s="0" t="s">
        <v>4712</v>
      </c>
      <c r="C243" s="0" t="s">
        <v>4712</v>
      </c>
      <c r="D243" s="0" t="s">
        <v>4719</v>
      </c>
    </row>
    <row customHeight="1" ht="11.25">
      <c r="A244" s="0">
        <v>244</v>
      </c>
      <c r="B244" s="0" t="s">
        <v>4712</v>
      </c>
      <c r="C244" s="0" t="s">
        <v>4720</v>
      </c>
      <c r="D244" s="0" t="s">
        <v>4721</v>
      </c>
    </row>
    <row customHeight="1" ht="11.25">
      <c r="A245" s="0">
        <v>245</v>
      </c>
      <c r="B245" s="0" t="s">
        <v>4712</v>
      </c>
      <c r="C245" s="0" t="s">
        <v>4722</v>
      </c>
      <c r="D245" s="0" t="s">
        <v>4723</v>
      </c>
    </row>
    <row customHeight="1" ht="11.25">
      <c r="A246" s="0">
        <v>246</v>
      </c>
      <c r="B246" s="0" t="s">
        <v>4712</v>
      </c>
      <c r="C246" s="0" t="s">
        <v>4724</v>
      </c>
      <c r="D246" s="0" t="s">
        <v>4725</v>
      </c>
    </row>
    <row customHeight="1" ht="11.25">
      <c r="A247" s="0">
        <v>247</v>
      </c>
      <c r="B247" s="0" t="s">
        <v>4712</v>
      </c>
      <c r="C247" s="0" t="s">
        <v>4726</v>
      </c>
      <c r="D247" s="0" t="s">
        <v>4727</v>
      </c>
    </row>
    <row customHeight="1" ht="11.25">
      <c r="A248" s="0">
        <v>248</v>
      </c>
      <c r="B248" s="0" t="s">
        <v>4712</v>
      </c>
      <c r="C248" s="0" t="s">
        <v>4728</v>
      </c>
      <c r="D248" s="0" t="s">
        <v>4729</v>
      </c>
    </row>
    <row customHeight="1" ht="11.25">
      <c r="A249" s="0">
        <v>249</v>
      </c>
      <c r="B249" s="0" t="s">
        <v>4712</v>
      </c>
      <c r="C249" s="0" t="s">
        <v>4730</v>
      </c>
      <c r="D249" s="0" t="s">
        <v>4731</v>
      </c>
    </row>
    <row customHeight="1" ht="11.25">
      <c r="A250" s="0">
        <v>250</v>
      </c>
      <c r="B250" s="0" t="s">
        <v>4712</v>
      </c>
      <c r="C250" s="0" t="s">
        <v>4732</v>
      </c>
      <c r="D250" s="0" t="s">
        <v>4733</v>
      </c>
    </row>
    <row customHeight="1" ht="11.25">
      <c r="A251" s="0">
        <v>251</v>
      </c>
      <c r="B251" s="0" t="s">
        <v>4712</v>
      </c>
      <c r="C251" s="0" t="s">
        <v>4734</v>
      </c>
      <c r="D251" s="0" t="s">
        <v>4735</v>
      </c>
    </row>
    <row customHeight="1" ht="11.25">
      <c r="A252" s="0">
        <v>252</v>
      </c>
      <c r="B252" s="0" t="s">
        <v>4712</v>
      </c>
      <c r="C252" s="0" t="s">
        <v>4736</v>
      </c>
      <c r="D252" s="0" t="s">
        <v>4737</v>
      </c>
    </row>
    <row customHeight="1" ht="11.25">
      <c r="A253" s="0">
        <v>253</v>
      </c>
      <c r="B253" s="0" t="s">
        <v>4738</v>
      </c>
      <c r="C253" s="0" t="s">
        <v>4253</v>
      </c>
      <c r="D253" s="0" t="s">
        <v>4739</v>
      </c>
    </row>
    <row customHeight="1" ht="11.25">
      <c r="A254" s="0">
        <v>254</v>
      </c>
      <c r="B254" s="0" t="s">
        <v>4738</v>
      </c>
      <c r="C254" s="0" t="s">
        <v>4740</v>
      </c>
      <c r="D254" s="0" t="s">
        <v>4741</v>
      </c>
    </row>
    <row customHeight="1" ht="11.25">
      <c r="A255" s="0">
        <v>255</v>
      </c>
      <c r="B255" s="0" t="s">
        <v>4738</v>
      </c>
      <c r="C255" s="0" t="s">
        <v>4742</v>
      </c>
      <c r="D255" s="0" t="s">
        <v>4743</v>
      </c>
    </row>
    <row customHeight="1" ht="11.25">
      <c r="A256" s="0">
        <v>256</v>
      </c>
      <c r="B256" s="0" t="s">
        <v>4738</v>
      </c>
      <c r="C256" s="0" t="s">
        <v>4744</v>
      </c>
      <c r="D256" s="0" t="s">
        <v>4745</v>
      </c>
    </row>
    <row customHeight="1" ht="11.25">
      <c r="A257" s="0">
        <v>257</v>
      </c>
      <c r="B257" s="0" t="s">
        <v>4738</v>
      </c>
      <c r="C257" s="0" t="s">
        <v>4738</v>
      </c>
      <c r="D257" s="0" t="s">
        <v>4746</v>
      </c>
    </row>
    <row customHeight="1" ht="11.25">
      <c r="A258" s="0">
        <v>258</v>
      </c>
      <c r="B258" s="0" t="s">
        <v>4738</v>
      </c>
      <c r="C258" s="0" t="s">
        <v>4747</v>
      </c>
      <c r="D258" s="0" t="s">
        <v>4748</v>
      </c>
    </row>
    <row customHeight="1" ht="11.25">
      <c r="A259" s="0">
        <v>259</v>
      </c>
      <c r="B259" s="0" t="s">
        <v>4738</v>
      </c>
      <c r="C259" s="0" t="s">
        <v>4749</v>
      </c>
      <c r="D259" s="0" t="s">
        <v>4750</v>
      </c>
    </row>
    <row customHeight="1" ht="11.25">
      <c r="A260" s="0">
        <v>260</v>
      </c>
      <c r="B260" s="0" t="s">
        <v>4738</v>
      </c>
      <c r="C260" s="0" t="s">
        <v>4751</v>
      </c>
      <c r="D260" s="0" t="s">
        <v>4752</v>
      </c>
    </row>
    <row customHeight="1" ht="11.25">
      <c r="A261" s="0">
        <v>261</v>
      </c>
      <c r="B261" s="0" t="s">
        <v>4738</v>
      </c>
      <c r="C261" s="0" t="s">
        <v>4753</v>
      </c>
      <c r="D261" s="0" t="s">
        <v>4754</v>
      </c>
    </row>
    <row customHeight="1" ht="11.25">
      <c r="A262" s="0">
        <v>262</v>
      </c>
      <c r="B262" s="0" t="s">
        <v>4738</v>
      </c>
      <c r="C262" s="0" t="s">
        <v>4755</v>
      </c>
      <c r="D262" s="0" t="s">
        <v>4756</v>
      </c>
    </row>
    <row customHeight="1" ht="11.25">
      <c r="A263" s="0">
        <v>263</v>
      </c>
      <c r="B263" s="0" t="s">
        <v>4757</v>
      </c>
      <c r="C263" s="0" t="s">
        <v>4758</v>
      </c>
      <c r="D263" s="0" t="s">
        <v>4759</v>
      </c>
    </row>
    <row customHeight="1" ht="11.25">
      <c r="A264" s="0">
        <v>264</v>
      </c>
      <c r="B264" s="0" t="s">
        <v>4757</v>
      </c>
      <c r="C264" s="0" t="s">
        <v>4760</v>
      </c>
      <c r="D264" s="0" t="s">
        <v>4761</v>
      </c>
    </row>
    <row customHeight="1" ht="11.25">
      <c r="A265" s="0">
        <v>265</v>
      </c>
      <c r="B265" s="0" t="s">
        <v>4757</v>
      </c>
      <c r="C265" s="0" t="s">
        <v>4762</v>
      </c>
      <c r="D265" s="0" t="s">
        <v>4763</v>
      </c>
    </row>
    <row customHeight="1" ht="11.25">
      <c r="A266" s="0">
        <v>266</v>
      </c>
      <c r="B266" s="0" t="s">
        <v>4757</v>
      </c>
      <c r="C266" s="0" t="s">
        <v>4764</v>
      </c>
      <c r="D266" s="0" t="s">
        <v>4765</v>
      </c>
    </row>
    <row customHeight="1" ht="11.25">
      <c r="A267" s="0">
        <v>267</v>
      </c>
      <c r="B267" s="0" t="s">
        <v>4757</v>
      </c>
      <c r="C267" s="0" t="s">
        <v>4757</v>
      </c>
      <c r="D267" s="0" t="s">
        <v>4766</v>
      </c>
    </row>
    <row customHeight="1" ht="11.25">
      <c r="A268" s="0">
        <v>268</v>
      </c>
      <c r="B268" s="0" t="s">
        <v>4757</v>
      </c>
      <c r="C268" s="0" t="s">
        <v>4767</v>
      </c>
      <c r="D268" s="0" t="s">
        <v>4768</v>
      </c>
    </row>
    <row customHeight="1" ht="11.25">
      <c r="A269" s="0">
        <v>269</v>
      </c>
      <c r="B269" s="0" t="s">
        <v>4757</v>
      </c>
      <c r="C269" s="0" t="s">
        <v>4769</v>
      </c>
      <c r="D269" s="0" t="s">
        <v>4770</v>
      </c>
    </row>
    <row customHeight="1" ht="11.25">
      <c r="A270" s="0">
        <v>270</v>
      </c>
      <c r="B270" s="0" t="s">
        <v>4757</v>
      </c>
      <c r="C270" s="0" t="s">
        <v>4771</v>
      </c>
      <c r="D270" s="0" t="s">
        <v>4772</v>
      </c>
    </row>
    <row customHeight="1" ht="11.25">
      <c r="A271" s="0">
        <v>271</v>
      </c>
      <c r="B271" s="0" t="s">
        <v>4757</v>
      </c>
      <c r="C271" s="0" t="s">
        <v>4570</v>
      </c>
      <c r="D271" s="0" t="s">
        <v>4773</v>
      </c>
    </row>
    <row customHeight="1" ht="11.25">
      <c r="A272" s="0">
        <v>272</v>
      </c>
      <c r="B272" s="0" t="s">
        <v>4757</v>
      </c>
      <c r="C272" s="0" t="s">
        <v>4774</v>
      </c>
      <c r="D272" s="0" t="s">
        <v>4775</v>
      </c>
    </row>
    <row customHeight="1" ht="11.25">
      <c r="A273" s="0">
        <v>273</v>
      </c>
      <c r="B273" s="0" t="s">
        <v>4776</v>
      </c>
      <c r="C273" s="0" t="s">
        <v>4777</v>
      </c>
      <c r="D273" s="0" t="s">
        <v>4778</v>
      </c>
    </row>
    <row customHeight="1" ht="11.25">
      <c r="A274" s="0">
        <v>274</v>
      </c>
      <c r="B274" s="0" t="s">
        <v>4776</v>
      </c>
      <c r="C274" s="0" t="s">
        <v>4779</v>
      </c>
      <c r="D274" s="0" t="s">
        <v>4780</v>
      </c>
    </row>
    <row customHeight="1" ht="11.25">
      <c r="A275" s="0">
        <v>275</v>
      </c>
      <c r="B275" s="0" t="s">
        <v>4776</v>
      </c>
      <c r="C275" s="0" t="s">
        <v>4781</v>
      </c>
      <c r="D275" s="0" t="s">
        <v>4782</v>
      </c>
    </row>
    <row customHeight="1" ht="11.25">
      <c r="A276" s="0">
        <v>276</v>
      </c>
      <c r="B276" s="0" t="s">
        <v>4776</v>
      </c>
      <c r="C276" s="0" t="s">
        <v>4783</v>
      </c>
      <c r="D276" s="0" t="s">
        <v>4784</v>
      </c>
    </row>
    <row customHeight="1" ht="11.25">
      <c r="A277" s="0">
        <v>277</v>
      </c>
      <c r="B277" s="0" t="s">
        <v>4776</v>
      </c>
      <c r="C277" s="0" t="s">
        <v>4785</v>
      </c>
      <c r="D277" s="0" t="s">
        <v>4786</v>
      </c>
    </row>
    <row customHeight="1" ht="11.25">
      <c r="A278" s="0">
        <v>278</v>
      </c>
      <c r="B278" s="0" t="s">
        <v>4776</v>
      </c>
      <c r="C278" s="0" t="s">
        <v>4787</v>
      </c>
      <c r="D278" s="0" t="s">
        <v>4788</v>
      </c>
    </row>
    <row customHeight="1" ht="11.25">
      <c r="A279" s="0">
        <v>279</v>
      </c>
      <c r="B279" s="0" t="s">
        <v>4776</v>
      </c>
      <c r="C279" s="0" t="s">
        <v>4776</v>
      </c>
      <c r="D279" s="0" t="s">
        <v>4789</v>
      </c>
    </row>
    <row customHeight="1" ht="11.25">
      <c r="A280" s="0">
        <v>280</v>
      </c>
      <c r="B280" s="0" t="s">
        <v>4776</v>
      </c>
      <c r="C280" s="0" t="s">
        <v>4790</v>
      </c>
      <c r="D280" s="0" t="s">
        <v>4791</v>
      </c>
    </row>
    <row customHeight="1" ht="11.25">
      <c r="A281" s="0">
        <v>281</v>
      </c>
      <c r="B281" s="0" t="s">
        <v>4776</v>
      </c>
      <c r="C281" s="0" t="s">
        <v>4792</v>
      </c>
      <c r="D281" s="0" t="s">
        <v>4793</v>
      </c>
    </row>
    <row customHeight="1" ht="11.25">
      <c r="A282" s="0">
        <v>282</v>
      </c>
      <c r="B282" s="0" t="s">
        <v>4776</v>
      </c>
      <c r="C282" s="0" t="s">
        <v>4794</v>
      </c>
      <c r="D282" s="0" t="s">
        <v>4795</v>
      </c>
    </row>
    <row customHeight="1" ht="11.25">
      <c r="A283" s="0">
        <v>283</v>
      </c>
      <c r="B283" s="0" t="s">
        <v>4776</v>
      </c>
      <c r="C283" s="0" t="s">
        <v>4796</v>
      </c>
      <c r="D283" s="0" t="s">
        <v>4797</v>
      </c>
    </row>
    <row customHeight="1" ht="11.25">
      <c r="A284" s="0">
        <v>284</v>
      </c>
      <c r="B284" s="0" t="s">
        <v>4798</v>
      </c>
      <c r="C284" s="0" t="s">
        <v>4799</v>
      </c>
      <c r="D284" s="0" t="s">
        <v>4800</v>
      </c>
    </row>
    <row customHeight="1" ht="11.25">
      <c r="A285" s="0">
        <v>285</v>
      </c>
      <c r="B285" s="0" t="s">
        <v>4798</v>
      </c>
      <c r="C285" s="0" t="s">
        <v>4798</v>
      </c>
      <c r="D285" s="0" t="s">
        <v>4801</v>
      </c>
    </row>
    <row customHeight="1" ht="11.25">
      <c r="A286" s="0">
        <v>286</v>
      </c>
      <c r="B286" s="0" t="s">
        <v>4798</v>
      </c>
      <c r="C286" s="0" t="s">
        <v>4802</v>
      </c>
      <c r="D286" s="0" t="s">
        <v>4803</v>
      </c>
    </row>
    <row customHeight="1" ht="11.25">
      <c r="A287" s="0">
        <v>287</v>
      </c>
      <c r="B287" s="0" t="s">
        <v>4798</v>
      </c>
      <c r="C287" s="0" t="s">
        <v>4804</v>
      </c>
      <c r="D287" s="0" t="s">
        <v>4805</v>
      </c>
    </row>
    <row customHeight="1" ht="11.25">
      <c r="A288" s="0">
        <v>288</v>
      </c>
      <c r="B288" s="0" t="s">
        <v>4798</v>
      </c>
      <c r="C288" s="0" t="s">
        <v>4570</v>
      </c>
      <c r="D288" s="0" t="s">
        <v>4806</v>
      </c>
    </row>
    <row customHeight="1" ht="11.25">
      <c r="A289" s="0">
        <v>289</v>
      </c>
      <c r="B289" s="0" t="s">
        <v>4798</v>
      </c>
      <c r="C289" s="0" t="s">
        <v>4807</v>
      </c>
      <c r="D289" s="0" t="s">
        <v>4808</v>
      </c>
    </row>
    <row customHeight="1" ht="11.25">
      <c r="A290" s="0">
        <v>290</v>
      </c>
      <c r="B290" s="0" t="s">
        <v>4798</v>
      </c>
      <c r="C290" s="0" t="s">
        <v>4809</v>
      </c>
      <c r="D290" s="0" t="s">
        <v>4810</v>
      </c>
    </row>
    <row customHeight="1" ht="11.25">
      <c r="A291" s="0">
        <v>291</v>
      </c>
      <c r="B291" s="0" t="s">
        <v>4798</v>
      </c>
      <c r="C291" s="0" t="s">
        <v>4811</v>
      </c>
      <c r="D291" s="0" t="s">
        <v>4812</v>
      </c>
    </row>
    <row customHeight="1" ht="11.25">
      <c r="A292" s="0">
        <v>292</v>
      </c>
      <c r="B292" s="0" t="s">
        <v>4798</v>
      </c>
      <c r="C292" s="0" t="s">
        <v>4554</v>
      </c>
      <c r="D292" s="0" t="s">
        <v>4813</v>
      </c>
    </row>
    <row customHeight="1" ht="11.25">
      <c r="A293" s="0">
        <v>293</v>
      </c>
      <c r="B293" s="0" t="s">
        <v>4798</v>
      </c>
      <c r="C293" s="0" t="s">
        <v>4814</v>
      </c>
      <c r="D293" s="0" t="s">
        <v>4815</v>
      </c>
    </row>
    <row customHeight="1" ht="11.25">
      <c r="A294" s="0">
        <v>294</v>
      </c>
      <c r="B294" s="0" t="s">
        <v>4798</v>
      </c>
      <c r="C294" s="0" t="s">
        <v>4816</v>
      </c>
      <c r="D294" s="0" t="s">
        <v>4817</v>
      </c>
    </row>
    <row customHeight="1" ht="11.25">
      <c r="A295" s="0">
        <v>295</v>
      </c>
      <c r="B295" s="0" t="s">
        <v>4818</v>
      </c>
      <c r="C295" s="0" t="s">
        <v>4819</v>
      </c>
      <c r="D295" s="0" t="s">
        <v>4820</v>
      </c>
    </row>
    <row customHeight="1" ht="11.25">
      <c r="A296" s="0">
        <v>296</v>
      </c>
      <c r="B296" s="0" t="s">
        <v>4818</v>
      </c>
      <c r="C296" s="0" t="s">
        <v>4821</v>
      </c>
      <c r="D296" s="0" t="s">
        <v>4822</v>
      </c>
    </row>
    <row customHeight="1" ht="11.25">
      <c r="A297" s="0">
        <v>297</v>
      </c>
      <c r="B297" s="0" t="s">
        <v>4818</v>
      </c>
      <c r="C297" s="0" t="s">
        <v>4823</v>
      </c>
      <c r="D297" s="0" t="s">
        <v>4824</v>
      </c>
    </row>
    <row customHeight="1" ht="11.25">
      <c r="A298" s="0">
        <v>298</v>
      </c>
      <c r="B298" s="0" t="s">
        <v>4818</v>
      </c>
      <c r="C298" s="0" t="s">
        <v>4493</v>
      </c>
      <c r="D298" s="0" t="s">
        <v>4825</v>
      </c>
    </row>
    <row customHeight="1" ht="11.25">
      <c r="A299" s="0">
        <v>299</v>
      </c>
      <c r="B299" s="0" t="s">
        <v>4818</v>
      </c>
      <c r="C299" s="0" t="s">
        <v>4826</v>
      </c>
      <c r="D299" s="0" t="s">
        <v>4827</v>
      </c>
    </row>
    <row customHeight="1" ht="11.25">
      <c r="A300" s="0">
        <v>300</v>
      </c>
      <c r="B300" s="0" t="s">
        <v>4818</v>
      </c>
      <c r="C300" s="0" t="s">
        <v>4828</v>
      </c>
      <c r="D300" s="0" t="s">
        <v>4829</v>
      </c>
    </row>
    <row customHeight="1" ht="11.25">
      <c r="A301" s="0">
        <v>301</v>
      </c>
      <c r="B301" s="0" t="s">
        <v>4818</v>
      </c>
      <c r="C301" s="0" t="s">
        <v>4830</v>
      </c>
      <c r="D301" s="0" t="s">
        <v>4831</v>
      </c>
    </row>
    <row customHeight="1" ht="11.25">
      <c r="A302" s="0">
        <v>302</v>
      </c>
      <c r="B302" s="0" t="s">
        <v>4818</v>
      </c>
      <c r="C302" s="0" t="s">
        <v>4263</v>
      </c>
      <c r="D302" s="0" t="s">
        <v>4832</v>
      </c>
    </row>
    <row customHeight="1" ht="11.25">
      <c r="A303" s="0">
        <v>303</v>
      </c>
      <c r="B303" s="0" t="s">
        <v>4818</v>
      </c>
      <c r="C303" s="0" t="s">
        <v>4818</v>
      </c>
      <c r="D303" s="0" t="s">
        <v>4833</v>
      </c>
    </row>
    <row customHeight="1" ht="11.25">
      <c r="A304" s="0">
        <v>304</v>
      </c>
      <c r="B304" s="0" t="s">
        <v>4818</v>
      </c>
      <c r="C304" s="0" t="s">
        <v>4834</v>
      </c>
      <c r="D304" s="0" t="s">
        <v>4835</v>
      </c>
    </row>
    <row customHeight="1" ht="11.25">
      <c r="A305" s="0">
        <v>305</v>
      </c>
      <c r="B305" s="0" t="s">
        <v>4818</v>
      </c>
      <c r="C305" s="0" t="s">
        <v>4836</v>
      </c>
      <c r="D305" s="0" t="s">
        <v>4837</v>
      </c>
    </row>
    <row customHeight="1" ht="11.25">
      <c r="A306" s="0">
        <v>306</v>
      </c>
      <c r="B306" s="0" t="s">
        <v>4818</v>
      </c>
      <c r="C306" s="0" t="s">
        <v>4366</v>
      </c>
      <c r="D306" s="0" t="s">
        <v>4838</v>
      </c>
    </row>
    <row customHeight="1" ht="11.25">
      <c r="A307" s="0">
        <v>307</v>
      </c>
      <c r="B307" s="0" t="s">
        <v>4818</v>
      </c>
      <c r="C307" s="0" t="s">
        <v>4839</v>
      </c>
      <c r="D307" s="0" t="s">
        <v>4840</v>
      </c>
    </row>
    <row customHeight="1" ht="11.25">
      <c r="A308" s="0">
        <v>308</v>
      </c>
      <c r="B308" s="0" t="s">
        <v>4818</v>
      </c>
      <c r="C308" s="0" t="s">
        <v>4841</v>
      </c>
      <c r="D308" s="0" t="s">
        <v>4842</v>
      </c>
    </row>
    <row customHeight="1" ht="11.25">
      <c r="A309" s="0">
        <v>309</v>
      </c>
      <c r="B309" s="0" t="s">
        <v>4818</v>
      </c>
      <c r="C309" s="0" t="s">
        <v>4668</v>
      </c>
      <c r="D309" s="0" t="s">
        <v>4843</v>
      </c>
    </row>
    <row customHeight="1" ht="11.25">
      <c r="A310" s="0">
        <v>310</v>
      </c>
      <c r="B310" s="0" t="s">
        <v>4818</v>
      </c>
      <c r="C310" s="0" t="s">
        <v>4844</v>
      </c>
      <c r="D310" s="0" t="s">
        <v>4845</v>
      </c>
    </row>
    <row customHeight="1" ht="11.25">
      <c r="A311" s="0">
        <v>311</v>
      </c>
      <c r="B311" s="0" t="s">
        <v>4818</v>
      </c>
      <c r="C311" s="0" t="s">
        <v>4846</v>
      </c>
      <c r="D311" s="0" t="s">
        <v>4847</v>
      </c>
    </row>
    <row customHeight="1" ht="11.25">
      <c r="A312" s="0">
        <v>312</v>
      </c>
      <c r="B312" s="0" t="s">
        <v>4818</v>
      </c>
      <c r="C312" s="0" t="s">
        <v>4848</v>
      </c>
      <c r="D312" s="0" t="s">
        <v>4849</v>
      </c>
    </row>
    <row customHeight="1" ht="11.25">
      <c r="A313" s="0">
        <v>313</v>
      </c>
      <c r="B313" s="0" t="s">
        <v>4818</v>
      </c>
      <c r="C313" s="0" t="s">
        <v>4398</v>
      </c>
      <c r="D313" s="0" t="s">
        <v>4850</v>
      </c>
    </row>
    <row customHeight="1" ht="11.25">
      <c r="A314" s="0">
        <v>314</v>
      </c>
      <c r="B314" s="0" t="s">
        <v>4851</v>
      </c>
      <c r="C314" s="0" t="s">
        <v>4852</v>
      </c>
      <c r="D314" s="0" t="s">
        <v>4853</v>
      </c>
    </row>
    <row customHeight="1" ht="11.25">
      <c r="A315" s="0">
        <v>315</v>
      </c>
      <c r="B315" s="0" t="s">
        <v>4851</v>
      </c>
      <c r="C315" s="0" t="s">
        <v>4854</v>
      </c>
      <c r="D315" s="0" t="s">
        <v>4855</v>
      </c>
    </row>
    <row customHeight="1" ht="11.25">
      <c r="A316" s="0">
        <v>316</v>
      </c>
      <c r="B316" s="0" t="s">
        <v>4851</v>
      </c>
      <c r="C316" s="0" t="s">
        <v>4856</v>
      </c>
      <c r="D316" s="0" t="s">
        <v>4857</v>
      </c>
    </row>
    <row customHeight="1" ht="11.25">
      <c r="A317" s="0">
        <v>317</v>
      </c>
      <c r="B317" s="0" t="s">
        <v>4851</v>
      </c>
      <c r="C317" s="0" t="s">
        <v>4858</v>
      </c>
      <c r="D317" s="0" t="s">
        <v>4859</v>
      </c>
    </row>
    <row customHeight="1" ht="11.25">
      <c r="A318" s="0">
        <v>318</v>
      </c>
      <c r="B318" s="0" t="s">
        <v>4851</v>
      </c>
      <c r="C318" s="0" t="s">
        <v>4860</v>
      </c>
      <c r="D318" s="0" t="s">
        <v>4861</v>
      </c>
    </row>
    <row customHeight="1" ht="11.25">
      <c r="A319" s="0">
        <v>319</v>
      </c>
      <c r="B319" s="0" t="s">
        <v>4851</v>
      </c>
      <c r="C319" s="0" t="s">
        <v>4862</v>
      </c>
      <c r="D319" s="0" t="s">
        <v>4863</v>
      </c>
    </row>
    <row customHeight="1" ht="11.25">
      <c r="A320" s="0">
        <v>320</v>
      </c>
      <c r="B320" s="0" t="s">
        <v>4851</v>
      </c>
      <c r="C320" s="0" t="s">
        <v>4864</v>
      </c>
      <c r="D320" s="0" t="s">
        <v>4865</v>
      </c>
    </row>
    <row customHeight="1" ht="11.25">
      <c r="A321" s="0">
        <v>321</v>
      </c>
      <c r="B321" s="0" t="s">
        <v>4851</v>
      </c>
      <c r="C321" s="0" t="s">
        <v>4851</v>
      </c>
      <c r="D321" s="0" t="s">
        <v>4866</v>
      </c>
    </row>
    <row customHeight="1" ht="11.25">
      <c r="A322" s="0">
        <v>322</v>
      </c>
      <c r="B322" s="0" t="s">
        <v>4851</v>
      </c>
      <c r="C322" s="0" t="s">
        <v>4867</v>
      </c>
      <c r="D322" s="0" t="s">
        <v>4868</v>
      </c>
    </row>
    <row customHeight="1" ht="11.25">
      <c r="A323" s="0">
        <v>323</v>
      </c>
      <c r="B323" s="0" t="s">
        <v>4851</v>
      </c>
      <c r="C323" s="0" t="s">
        <v>4869</v>
      </c>
      <c r="D323" s="0" t="s">
        <v>4870</v>
      </c>
    </row>
    <row customHeight="1" ht="11.25">
      <c r="A324" s="0">
        <v>324</v>
      </c>
      <c r="B324" s="0" t="s">
        <v>4851</v>
      </c>
      <c r="C324" s="0" t="s">
        <v>4668</v>
      </c>
      <c r="D324" s="0" t="s">
        <v>4871</v>
      </c>
    </row>
    <row customHeight="1" ht="11.25">
      <c r="A325" s="0">
        <v>325</v>
      </c>
      <c r="B325" s="0" t="s">
        <v>4851</v>
      </c>
      <c r="C325" s="0" t="s">
        <v>4872</v>
      </c>
      <c r="D325" s="0" t="s">
        <v>4873</v>
      </c>
    </row>
    <row customHeight="1" ht="11.25">
      <c r="A326" s="0">
        <v>326</v>
      </c>
      <c r="B326" s="0" t="s">
        <v>4851</v>
      </c>
      <c r="C326" s="0" t="s">
        <v>4874</v>
      </c>
      <c r="D326" s="0" t="s">
        <v>4875</v>
      </c>
    </row>
    <row customHeight="1" ht="11.25">
      <c r="A327" s="0">
        <v>327</v>
      </c>
      <c r="B327" s="0" t="s">
        <v>4851</v>
      </c>
      <c r="C327" s="0" t="s">
        <v>4876</v>
      </c>
      <c r="D327" s="0" t="s">
        <v>4877</v>
      </c>
    </row>
    <row customHeight="1" ht="11.25">
      <c r="A328" s="0">
        <v>328</v>
      </c>
      <c r="B328" s="0" t="s">
        <v>4878</v>
      </c>
      <c r="C328" s="0" t="s">
        <v>4879</v>
      </c>
      <c r="D328" s="0" t="s">
        <v>4880</v>
      </c>
    </row>
    <row customHeight="1" ht="11.25">
      <c r="A329" s="0">
        <v>329</v>
      </c>
      <c r="B329" s="0" t="s">
        <v>4878</v>
      </c>
      <c r="C329" s="0" t="s">
        <v>4881</v>
      </c>
      <c r="D329" s="0" t="s">
        <v>4882</v>
      </c>
    </row>
    <row customHeight="1" ht="11.25">
      <c r="A330" s="0">
        <v>330</v>
      </c>
      <c r="B330" s="0" t="s">
        <v>4878</v>
      </c>
      <c r="C330" s="0" t="s">
        <v>4883</v>
      </c>
      <c r="D330" s="0" t="s">
        <v>4884</v>
      </c>
    </row>
    <row customHeight="1" ht="11.25">
      <c r="A331" s="0">
        <v>331</v>
      </c>
      <c r="B331" s="0" t="s">
        <v>4878</v>
      </c>
      <c r="C331" s="0" t="s">
        <v>4878</v>
      </c>
      <c r="D331" s="0" t="s">
        <v>4885</v>
      </c>
    </row>
    <row customHeight="1" ht="11.25">
      <c r="A332" s="0">
        <v>332</v>
      </c>
      <c r="B332" s="0" t="s">
        <v>4878</v>
      </c>
      <c r="C332" s="0" t="s">
        <v>4384</v>
      </c>
      <c r="D332" s="0" t="s">
        <v>4886</v>
      </c>
    </row>
    <row customHeight="1" ht="11.25">
      <c r="A333" s="0">
        <v>333</v>
      </c>
      <c r="B333" s="0" t="s">
        <v>4878</v>
      </c>
      <c r="C333" s="0" t="s">
        <v>4887</v>
      </c>
      <c r="D333" s="0" t="s">
        <v>4888</v>
      </c>
    </row>
    <row customHeight="1" ht="11.25">
      <c r="A334" s="0">
        <v>334</v>
      </c>
      <c r="B334" s="0" t="s">
        <v>4878</v>
      </c>
      <c r="C334" s="0" t="s">
        <v>4366</v>
      </c>
      <c r="D334" s="0" t="s">
        <v>4889</v>
      </c>
    </row>
    <row customHeight="1" ht="11.25">
      <c r="A335" s="0">
        <v>335</v>
      </c>
      <c r="B335" s="0" t="s">
        <v>4878</v>
      </c>
      <c r="C335" s="0" t="s">
        <v>4890</v>
      </c>
      <c r="D335" s="0" t="s">
        <v>4891</v>
      </c>
    </row>
    <row customHeight="1" ht="11.25">
      <c r="A336" s="0">
        <v>336</v>
      </c>
      <c r="B336" s="0" t="s">
        <v>4878</v>
      </c>
      <c r="C336" s="0" t="s">
        <v>4892</v>
      </c>
      <c r="D336" s="0" t="s">
        <v>4893</v>
      </c>
    </row>
    <row customHeight="1" ht="11.25">
      <c r="A337" s="0">
        <v>337</v>
      </c>
      <c r="B337" s="0" t="s">
        <v>4894</v>
      </c>
      <c r="C337" s="0" t="s">
        <v>4895</v>
      </c>
      <c r="D337" s="0" t="s">
        <v>4896</v>
      </c>
    </row>
    <row customHeight="1" ht="11.25">
      <c r="A338" s="0">
        <v>338</v>
      </c>
      <c r="B338" s="0" t="s">
        <v>4894</v>
      </c>
      <c r="C338" s="0" t="s">
        <v>4897</v>
      </c>
      <c r="D338" s="0" t="s">
        <v>4898</v>
      </c>
    </row>
    <row customHeight="1" ht="11.25">
      <c r="A339" s="0">
        <v>339</v>
      </c>
      <c r="B339" s="0" t="s">
        <v>4894</v>
      </c>
      <c r="C339" s="0" t="s">
        <v>4899</v>
      </c>
      <c r="D339" s="0" t="s">
        <v>4900</v>
      </c>
    </row>
    <row customHeight="1" ht="11.25">
      <c r="A340" s="0">
        <v>340</v>
      </c>
      <c r="B340" s="0" t="s">
        <v>4894</v>
      </c>
      <c r="C340" s="0" t="s">
        <v>4901</v>
      </c>
      <c r="D340" s="0" t="s">
        <v>4902</v>
      </c>
    </row>
    <row customHeight="1" ht="11.25">
      <c r="A341" s="0">
        <v>341</v>
      </c>
      <c r="B341" s="0" t="s">
        <v>4894</v>
      </c>
      <c r="C341" s="0" t="s">
        <v>4903</v>
      </c>
      <c r="D341" s="0" t="s">
        <v>4904</v>
      </c>
    </row>
    <row customHeight="1" ht="11.25">
      <c r="A342" s="0">
        <v>342</v>
      </c>
      <c r="B342" s="0" t="s">
        <v>4894</v>
      </c>
      <c r="C342" s="0" t="s">
        <v>4894</v>
      </c>
      <c r="D342" s="0" t="s">
        <v>4905</v>
      </c>
    </row>
    <row customHeight="1" ht="11.25">
      <c r="A343" s="0">
        <v>343</v>
      </c>
      <c r="B343" s="0" t="s">
        <v>4894</v>
      </c>
      <c r="C343" s="0" t="s">
        <v>4366</v>
      </c>
      <c r="D343" s="0" t="s">
        <v>4906</v>
      </c>
    </row>
    <row customHeight="1" ht="11.25">
      <c r="A344" s="0">
        <v>344</v>
      </c>
      <c r="B344" s="0" t="s">
        <v>4894</v>
      </c>
      <c r="C344" s="0" t="s">
        <v>4907</v>
      </c>
      <c r="D344" s="0" t="s">
        <v>4908</v>
      </c>
    </row>
    <row customHeight="1" ht="11.25">
      <c r="A345" s="0">
        <v>345</v>
      </c>
      <c r="B345" s="0" t="s">
        <v>4894</v>
      </c>
      <c r="C345" s="0" t="s">
        <v>4909</v>
      </c>
      <c r="D345" s="0" t="s">
        <v>4910</v>
      </c>
    </row>
    <row customHeight="1" ht="11.25">
      <c r="A346" s="0">
        <v>346</v>
      </c>
      <c r="B346" s="0" t="s">
        <v>4894</v>
      </c>
      <c r="C346" s="0" t="s">
        <v>4911</v>
      </c>
      <c r="D346" s="0" t="s">
        <v>4912</v>
      </c>
    </row>
    <row customHeight="1" ht="11.25">
      <c r="A347" s="0">
        <v>347</v>
      </c>
      <c r="B347" s="0" t="s">
        <v>4894</v>
      </c>
      <c r="C347" s="0" t="s">
        <v>4913</v>
      </c>
      <c r="D347" s="0" t="s">
        <v>4914</v>
      </c>
    </row>
    <row customHeight="1" ht="11.25">
      <c r="A348" s="0">
        <v>348</v>
      </c>
      <c r="B348" s="0" t="s">
        <v>4894</v>
      </c>
      <c r="C348" s="0" t="s">
        <v>4915</v>
      </c>
      <c r="D348" s="0" t="s">
        <v>4916</v>
      </c>
    </row>
    <row customHeight="1" ht="11.25">
      <c r="A349" s="0">
        <v>349</v>
      </c>
      <c r="B349" s="0" t="s">
        <v>4894</v>
      </c>
      <c r="C349" s="0" t="s">
        <v>4917</v>
      </c>
      <c r="D349" s="0" t="s">
        <v>4918</v>
      </c>
    </row>
    <row customHeight="1" ht="11.25">
      <c r="A350" s="0">
        <v>350</v>
      </c>
      <c r="B350" s="0" t="s">
        <v>4919</v>
      </c>
      <c r="C350" s="0" t="s">
        <v>4920</v>
      </c>
      <c r="D350" s="0" t="s">
        <v>4921</v>
      </c>
    </row>
    <row customHeight="1" ht="11.25">
      <c r="A351" s="0">
        <v>351</v>
      </c>
      <c r="B351" s="0" t="s">
        <v>4919</v>
      </c>
      <c r="C351" s="0" t="s">
        <v>4922</v>
      </c>
      <c r="D351" s="0" t="s">
        <v>4923</v>
      </c>
    </row>
    <row customHeight="1" ht="11.25">
      <c r="A352" s="0">
        <v>352</v>
      </c>
      <c r="B352" s="0" t="s">
        <v>4919</v>
      </c>
      <c r="C352" s="0" t="s">
        <v>4924</v>
      </c>
      <c r="D352" s="0" t="s">
        <v>4925</v>
      </c>
    </row>
    <row customHeight="1" ht="11.25">
      <c r="A353" s="0">
        <v>353</v>
      </c>
      <c r="B353" s="0" t="s">
        <v>4919</v>
      </c>
      <c r="C353" s="0" t="s">
        <v>4919</v>
      </c>
      <c r="D353" s="0" t="s">
        <v>4926</v>
      </c>
    </row>
    <row customHeight="1" ht="11.25">
      <c r="A354" s="0">
        <v>354</v>
      </c>
      <c r="B354" s="0" t="s">
        <v>4919</v>
      </c>
      <c r="C354" s="0" t="s">
        <v>4927</v>
      </c>
      <c r="D354" s="0" t="s">
        <v>4928</v>
      </c>
    </row>
    <row customHeight="1" ht="11.25">
      <c r="A355" s="0">
        <v>355</v>
      </c>
      <c r="B355" s="0" t="s">
        <v>4919</v>
      </c>
      <c r="C355" s="0" t="s">
        <v>4929</v>
      </c>
      <c r="D355" s="0" t="s">
        <v>4930</v>
      </c>
    </row>
    <row customHeight="1" ht="11.25">
      <c r="A356" s="0">
        <v>356</v>
      </c>
      <c r="B356" s="0" t="s">
        <v>4919</v>
      </c>
      <c r="C356" s="0" t="s">
        <v>4438</v>
      </c>
      <c r="D356" s="0" t="s">
        <v>4931</v>
      </c>
    </row>
    <row customHeight="1" ht="11.25">
      <c r="A357" s="0">
        <v>357</v>
      </c>
      <c r="B357" s="0" t="s">
        <v>4919</v>
      </c>
      <c r="C357" s="0" t="s">
        <v>4932</v>
      </c>
      <c r="D357" s="0" t="s">
        <v>4933</v>
      </c>
    </row>
    <row customHeight="1" ht="11.25">
      <c r="A358" s="0">
        <v>358</v>
      </c>
      <c r="B358" s="0" t="s">
        <v>4934</v>
      </c>
      <c r="C358" s="0" t="s">
        <v>4935</v>
      </c>
      <c r="D358" s="0" t="s">
        <v>4936</v>
      </c>
    </row>
    <row customHeight="1" ht="11.25">
      <c r="A359" s="0">
        <v>359</v>
      </c>
      <c r="B359" s="0" t="s">
        <v>4934</v>
      </c>
      <c r="C359" s="0" t="s">
        <v>4600</v>
      </c>
      <c r="D359" s="0" t="s">
        <v>4937</v>
      </c>
    </row>
    <row customHeight="1" ht="11.25">
      <c r="A360" s="0">
        <v>360</v>
      </c>
      <c r="B360" s="0" t="s">
        <v>4934</v>
      </c>
      <c r="C360" s="0" t="s">
        <v>4938</v>
      </c>
      <c r="D360" s="0" t="s">
        <v>4939</v>
      </c>
    </row>
    <row customHeight="1" ht="11.25">
      <c r="A361" s="0">
        <v>361</v>
      </c>
      <c r="B361" s="0" t="s">
        <v>4934</v>
      </c>
      <c r="C361" s="0" t="s">
        <v>4783</v>
      </c>
      <c r="D361" s="0" t="s">
        <v>4940</v>
      </c>
    </row>
    <row customHeight="1" ht="11.25">
      <c r="A362" s="0">
        <v>362</v>
      </c>
      <c r="B362" s="0" t="s">
        <v>4934</v>
      </c>
      <c r="C362" s="0" t="s">
        <v>4858</v>
      </c>
      <c r="D362" s="0" t="s">
        <v>4941</v>
      </c>
    </row>
    <row customHeight="1" ht="11.25">
      <c r="A363" s="0">
        <v>363</v>
      </c>
      <c r="B363" s="0" t="s">
        <v>4934</v>
      </c>
      <c r="C363" s="0" t="s">
        <v>4464</v>
      </c>
      <c r="D363" s="0" t="s">
        <v>4942</v>
      </c>
    </row>
    <row customHeight="1" ht="11.25">
      <c r="A364" s="0">
        <v>364</v>
      </c>
      <c r="B364" s="0" t="s">
        <v>4934</v>
      </c>
      <c r="C364" s="0" t="s">
        <v>4943</v>
      </c>
      <c r="D364" s="0" t="s">
        <v>4944</v>
      </c>
    </row>
    <row customHeight="1" ht="11.25">
      <c r="A365" s="0">
        <v>365</v>
      </c>
      <c r="B365" s="0" t="s">
        <v>4934</v>
      </c>
      <c r="C365" s="0" t="s">
        <v>4934</v>
      </c>
      <c r="D365" s="0" t="s">
        <v>4945</v>
      </c>
    </row>
    <row customHeight="1" ht="11.25">
      <c r="A366" s="0">
        <v>366</v>
      </c>
      <c r="B366" s="0" t="s">
        <v>4934</v>
      </c>
      <c r="C366" s="0" t="s">
        <v>4946</v>
      </c>
      <c r="D366" s="0" t="s">
        <v>4947</v>
      </c>
    </row>
    <row customHeight="1" ht="11.25">
      <c r="A367" s="0">
        <v>367</v>
      </c>
      <c r="B367" s="0" t="s">
        <v>4934</v>
      </c>
      <c r="C367" s="0" t="s">
        <v>4948</v>
      </c>
      <c r="D367" s="0" t="s">
        <v>4949</v>
      </c>
    </row>
    <row customHeight="1" ht="11.25">
      <c r="A368" s="0">
        <v>368</v>
      </c>
      <c r="B368" s="0" t="s">
        <v>4934</v>
      </c>
      <c r="C368" s="0" t="s">
        <v>4950</v>
      </c>
      <c r="D368" s="0" t="s">
        <v>4951</v>
      </c>
    </row>
    <row customHeight="1" ht="11.25">
      <c r="A369" s="0">
        <v>369</v>
      </c>
      <c r="B369" s="0" t="s">
        <v>4934</v>
      </c>
      <c r="C369" s="0" t="s">
        <v>4952</v>
      </c>
      <c r="D369" s="0" t="s">
        <v>4953</v>
      </c>
    </row>
    <row customHeight="1" ht="11.25">
      <c r="A370" s="0">
        <v>370</v>
      </c>
      <c r="B370" s="0" t="s">
        <v>4934</v>
      </c>
      <c r="C370" s="0" t="s">
        <v>4954</v>
      </c>
      <c r="D370" s="0" t="s">
        <v>4955</v>
      </c>
    </row>
    <row customHeight="1" ht="11.25">
      <c r="A371" s="0">
        <v>371</v>
      </c>
      <c r="B371" s="0" t="s">
        <v>4934</v>
      </c>
      <c r="C371" s="0" t="s">
        <v>4956</v>
      </c>
      <c r="D371" s="0" t="s">
        <v>4957</v>
      </c>
    </row>
    <row customHeight="1" ht="11.25">
      <c r="A372" s="0">
        <v>372</v>
      </c>
      <c r="B372" s="0" t="s">
        <v>4934</v>
      </c>
      <c r="C372" s="0" t="s">
        <v>4958</v>
      </c>
      <c r="D372" s="0" t="s">
        <v>4959</v>
      </c>
    </row>
    <row customHeight="1" ht="11.25">
      <c r="A373" s="0">
        <v>373</v>
      </c>
      <c r="B373" s="0" t="s">
        <v>4934</v>
      </c>
      <c r="C373" s="0" t="s">
        <v>4960</v>
      </c>
      <c r="D373" s="0" t="s">
        <v>4961</v>
      </c>
    </row>
    <row customHeight="1" ht="11.25">
      <c r="A374" s="0">
        <v>374</v>
      </c>
      <c r="B374" s="0" t="s">
        <v>4962</v>
      </c>
      <c r="C374" s="0" t="s">
        <v>4963</v>
      </c>
      <c r="D374" s="0" t="s">
        <v>4964</v>
      </c>
    </row>
    <row customHeight="1" ht="11.25">
      <c r="A375" s="0">
        <v>375</v>
      </c>
      <c r="B375" s="0" t="s">
        <v>4962</v>
      </c>
      <c r="C375" s="0" t="s">
        <v>4965</v>
      </c>
      <c r="D375" s="0" t="s">
        <v>4966</v>
      </c>
    </row>
    <row customHeight="1" ht="11.25">
      <c r="A376" s="0">
        <v>376</v>
      </c>
      <c r="B376" s="0" t="s">
        <v>4962</v>
      </c>
      <c r="C376" s="0" t="s">
        <v>4967</v>
      </c>
      <c r="D376" s="0" t="s">
        <v>4968</v>
      </c>
    </row>
    <row customHeight="1" ht="11.25">
      <c r="A377" s="0">
        <v>377</v>
      </c>
      <c r="B377" s="0" t="s">
        <v>4962</v>
      </c>
      <c r="C377" s="0" t="s">
        <v>4969</v>
      </c>
      <c r="D377" s="0" t="s">
        <v>4970</v>
      </c>
    </row>
    <row customHeight="1" ht="11.25">
      <c r="A378" s="0">
        <v>378</v>
      </c>
      <c r="B378" s="0" t="s">
        <v>4962</v>
      </c>
      <c r="C378" s="0" t="s">
        <v>4971</v>
      </c>
      <c r="D378" s="0" t="s">
        <v>4972</v>
      </c>
    </row>
    <row customHeight="1" ht="11.25">
      <c r="A379" s="0">
        <v>379</v>
      </c>
      <c r="B379" s="0" t="s">
        <v>4962</v>
      </c>
      <c r="C379" s="0" t="s">
        <v>4962</v>
      </c>
      <c r="D379" s="0" t="s">
        <v>4973</v>
      </c>
    </row>
    <row customHeight="1" ht="11.25">
      <c r="A380" s="0">
        <v>380</v>
      </c>
      <c r="B380" s="0" t="s">
        <v>4962</v>
      </c>
      <c r="C380" s="0" t="s">
        <v>4974</v>
      </c>
      <c r="D380" s="0" t="s">
        <v>4975</v>
      </c>
    </row>
    <row customHeight="1" ht="11.25">
      <c r="A381" s="0">
        <v>381</v>
      </c>
      <c r="B381" s="0" t="s">
        <v>4962</v>
      </c>
      <c r="C381" s="0" t="s">
        <v>4976</v>
      </c>
      <c r="D381" s="0" t="s">
        <v>4977</v>
      </c>
    </row>
    <row customHeight="1" ht="11.25">
      <c r="A382" s="0">
        <v>382</v>
      </c>
      <c r="B382" s="0" t="s">
        <v>4962</v>
      </c>
      <c r="C382" s="0" t="s">
        <v>4978</v>
      </c>
      <c r="D382" s="0" t="s">
        <v>4979</v>
      </c>
    </row>
    <row customHeight="1" ht="11.25">
      <c r="A383" s="0">
        <v>383</v>
      </c>
      <c r="B383" s="0" t="s">
        <v>4962</v>
      </c>
      <c r="C383" s="0" t="s">
        <v>4980</v>
      </c>
      <c r="D383" s="0" t="s">
        <v>4981</v>
      </c>
    </row>
    <row customHeight="1" ht="11.25">
      <c r="A384" s="0">
        <v>384</v>
      </c>
      <c r="B384" s="0" t="s">
        <v>4982</v>
      </c>
      <c r="C384" s="0" t="s">
        <v>4983</v>
      </c>
      <c r="D384" s="0" t="s">
        <v>4984</v>
      </c>
    </row>
    <row customHeight="1" ht="11.25">
      <c r="A385" s="0">
        <v>385</v>
      </c>
      <c r="B385" s="0" t="s">
        <v>4982</v>
      </c>
      <c r="C385" s="0" t="s">
        <v>4985</v>
      </c>
      <c r="D385" s="0" t="s">
        <v>4986</v>
      </c>
    </row>
    <row customHeight="1" ht="11.25">
      <c r="A386" s="0">
        <v>386</v>
      </c>
      <c r="B386" s="0" t="s">
        <v>4982</v>
      </c>
      <c r="C386" s="0" t="s">
        <v>4419</v>
      </c>
      <c r="D386" s="0" t="s">
        <v>4987</v>
      </c>
    </row>
    <row customHeight="1" ht="11.25">
      <c r="A387" s="0">
        <v>387</v>
      </c>
      <c r="B387" s="0" t="s">
        <v>4982</v>
      </c>
      <c r="C387" s="0" t="s">
        <v>4988</v>
      </c>
      <c r="D387" s="0" t="s">
        <v>4989</v>
      </c>
    </row>
    <row customHeight="1" ht="11.25">
      <c r="A388" s="0">
        <v>388</v>
      </c>
      <c r="B388" s="0" t="s">
        <v>4982</v>
      </c>
      <c r="C388" s="0" t="s">
        <v>4990</v>
      </c>
      <c r="D388" s="0" t="s">
        <v>4991</v>
      </c>
    </row>
    <row customHeight="1" ht="11.25">
      <c r="A389" s="0">
        <v>389</v>
      </c>
      <c r="B389" s="0" t="s">
        <v>4982</v>
      </c>
      <c r="C389" s="0" t="s">
        <v>4992</v>
      </c>
      <c r="D389" s="0" t="s">
        <v>4993</v>
      </c>
    </row>
    <row customHeight="1" ht="11.25">
      <c r="A390" s="0">
        <v>390</v>
      </c>
      <c r="B390" s="0" t="s">
        <v>4982</v>
      </c>
      <c r="C390" s="0" t="s">
        <v>4994</v>
      </c>
      <c r="D390" s="0" t="s">
        <v>4995</v>
      </c>
    </row>
    <row customHeight="1" ht="11.25">
      <c r="A391" s="0">
        <v>391</v>
      </c>
      <c r="B391" s="0" t="s">
        <v>4982</v>
      </c>
      <c r="C391" s="0" t="s">
        <v>4996</v>
      </c>
      <c r="D391" s="0" t="s">
        <v>4997</v>
      </c>
    </row>
    <row customHeight="1" ht="11.25">
      <c r="A392" s="0">
        <v>392</v>
      </c>
      <c r="B392" s="0" t="s">
        <v>4982</v>
      </c>
      <c r="C392" s="0" t="s">
        <v>4998</v>
      </c>
      <c r="D392" s="0" t="s">
        <v>4999</v>
      </c>
    </row>
    <row customHeight="1" ht="11.25">
      <c r="A393" s="0">
        <v>393</v>
      </c>
      <c r="B393" s="0" t="s">
        <v>4982</v>
      </c>
      <c r="C393" s="0" t="s">
        <v>5000</v>
      </c>
      <c r="D393" s="0" t="s">
        <v>5001</v>
      </c>
    </row>
    <row customHeight="1" ht="11.25">
      <c r="A394" s="0">
        <v>394</v>
      </c>
      <c r="B394" s="0" t="s">
        <v>4982</v>
      </c>
      <c r="C394" s="0" t="s">
        <v>4982</v>
      </c>
      <c r="D394" s="0" t="s">
        <v>5002</v>
      </c>
    </row>
    <row customHeight="1" ht="11.25">
      <c r="A395" s="0">
        <v>395</v>
      </c>
      <c r="B395" s="0" t="s">
        <v>4982</v>
      </c>
      <c r="C395" s="0" t="s">
        <v>4344</v>
      </c>
      <c r="D395" s="0" t="s">
        <v>5003</v>
      </c>
    </row>
    <row customHeight="1" ht="11.25">
      <c r="A396" s="0">
        <v>396</v>
      </c>
      <c r="B396" s="0" t="s">
        <v>4982</v>
      </c>
      <c r="C396" s="0" t="s">
        <v>5004</v>
      </c>
      <c r="D396" s="0" t="s">
        <v>5005</v>
      </c>
    </row>
    <row customHeight="1" ht="11.25">
      <c r="A397" s="0">
        <v>397</v>
      </c>
      <c r="B397" s="0" t="s">
        <v>4982</v>
      </c>
      <c r="C397" s="0" t="s">
        <v>5006</v>
      </c>
      <c r="D397" s="0" t="s">
        <v>5007</v>
      </c>
    </row>
    <row customHeight="1" ht="11.25">
      <c r="A398" s="0">
        <v>398</v>
      </c>
      <c r="B398" s="0" t="s">
        <v>4982</v>
      </c>
      <c r="C398" s="0" t="s">
        <v>5008</v>
      </c>
      <c r="D398" s="0" t="s">
        <v>5009</v>
      </c>
    </row>
    <row customHeight="1" ht="11.25">
      <c r="A399" s="0">
        <v>399</v>
      </c>
      <c r="B399" s="0" t="s">
        <v>4982</v>
      </c>
      <c r="C399" s="0" t="s">
        <v>5010</v>
      </c>
      <c r="D399" s="0" t="s">
        <v>5011</v>
      </c>
    </row>
    <row customHeight="1" ht="11.25">
      <c r="A400" s="0">
        <v>400</v>
      </c>
      <c r="B400" s="0" t="s">
        <v>4982</v>
      </c>
      <c r="C400" s="0" t="s">
        <v>5012</v>
      </c>
      <c r="D400" s="0" t="s">
        <v>5013</v>
      </c>
    </row>
    <row customHeight="1" ht="11.25">
      <c r="A401" s="0">
        <v>401</v>
      </c>
      <c r="B401" s="0" t="s">
        <v>4982</v>
      </c>
      <c r="C401" s="0" t="s">
        <v>5014</v>
      </c>
      <c r="D401" s="0" t="s">
        <v>5015</v>
      </c>
    </row>
    <row customHeight="1" ht="11.25">
      <c r="A402" s="0">
        <v>402</v>
      </c>
      <c r="B402" s="0" t="s">
        <v>4982</v>
      </c>
      <c r="C402" s="0" t="s">
        <v>5016</v>
      </c>
      <c r="D402" s="0" t="s">
        <v>5017</v>
      </c>
    </row>
    <row customHeight="1" ht="11.25">
      <c r="A403" s="0">
        <v>403</v>
      </c>
      <c r="B403" s="0" t="s">
        <v>5018</v>
      </c>
      <c r="C403" s="0" t="s">
        <v>4355</v>
      </c>
      <c r="D403" s="0" t="s">
        <v>5019</v>
      </c>
    </row>
    <row customHeight="1" ht="11.25">
      <c r="A404" s="0">
        <v>404</v>
      </c>
      <c r="B404" s="0" t="s">
        <v>5018</v>
      </c>
      <c r="C404" s="0" t="s">
        <v>5020</v>
      </c>
      <c r="D404" s="0" t="s">
        <v>5021</v>
      </c>
    </row>
    <row customHeight="1" ht="11.25">
      <c r="A405" s="0">
        <v>405</v>
      </c>
      <c r="B405" s="0" t="s">
        <v>5018</v>
      </c>
      <c r="C405" s="0" t="s">
        <v>5022</v>
      </c>
      <c r="D405" s="0" t="s">
        <v>5023</v>
      </c>
    </row>
    <row customHeight="1" ht="11.25">
      <c r="A406" s="0">
        <v>406</v>
      </c>
      <c r="B406" s="0" t="s">
        <v>5018</v>
      </c>
      <c r="C406" s="0" t="s">
        <v>4502</v>
      </c>
      <c r="D406" s="0" t="s">
        <v>5024</v>
      </c>
    </row>
    <row customHeight="1" ht="11.25">
      <c r="A407" s="0">
        <v>407</v>
      </c>
      <c r="B407" s="0" t="s">
        <v>5018</v>
      </c>
      <c r="C407" s="0" t="s">
        <v>4366</v>
      </c>
      <c r="D407" s="0" t="s">
        <v>5025</v>
      </c>
    </row>
    <row customHeight="1" ht="11.25">
      <c r="A408" s="0">
        <v>408</v>
      </c>
      <c r="B408" s="0" t="s">
        <v>5018</v>
      </c>
      <c r="C408" s="0" t="s">
        <v>5026</v>
      </c>
      <c r="D408" s="0" t="s">
        <v>5027</v>
      </c>
    </row>
    <row customHeight="1" ht="11.25">
      <c r="A409" s="0">
        <v>409</v>
      </c>
      <c r="B409" s="0" t="s">
        <v>5018</v>
      </c>
      <c r="C409" s="0" t="s">
        <v>5028</v>
      </c>
      <c r="D409" s="0" t="s">
        <v>5029</v>
      </c>
    </row>
    <row customHeight="1" ht="11.25">
      <c r="A410" s="0">
        <v>410</v>
      </c>
      <c r="B410" s="0" t="s">
        <v>5018</v>
      </c>
      <c r="C410" s="0" t="s">
        <v>5018</v>
      </c>
      <c r="D410" s="0" t="s">
        <v>5030</v>
      </c>
    </row>
    <row customHeight="1" ht="11.25">
      <c r="A411" s="0">
        <v>411</v>
      </c>
      <c r="B411" s="0" t="s">
        <v>5018</v>
      </c>
      <c r="C411" s="0" t="s">
        <v>5031</v>
      </c>
      <c r="D411" s="0" t="s">
        <v>5032</v>
      </c>
    </row>
    <row customHeight="1" ht="11.25">
      <c r="A412" s="0">
        <v>412</v>
      </c>
      <c r="B412" s="0" t="s">
        <v>5018</v>
      </c>
      <c r="C412" s="0" t="s">
        <v>5033</v>
      </c>
      <c r="D412" s="0" t="s">
        <v>5034</v>
      </c>
    </row>
    <row customHeight="1" ht="11.25">
      <c r="A413" s="0">
        <v>413</v>
      </c>
      <c r="B413" s="0" t="s">
        <v>5035</v>
      </c>
      <c r="C413" s="0" t="s">
        <v>5036</v>
      </c>
      <c r="D413" s="0" t="s">
        <v>5037</v>
      </c>
    </row>
    <row customHeight="1" ht="11.25">
      <c r="A414" s="0">
        <v>414</v>
      </c>
      <c r="B414" s="0" t="s">
        <v>5035</v>
      </c>
      <c r="C414" s="0" t="s">
        <v>5038</v>
      </c>
      <c r="D414" s="0" t="s">
        <v>5039</v>
      </c>
    </row>
    <row customHeight="1" ht="11.25">
      <c r="A415" s="0">
        <v>415</v>
      </c>
      <c r="B415" s="0" t="s">
        <v>5035</v>
      </c>
      <c r="C415" s="0" t="s">
        <v>5040</v>
      </c>
      <c r="D415" s="0" t="s">
        <v>5041</v>
      </c>
    </row>
    <row customHeight="1" ht="11.25">
      <c r="A416" s="0">
        <v>416</v>
      </c>
      <c r="B416" s="0" t="s">
        <v>5035</v>
      </c>
      <c r="C416" s="0" t="s">
        <v>5042</v>
      </c>
      <c r="D416" s="0" t="s">
        <v>5043</v>
      </c>
    </row>
    <row customHeight="1" ht="11.25">
      <c r="A417" s="0">
        <v>417</v>
      </c>
      <c r="B417" s="0" t="s">
        <v>5035</v>
      </c>
      <c r="C417" s="0" t="s">
        <v>5044</v>
      </c>
      <c r="D417" s="0" t="s">
        <v>5045</v>
      </c>
    </row>
    <row customHeight="1" ht="11.25">
      <c r="A418" s="0">
        <v>418</v>
      </c>
      <c r="B418" s="0" t="s">
        <v>5035</v>
      </c>
      <c r="C418" s="0" t="s">
        <v>5046</v>
      </c>
      <c r="D418" s="0" t="s">
        <v>5047</v>
      </c>
    </row>
    <row customHeight="1" ht="11.25">
      <c r="A419" s="0">
        <v>419</v>
      </c>
      <c r="B419" s="0" t="s">
        <v>5035</v>
      </c>
      <c r="C419" s="0" t="s">
        <v>4867</v>
      </c>
      <c r="D419" s="0" t="s">
        <v>5048</v>
      </c>
    </row>
    <row customHeight="1" ht="11.25">
      <c r="A420" s="0">
        <v>420</v>
      </c>
      <c r="B420" s="0" t="s">
        <v>5035</v>
      </c>
      <c r="C420" s="0" t="s">
        <v>4366</v>
      </c>
      <c r="D420" s="0" t="s">
        <v>5049</v>
      </c>
    </row>
    <row customHeight="1" ht="11.25">
      <c r="A421" s="0">
        <v>421</v>
      </c>
      <c r="B421" s="0" t="s">
        <v>5035</v>
      </c>
      <c r="C421" s="0" t="s">
        <v>5050</v>
      </c>
      <c r="D421" s="0" t="s">
        <v>5051</v>
      </c>
    </row>
    <row customHeight="1" ht="11.25">
      <c r="A422" s="0">
        <v>422</v>
      </c>
      <c r="B422" s="0" t="s">
        <v>5035</v>
      </c>
      <c r="C422" s="0" t="s">
        <v>5052</v>
      </c>
      <c r="D422" s="0" t="s">
        <v>5053</v>
      </c>
    </row>
    <row customHeight="1" ht="11.25">
      <c r="A423" s="0">
        <v>423</v>
      </c>
      <c r="B423" s="0" t="s">
        <v>5035</v>
      </c>
      <c r="C423" s="0" t="s">
        <v>5035</v>
      </c>
      <c r="D423" s="0" t="s">
        <v>5054</v>
      </c>
    </row>
    <row customHeight="1" ht="11.25">
      <c r="A424" s="0">
        <v>424</v>
      </c>
      <c r="B424" s="0" t="s">
        <v>5035</v>
      </c>
      <c r="C424" s="0" t="s">
        <v>5055</v>
      </c>
      <c r="D424" s="0" t="s">
        <v>5056</v>
      </c>
    </row>
    <row customHeight="1" ht="11.25">
      <c r="A425" s="0">
        <v>425</v>
      </c>
      <c r="B425" s="0" t="s">
        <v>5057</v>
      </c>
      <c r="C425" s="0" t="s">
        <v>4289</v>
      </c>
      <c r="D425" s="0" t="s">
        <v>5058</v>
      </c>
    </row>
    <row customHeight="1" ht="11.25">
      <c r="A426" s="0">
        <v>426</v>
      </c>
      <c r="B426" s="0" t="s">
        <v>5057</v>
      </c>
      <c r="C426" s="0" t="s">
        <v>5059</v>
      </c>
      <c r="D426" s="0" t="s">
        <v>5060</v>
      </c>
    </row>
    <row customHeight="1" ht="11.25">
      <c r="A427" s="0">
        <v>427</v>
      </c>
      <c r="B427" s="0" t="s">
        <v>5057</v>
      </c>
      <c r="C427" s="0" t="s">
        <v>5061</v>
      </c>
      <c r="D427" s="0" t="s">
        <v>5062</v>
      </c>
    </row>
    <row customHeight="1" ht="11.25">
      <c r="A428" s="0">
        <v>428</v>
      </c>
      <c r="B428" s="0" t="s">
        <v>5057</v>
      </c>
      <c r="C428" s="0" t="s">
        <v>5063</v>
      </c>
      <c r="D428" s="0" t="s">
        <v>5064</v>
      </c>
    </row>
    <row customHeight="1" ht="11.25">
      <c r="A429" s="0">
        <v>429</v>
      </c>
      <c r="B429" s="0" t="s">
        <v>5057</v>
      </c>
      <c r="C429" s="0" t="s">
        <v>5065</v>
      </c>
      <c r="D429" s="0" t="s">
        <v>5066</v>
      </c>
    </row>
    <row customHeight="1" ht="11.25">
      <c r="A430" s="0">
        <v>430</v>
      </c>
      <c r="B430" s="0" t="s">
        <v>5057</v>
      </c>
      <c r="C430" s="0" t="s">
        <v>5067</v>
      </c>
      <c r="D430" s="0" t="s">
        <v>5068</v>
      </c>
    </row>
    <row customHeight="1" ht="11.25">
      <c r="A431" s="0">
        <v>431</v>
      </c>
      <c r="B431" s="0" t="s">
        <v>5057</v>
      </c>
      <c r="C431" s="0" t="s">
        <v>5069</v>
      </c>
      <c r="D431" s="0" t="s">
        <v>5070</v>
      </c>
    </row>
    <row customHeight="1" ht="11.25">
      <c r="A432" s="0">
        <v>432</v>
      </c>
      <c r="B432" s="0" t="s">
        <v>5057</v>
      </c>
      <c r="C432" s="0" t="s">
        <v>5071</v>
      </c>
      <c r="D432" s="0" t="s">
        <v>5072</v>
      </c>
    </row>
    <row customHeight="1" ht="11.25">
      <c r="A433" s="0">
        <v>433</v>
      </c>
      <c r="B433" s="0" t="s">
        <v>5057</v>
      </c>
      <c r="C433" s="0" t="s">
        <v>5073</v>
      </c>
      <c r="D433" s="0" t="s">
        <v>5074</v>
      </c>
    </row>
    <row customHeight="1" ht="11.25">
      <c r="A434" s="0">
        <v>434</v>
      </c>
      <c r="B434" s="0" t="s">
        <v>5057</v>
      </c>
      <c r="C434" s="0" t="s">
        <v>5057</v>
      </c>
      <c r="D434" s="0" t="s">
        <v>5075</v>
      </c>
    </row>
    <row customHeight="1" ht="11.25">
      <c r="A435" s="0">
        <v>435</v>
      </c>
      <c r="B435" s="0" t="s">
        <v>5057</v>
      </c>
      <c r="C435" s="0" t="s">
        <v>5076</v>
      </c>
      <c r="D435" s="0" t="s">
        <v>5077</v>
      </c>
    </row>
    <row customHeight="1" ht="11.25">
      <c r="A436" s="0">
        <v>436</v>
      </c>
      <c r="B436" s="0" t="s">
        <v>5057</v>
      </c>
      <c r="C436" s="0" t="s">
        <v>5078</v>
      </c>
      <c r="D436" s="0" t="s">
        <v>5079</v>
      </c>
    </row>
    <row customHeight="1" ht="11.25">
      <c r="A437" s="0">
        <v>437</v>
      </c>
      <c r="B437" s="0" t="s">
        <v>5057</v>
      </c>
      <c r="C437" s="0" t="s">
        <v>5080</v>
      </c>
      <c r="D437" s="0" t="s">
        <v>5081</v>
      </c>
    </row>
    <row customHeight="1" ht="11.25">
      <c r="A438" s="0">
        <v>438</v>
      </c>
      <c r="B438" s="0" t="s">
        <v>5057</v>
      </c>
      <c r="C438" s="0" t="s">
        <v>5082</v>
      </c>
      <c r="D438" s="0" t="s">
        <v>5083</v>
      </c>
    </row>
    <row customHeight="1" ht="11.25">
      <c r="A439" s="0">
        <v>439</v>
      </c>
      <c r="B439" s="0" t="s">
        <v>5084</v>
      </c>
      <c r="C439" s="0" t="s">
        <v>5085</v>
      </c>
      <c r="D439" s="0" t="s">
        <v>5086</v>
      </c>
    </row>
    <row customHeight="1" ht="11.25">
      <c r="A440" s="0">
        <v>440</v>
      </c>
      <c r="B440" s="0" t="s">
        <v>5084</v>
      </c>
      <c r="C440" s="0" t="s">
        <v>5087</v>
      </c>
      <c r="D440" s="0" t="s">
        <v>5088</v>
      </c>
    </row>
    <row customHeight="1" ht="11.25">
      <c r="A441" s="0">
        <v>441</v>
      </c>
      <c r="B441" s="0" t="s">
        <v>5084</v>
      </c>
      <c r="C441" s="0" t="s">
        <v>5089</v>
      </c>
      <c r="D441" s="0" t="s">
        <v>5090</v>
      </c>
    </row>
    <row customHeight="1" ht="11.25">
      <c r="A442" s="0">
        <v>442</v>
      </c>
      <c r="B442" s="0" t="s">
        <v>5084</v>
      </c>
      <c r="C442" s="0" t="s">
        <v>5091</v>
      </c>
      <c r="D442" s="0" t="s">
        <v>5092</v>
      </c>
    </row>
    <row customHeight="1" ht="11.25">
      <c r="A443" s="0">
        <v>443</v>
      </c>
      <c r="B443" s="0" t="s">
        <v>5084</v>
      </c>
      <c r="C443" s="0" t="s">
        <v>4668</v>
      </c>
      <c r="D443" s="0" t="s">
        <v>5093</v>
      </c>
    </row>
    <row customHeight="1" ht="11.25">
      <c r="A444" s="0">
        <v>444</v>
      </c>
      <c r="B444" s="0" t="s">
        <v>5084</v>
      </c>
      <c r="C444" s="0" t="s">
        <v>5094</v>
      </c>
      <c r="D444" s="0" t="s">
        <v>5095</v>
      </c>
    </row>
    <row customHeight="1" ht="11.25">
      <c r="A445" s="0">
        <v>445</v>
      </c>
      <c r="B445" s="0" t="s">
        <v>5084</v>
      </c>
      <c r="C445" s="0" t="s">
        <v>5084</v>
      </c>
      <c r="D445" s="0" t="s">
        <v>5096</v>
      </c>
    </row>
    <row customHeight="1" ht="11.25">
      <c r="A446" s="0">
        <v>446</v>
      </c>
      <c r="B446" s="0" t="s">
        <v>5084</v>
      </c>
      <c r="C446" s="0" t="s">
        <v>5097</v>
      </c>
      <c r="D446" s="0" t="s">
        <v>5098</v>
      </c>
    </row>
    <row customHeight="1" ht="11.25">
      <c r="A447" s="0">
        <v>447</v>
      </c>
      <c r="B447" s="0" t="s">
        <v>5084</v>
      </c>
      <c r="C447" s="0" t="s">
        <v>5099</v>
      </c>
      <c r="D447" s="0" t="s">
        <v>5100</v>
      </c>
    </row>
    <row customHeight="1" ht="11.25">
      <c r="A448" s="0">
        <v>448</v>
      </c>
      <c r="B448" s="0" t="s">
        <v>5084</v>
      </c>
      <c r="C448" s="0" t="s">
        <v>5101</v>
      </c>
      <c r="D448" s="0" t="s">
        <v>5102</v>
      </c>
    </row>
    <row customHeight="1" ht="11.25">
      <c r="A449" s="0">
        <v>449</v>
      </c>
      <c r="B449" s="0" t="s">
        <v>5084</v>
      </c>
      <c r="C449" s="0" t="s">
        <v>5103</v>
      </c>
      <c r="D449" s="0" t="s">
        <v>5104</v>
      </c>
    </row>
    <row customHeight="1" ht="11.25">
      <c r="A450" s="0">
        <v>450</v>
      </c>
      <c r="B450" s="0" t="s">
        <v>5084</v>
      </c>
      <c r="C450" s="0" t="s">
        <v>5105</v>
      </c>
      <c r="D450" s="0" t="s">
        <v>5106</v>
      </c>
    </row>
    <row customHeight="1" ht="11.25">
      <c r="A451" s="0">
        <v>451</v>
      </c>
      <c r="B451" s="0" t="s">
        <v>5084</v>
      </c>
      <c r="C451" s="0" t="s">
        <v>5107</v>
      </c>
      <c r="D451" s="0" t="s">
        <v>5108</v>
      </c>
    </row>
    <row customHeight="1" ht="11.25">
      <c r="A452" s="0">
        <v>452</v>
      </c>
      <c r="B452" s="0" t="s">
        <v>5109</v>
      </c>
      <c r="C452" s="0" t="s">
        <v>5110</v>
      </c>
      <c r="D452" s="0" t="s">
        <v>5111</v>
      </c>
    </row>
    <row customHeight="1" ht="11.25">
      <c r="A453" s="0">
        <v>453</v>
      </c>
      <c r="B453" s="0" t="s">
        <v>5109</v>
      </c>
      <c r="C453" s="0" t="s">
        <v>5112</v>
      </c>
      <c r="D453" s="0" t="s">
        <v>5113</v>
      </c>
    </row>
    <row customHeight="1" ht="11.25">
      <c r="A454" s="0">
        <v>454</v>
      </c>
      <c r="B454" s="0" t="s">
        <v>5109</v>
      </c>
      <c r="C454" s="0" t="s">
        <v>5114</v>
      </c>
      <c r="D454" s="0" t="s">
        <v>5115</v>
      </c>
    </row>
    <row customHeight="1" ht="11.25">
      <c r="A455" s="0">
        <v>455</v>
      </c>
      <c r="B455" s="0" t="s">
        <v>5109</v>
      </c>
      <c r="C455" s="0" t="s">
        <v>5116</v>
      </c>
      <c r="D455" s="0" t="s">
        <v>5117</v>
      </c>
    </row>
    <row customHeight="1" ht="11.25">
      <c r="A456" s="0">
        <v>456</v>
      </c>
      <c r="B456" s="0" t="s">
        <v>5109</v>
      </c>
      <c r="C456" s="0" t="s">
        <v>5118</v>
      </c>
      <c r="D456" s="0" t="s">
        <v>5119</v>
      </c>
    </row>
    <row customHeight="1" ht="11.25">
      <c r="A457" s="0">
        <v>457</v>
      </c>
      <c r="B457" s="0" t="s">
        <v>5109</v>
      </c>
      <c r="C457" s="0" t="s">
        <v>4781</v>
      </c>
      <c r="D457" s="0" t="s">
        <v>5120</v>
      </c>
    </row>
    <row customHeight="1" ht="11.25">
      <c r="A458" s="0">
        <v>458</v>
      </c>
      <c r="B458" s="0" t="s">
        <v>5109</v>
      </c>
      <c r="C458" s="0" t="s">
        <v>5121</v>
      </c>
      <c r="D458" s="0" t="s">
        <v>5122</v>
      </c>
    </row>
    <row customHeight="1" ht="11.25">
      <c r="A459" s="0">
        <v>459</v>
      </c>
      <c r="B459" s="0" t="s">
        <v>5109</v>
      </c>
      <c r="C459" s="0" t="s">
        <v>5123</v>
      </c>
      <c r="D459" s="0" t="s">
        <v>5124</v>
      </c>
    </row>
    <row customHeight="1" ht="11.25">
      <c r="A460" s="0">
        <v>460</v>
      </c>
      <c r="B460" s="0" t="s">
        <v>5109</v>
      </c>
      <c r="C460" s="0" t="s">
        <v>5125</v>
      </c>
      <c r="D460" s="0" t="s">
        <v>5126</v>
      </c>
    </row>
    <row customHeight="1" ht="11.25">
      <c r="A461" s="0">
        <v>461</v>
      </c>
      <c r="B461" s="0" t="s">
        <v>5109</v>
      </c>
      <c r="C461" s="0" t="s">
        <v>5109</v>
      </c>
      <c r="D461" s="0" t="s">
        <v>5127</v>
      </c>
    </row>
    <row customHeight="1" ht="11.25">
      <c r="A462" s="0">
        <v>462</v>
      </c>
      <c r="B462" s="0" t="s">
        <v>5109</v>
      </c>
      <c r="C462" s="0" t="s">
        <v>4978</v>
      </c>
      <c r="D462" s="0" t="s">
        <v>5128</v>
      </c>
    </row>
    <row customHeight="1" ht="11.25">
      <c r="A463" s="0">
        <v>463</v>
      </c>
      <c r="B463" s="0" t="s">
        <v>5109</v>
      </c>
      <c r="C463" s="0" t="s">
        <v>5129</v>
      </c>
      <c r="D463" s="0" t="s">
        <v>5130</v>
      </c>
    </row>
    <row customHeight="1" ht="11.25">
      <c r="A464" s="0">
        <v>464</v>
      </c>
      <c r="B464" s="0" t="s">
        <v>5109</v>
      </c>
      <c r="C464" s="0" t="s">
        <v>5131</v>
      </c>
      <c r="D464" s="0" t="s">
        <v>5132</v>
      </c>
    </row>
    <row customHeight="1" ht="11.25">
      <c r="A465" s="0">
        <v>465</v>
      </c>
      <c r="B465" s="0" t="s">
        <v>5133</v>
      </c>
      <c r="C465" s="0" t="s">
        <v>5134</v>
      </c>
      <c r="D465" s="0" t="s">
        <v>5135</v>
      </c>
    </row>
    <row customHeight="1" ht="11.25">
      <c r="A466" s="0">
        <v>466</v>
      </c>
      <c r="B466" s="0" t="s">
        <v>5133</v>
      </c>
      <c r="C466" s="0" t="s">
        <v>5136</v>
      </c>
      <c r="D466" s="0" t="s">
        <v>5137</v>
      </c>
    </row>
    <row customHeight="1" ht="11.25">
      <c r="A467" s="0">
        <v>467</v>
      </c>
      <c r="B467" s="0" t="s">
        <v>5133</v>
      </c>
      <c r="C467" s="0" t="s">
        <v>5138</v>
      </c>
      <c r="D467" s="0" t="s">
        <v>5139</v>
      </c>
    </row>
    <row customHeight="1" ht="11.25">
      <c r="A468" s="0">
        <v>468</v>
      </c>
      <c r="B468" s="0" t="s">
        <v>5133</v>
      </c>
      <c r="C468" s="0" t="s">
        <v>5140</v>
      </c>
      <c r="D468" s="0" t="s">
        <v>5141</v>
      </c>
    </row>
    <row customHeight="1" ht="11.25">
      <c r="A469" s="0">
        <v>469</v>
      </c>
      <c r="B469" s="0" t="s">
        <v>5133</v>
      </c>
      <c r="C469" s="0" t="s">
        <v>5142</v>
      </c>
      <c r="D469" s="0" t="s">
        <v>5143</v>
      </c>
    </row>
    <row customHeight="1" ht="11.25">
      <c r="A470" s="0">
        <v>470</v>
      </c>
      <c r="B470" s="0" t="s">
        <v>5133</v>
      </c>
      <c r="C470" s="0" t="s">
        <v>5144</v>
      </c>
      <c r="D470" s="0" t="s">
        <v>5145</v>
      </c>
    </row>
    <row customHeight="1" ht="11.25">
      <c r="A471" s="0">
        <v>471</v>
      </c>
      <c r="B471" s="0" t="s">
        <v>5133</v>
      </c>
      <c r="C471" s="0" t="s">
        <v>5146</v>
      </c>
      <c r="D471" s="0" t="s">
        <v>5147</v>
      </c>
    </row>
    <row customHeight="1" ht="11.25">
      <c r="A472" s="0">
        <v>472</v>
      </c>
      <c r="B472" s="0" t="s">
        <v>5133</v>
      </c>
      <c r="C472" s="0" t="s">
        <v>5148</v>
      </c>
      <c r="D472" s="0" t="s">
        <v>5149</v>
      </c>
    </row>
    <row customHeight="1" ht="11.25">
      <c r="A473" s="0">
        <v>473</v>
      </c>
      <c r="B473" s="0" t="s">
        <v>5133</v>
      </c>
      <c r="C473" s="0" t="s">
        <v>5150</v>
      </c>
      <c r="D473" s="0" t="s">
        <v>5151</v>
      </c>
    </row>
    <row customHeight="1" ht="11.25">
      <c r="A474" s="0">
        <v>474</v>
      </c>
      <c r="B474" s="0" t="s">
        <v>5133</v>
      </c>
      <c r="C474" s="0" t="s">
        <v>5152</v>
      </c>
      <c r="D474" s="0" t="s">
        <v>5153</v>
      </c>
    </row>
    <row customHeight="1" ht="11.25">
      <c r="A475" s="0">
        <v>475</v>
      </c>
      <c r="B475" s="0" t="s">
        <v>5133</v>
      </c>
      <c r="C475" s="0" t="s">
        <v>5154</v>
      </c>
      <c r="D475" s="0" t="s">
        <v>5155</v>
      </c>
    </row>
    <row customHeight="1" ht="11.25">
      <c r="A476" s="0">
        <v>476</v>
      </c>
      <c r="B476" s="0" t="s">
        <v>5133</v>
      </c>
      <c r="C476" s="0" t="s">
        <v>5156</v>
      </c>
      <c r="D476" s="0" t="s">
        <v>5157</v>
      </c>
    </row>
    <row customHeight="1" ht="11.25">
      <c r="A477" s="0">
        <v>477</v>
      </c>
      <c r="B477" s="0" t="s">
        <v>5133</v>
      </c>
      <c r="C477" s="0" t="s">
        <v>4892</v>
      </c>
      <c r="D477" s="0" t="s">
        <v>5158</v>
      </c>
    </row>
    <row customHeight="1" ht="11.25">
      <c r="A478" s="0">
        <v>478</v>
      </c>
      <c r="B478" s="0" t="s">
        <v>5133</v>
      </c>
      <c r="C478" s="0" t="s">
        <v>5133</v>
      </c>
      <c r="D478" s="0" t="s">
        <v>5159</v>
      </c>
    </row>
    <row customHeight="1" ht="11.25">
      <c r="A479" s="0">
        <v>479</v>
      </c>
      <c r="B479" s="0" t="s">
        <v>5133</v>
      </c>
      <c r="C479" s="0" t="s">
        <v>5160</v>
      </c>
      <c r="D479" s="0" t="s">
        <v>5161</v>
      </c>
    </row>
    <row customHeight="1" ht="11.25">
      <c r="A480" s="0">
        <v>480</v>
      </c>
      <c r="B480" s="0" t="s">
        <v>5133</v>
      </c>
      <c r="C480" s="0" t="s">
        <v>4846</v>
      </c>
      <c r="D480" s="0" t="s">
        <v>5162</v>
      </c>
    </row>
    <row customHeight="1" ht="11.25">
      <c r="A481" s="0">
        <v>481</v>
      </c>
      <c r="B481" s="0" t="s">
        <v>5133</v>
      </c>
      <c r="C481" s="0" t="s">
        <v>5163</v>
      </c>
      <c r="D481" s="0" t="s">
        <v>5164</v>
      </c>
    </row>
    <row customHeight="1" ht="11.25">
      <c r="A482" s="0">
        <v>482</v>
      </c>
      <c r="B482" s="0" t="s">
        <v>5133</v>
      </c>
      <c r="C482" s="0" t="s">
        <v>5165</v>
      </c>
      <c r="D482" s="0" t="s">
        <v>5166</v>
      </c>
    </row>
    <row customHeight="1" ht="11.25">
      <c r="A483" s="0">
        <v>483</v>
      </c>
      <c r="B483" s="0" t="s">
        <v>5167</v>
      </c>
      <c r="C483" s="0" t="s">
        <v>5168</v>
      </c>
      <c r="D483" s="0" t="s">
        <v>5169</v>
      </c>
    </row>
    <row customHeight="1" ht="11.25">
      <c r="A484" s="0">
        <v>484</v>
      </c>
      <c r="B484" s="0" t="s">
        <v>5167</v>
      </c>
      <c r="C484" s="0" t="s">
        <v>5170</v>
      </c>
      <c r="D484" s="0" t="s">
        <v>5171</v>
      </c>
    </row>
    <row customHeight="1" ht="11.25">
      <c r="A485" s="0">
        <v>485</v>
      </c>
      <c r="B485" s="0" t="s">
        <v>5167</v>
      </c>
      <c r="C485" s="0" t="s">
        <v>4263</v>
      </c>
      <c r="D485" s="0" t="s">
        <v>5172</v>
      </c>
    </row>
    <row customHeight="1" ht="11.25">
      <c r="A486" s="0">
        <v>486</v>
      </c>
      <c r="B486" s="0" t="s">
        <v>5167</v>
      </c>
      <c r="C486" s="0" t="s">
        <v>5173</v>
      </c>
      <c r="D486" s="0" t="s">
        <v>5174</v>
      </c>
    </row>
    <row customHeight="1" ht="11.25">
      <c r="A487" s="0">
        <v>487</v>
      </c>
      <c r="B487" s="0" t="s">
        <v>5167</v>
      </c>
      <c r="C487" s="0" t="s">
        <v>5175</v>
      </c>
      <c r="D487" s="0" t="s">
        <v>5176</v>
      </c>
    </row>
    <row customHeight="1" ht="11.25">
      <c r="A488" s="0">
        <v>488</v>
      </c>
      <c r="B488" s="0" t="s">
        <v>5167</v>
      </c>
      <c r="C488" s="0" t="s">
        <v>5167</v>
      </c>
      <c r="D488" s="0" t="s">
        <v>5177</v>
      </c>
    </row>
    <row customHeight="1" ht="11.25">
      <c r="A489" s="0">
        <v>489</v>
      </c>
      <c r="B489" s="0" t="s">
        <v>5167</v>
      </c>
      <c r="C489" s="0" t="s">
        <v>5178</v>
      </c>
      <c r="D489" s="0" t="s">
        <v>5179</v>
      </c>
    </row>
    <row customHeight="1" ht="11.25">
      <c r="A490" s="0">
        <v>490</v>
      </c>
      <c r="B490" s="0" t="s">
        <v>5167</v>
      </c>
      <c r="C490" s="0" t="s">
        <v>4438</v>
      </c>
      <c r="D490" s="0" t="s">
        <v>5180</v>
      </c>
    </row>
    <row customHeight="1" ht="11.25">
      <c r="A491" s="0">
        <v>491</v>
      </c>
      <c r="B491" s="0" t="s">
        <v>5167</v>
      </c>
      <c r="C491" s="0" t="s">
        <v>5181</v>
      </c>
      <c r="D491" s="0" t="s">
        <v>5182</v>
      </c>
    </row>
    <row customHeight="1" ht="11.25">
      <c r="A492" s="0">
        <v>492</v>
      </c>
      <c r="B492" s="0" t="s">
        <v>5167</v>
      </c>
      <c r="C492" s="0" t="s">
        <v>5183</v>
      </c>
      <c r="D492" s="0" t="s">
        <v>5184</v>
      </c>
    </row>
    <row customHeight="1" ht="11.25">
      <c r="A493" s="0">
        <v>493</v>
      </c>
      <c r="B493" s="0" t="s">
        <v>5185</v>
      </c>
      <c r="C493" s="0" t="s">
        <v>5186</v>
      </c>
      <c r="D493" s="0" t="s">
        <v>5187</v>
      </c>
    </row>
    <row customHeight="1" ht="11.25">
      <c r="A494" s="0">
        <v>494</v>
      </c>
      <c r="B494" s="0" t="s">
        <v>5185</v>
      </c>
      <c r="C494" s="0" t="s">
        <v>5188</v>
      </c>
      <c r="D494" s="0" t="s">
        <v>5189</v>
      </c>
    </row>
    <row customHeight="1" ht="11.25">
      <c r="A495" s="0">
        <v>495</v>
      </c>
      <c r="B495" s="0" t="s">
        <v>5185</v>
      </c>
      <c r="C495" s="0" t="s">
        <v>5046</v>
      </c>
      <c r="D495" s="0" t="s">
        <v>5190</v>
      </c>
    </row>
    <row customHeight="1" ht="11.25">
      <c r="A496" s="0">
        <v>496</v>
      </c>
      <c r="B496" s="0" t="s">
        <v>5185</v>
      </c>
      <c r="C496" s="0" t="s">
        <v>5191</v>
      </c>
      <c r="D496" s="0" t="s">
        <v>5192</v>
      </c>
    </row>
    <row customHeight="1" ht="11.25">
      <c r="A497" s="0">
        <v>497</v>
      </c>
      <c r="B497" s="0" t="s">
        <v>5185</v>
      </c>
      <c r="C497" s="0" t="s">
        <v>5193</v>
      </c>
      <c r="D497" s="0" t="s">
        <v>5194</v>
      </c>
    </row>
    <row customHeight="1" ht="11.25">
      <c r="A498" s="0">
        <v>498</v>
      </c>
      <c r="B498" s="0" t="s">
        <v>5185</v>
      </c>
      <c r="C498" s="0" t="s">
        <v>5195</v>
      </c>
      <c r="D498" s="0" t="s">
        <v>5196</v>
      </c>
    </row>
    <row customHeight="1" ht="11.25">
      <c r="A499" s="0">
        <v>499</v>
      </c>
      <c r="B499" s="0" t="s">
        <v>5185</v>
      </c>
      <c r="C499" s="0" t="s">
        <v>5197</v>
      </c>
      <c r="D499" s="0" t="s">
        <v>5198</v>
      </c>
    </row>
    <row customHeight="1" ht="11.25">
      <c r="A500" s="0">
        <v>500</v>
      </c>
      <c r="B500" s="0" t="s">
        <v>5185</v>
      </c>
      <c r="C500" s="0" t="s">
        <v>5185</v>
      </c>
      <c r="D500" s="0" t="s">
        <v>5199</v>
      </c>
    </row>
    <row customHeight="1" ht="11.25">
      <c r="A501" s="0">
        <v>501</v>
      </c>
      <c r="B501" s="0" t="s">
        <v>5185</v>
      </c>
      <c r="C501" s="0" t="s">
        <v>5200</v>
      </c>
      <c r="D501" s="0" t="s">
        <v>5201</v>
      </c>
    </row>
    <row customHeight="1" ht="11.25">
      <c r="A502" s="0">
        <v>502</v>
      </c>
      <c r="B502" s="0" t="s">
        <v>5185</v>
      </c>
      <c r="C502" s="0" t="s">
        <v>5202</v>
      </c>
      <c r="D502" s="0" t="s">
        <v>5203</v>
      </c>
    </row>
    <row customHeight="1" ht="11.25">
      <c r="A503" s="0">
        <v>503</v>
      </c>
      <c r="B503" s="0" t="s">
        <v>5185</v>
      </c>
      <c r="C503" s="0" t="s">
        <v>5204</v>
      </c>
      <c r="D503" s="0" t="s">
        <v>5205</v>
      </c>
    </row>
    <row customHeight="1" ht="11.25">
      <c r="A504" s="0">
        <v>504</v>
      </c>
      <c r="B504" s="0" t="s">
        <v>5185</v>
      </c>
      <c r="C504" s="0" t="s">
        <v>5206</v>
      </c>
      <c r="D504" s="0" t="s">
        <v>5207</v>
      </c>
    </row>
    <row customHeight="1" ht="11.25">
      <c r="A505" s="0">
        <v>505</v>
      </c>
      <c r="B505" s="0" t="s">
        <v>5185</v>
      </c>
      <c r="C505" s="0" t="s">
        <v>5208</v>
      </c>
      <c r="D505" s="0" t="s">
        <v>5209</v>
      </c>
    </row>
    <row customHeight="1" ht="11.25">
      <c r="A506" s="0">
        <v>506</v>
      </c>
      <c r="B506" s="0" t="s">
        <v>5210</v>
      </c>
      <c r="C506" s="0" t="s">
        <v>4419</v>
      </c>
      <c r="D506" s="0" t="s">
        <v>5211</v>
      </c>
    </row>
    <row customHeight="1" ht="11.25">
      <c r="A507" s="0">
        <v>507</v>
      </c>
      <c r="B507" s="0" t="s">
        <v>5210</v>
      </c>
      <c r="C507" s="0" t="s">
        <v>4717</v>
      </c>
      <c r="D507" s="0" t="s">
        <v>5212</v>
      </c>
    </row>
    <row customHeight="1" ht="11.25">
      <c r="A508" s="0">
        <v>508</v>
      </c>
      <c r="B508" s="0" t="s">
        <v>5210</v>
      </c>
      <c r="C508" s="0" t="s">
        <v>5213</v>
      </c>
      <c r="D508" s="0" t="s">
        <v>5214</v>
      </c>
    </row>
    <row customHeight="1" ht="11.25">
      <c r="A509" s="0">
        <v>509</v>
      </c>
      <c r="B509" s="0" t="s">
        <v>5210</v>
      </c>
      <c r="C509" s="0" t="s">
        <v>5215</v>
      </c>
      <c r="D509" s="0" t="s">
        <v>5216</v>
      </c>
    </row>
    <row customHeight="1" ht="11.25">
      <c r="A510" s="0">
        <v>510</v>
      </c>
      <c r="B510" s="0" t="s">
        <v>5210</v>
      </c>
      <c r="C510" s="0" t="s">
        <v>5210</v>
      </c>
      <c r="D510" s="0" t="s">
        <v>5217</v>
      </c>
    </row>
    <row customHeight="1" ht="11.25">
      <c r="A511" s="0">
        <v>511</v>
      </c>
      <c r="B511" s="0" t="s">
        <v>5210</v>
      </c>
      <c r="C511" s="0" t="s">
        <v>5218</v>
      </c>
      <c r="D511" s="0" t="s">
        <v>5219</v>
      </c>
    </row>
    <row customHeight="1" ht="11.25">
      <c r="A512" s="0">
        <v>512</v>
      </c>
      <c r="B512" s="0" t="s">
        <v>5210</v>
      </c>
      <c r="C512" s="0" t="s">
        <v>5220</v>
      </c>
      <c r="D512" s="0" t="s">
        <v>5221</v>
      </c>
    </row>
    <row customHeight="1" ht="11.25">
      <c r="A513" s="0">
        <v>513</v>
      </c>
      <c r="B513" s="0" t="s">
        <v>5210</v>
      </c>
      <c r="C513" s="0" t="s">
        <v>5222</v>
      </c>
      <c r="D513" s="0" t="s">
        <v>5223</v>
      </c>
    </row>
    <row customHeight="1" ht="11.25">
      <c r="A514" s="0">
        <v>514</v>
      </c>
      <c r="B514" s="0" t="s">
        <v>5210</v>
      </c>
      <c r="C514" s="0" t="s">
        <v>4510</v>
      </c>
      <c r="D514" s="0" t="s">
        <v>5224</v>
      </c>
    </row>
    <row customHeight="1" ht="11.25">
      <c r="A515" s="0">
        <v>515</v>
      </c>
      <c r="B515" s="0" t="s">
        <v>5225</v>
      </c>
      <c r="C515" s="0" t="s">
        <v>5226</v>
      </c>
      <c r="D515" s="0" t="s">
        <v>5227</v>
      </c>
    </row>
    <row customHeight="1" ht="11.25">
      <c r="A516" s="0">
        <v>516</v>
      </c>
      <c r="B516" s="0" t="s">
        <v>5225</v>
      </c>
      <c r="C516" s="0" t="s">
        <v>4295</v>
      </c>
      <c r="D516" s="0" t="s">
        <v>5228</v>
      </c>
    </row>
    <row customHeight="1" ht="11.25">
      <c r="A517" s="0">
        <v>517</v>
      </c>
      <c r="B517" s="0" t="s">
        <v>5225</v>
      </c>
      <c r="C517" s="0" t="s">
        <v>5229</v>
      </c>
      <c r="D517" s="0" t="s">
        <v>5230</v>
      </c>
    </row>
    <row customHeight="1" ht="11.25">
      <c r="A518" s="0">
        <v>518</v>
      </c>
      <c r="B518" s="0" t="s">
        <v>5225</v>
      </c>
      <c r="C518" s="0" t="s">
        <v>5231</v>
      </c>
      <c r="D518" s="0" t="s">
        <v>5232</v>
      </c>
    </row>
    <row customHeight="1" ht="11.25">
      <c r="A519" s="0">
        <v>519</v>
      </c>
      <c r="B519" s="0" t="s">
        <v>5225</v>
      </c>
      <c r="C519" s="0" t="s">
        <v>5225</v>
      </c>
      <c r="D519" s="0" t="s">
        <v>5233</v>
      </c>
    </row>
    <row customHeight="1" ht="11.25">
      <c r="A520" s="0">
        <v>520</v>
      </c>
      <c r="B520" s="0" t="s">
        <v>5225</v>
      </c>
      <c r="C520" s="0" t="s">
        <v>5234</v>
      </c>
      <c r="D520" s="0" t="s">
        <v>5235</v>
      </c>
    </row>
    <row customHeight="1" ht="11.25">
      <c r="A521" s="0">
        <v>521</v>
      </c>
      <c r="B521" s="0" t="s">
        <v>5225</v>
      </c>
      <c r="C521" s="0" t="s">
        <v>5236</v>
      </c>
      <c r="D521" s="0" t="s">
        <v>5237</v>
      </c>
    </row>
    <row customHeight="1" ht="11.25">
      <c r="A522" s="0">
        <v>522</v>
      </c>
      <c r="B522" s="0" t="s">
        <v>5238</v>
      </c>
      <c r="C522" s="0" t="s">
        <v>4819</v>
      </c>
      <c r="D522" s="0" t="s">
        <v>5239</v>
      </c>
    </row>
    <row customHeight="1" ht="11.25">
      <c r="A523" s="0">
        <v>523</v>
      </c>
      <c r="B523" s="0" t="s">
        <v>5238</v>
      </c>
      <c r="C523" s="0" t="s">
        <v>5240</v>
      </c>
      <c r="D523" s="0" t="s">
        <v>5241</v>
      </c>
    </row>
    <row customHeight="1" ht="11.25">
      <c r="A524" s="0">
        <v>524</v>
      </c>
      <c r="B524" s="0" t="s">
        <v>5238</v>
      </c>
      <c r="C524" s="0" t="s">
        <v>5242</v>
      </c>
      <c r="D524" s="0" t="s">
        <v>5243</v>
      </c>
    </row>
    <row customHeight="1" ht="11.25">
      <c r="A525" s="0">
        <v>525</v>
      </c>
      <c r="B525" s="0" t="s">
        <v>5238</v>
      </c>
      <c r="C525" s="0" t="s">
        <v>5244</v>
      </c>
      <c r="D525" s="0" t="s">
        <v>5245</v>
      </c>
    </row>
    <row customHeight="1" ht="11.25">
      <c r="A526" s="0">
        <v>526</v>
      </c>
      <c r="B526" s="0" t="s">
        <v>5238</v>
      </c>
      <c r="C526" s="0" t="s">
        <v>5238</v>
      </c>
      <c r="D526" s="0" t="s">
        <v>5246</v>
      </c>
    </row>
    <row customHeight="1" ht="11.25">
      <c r="A527" s="0">
        <v>527</v>
      </c>
      <c r="B527" s="0" t="s">
        <v>5247</v>
      </c>
      <c r="C527" s="0" t="s">
        <v>4287</v>
      </c>
      <c r="D527" s="0" t="s">
        <v>5248</v>
      </c>
    </row>
    <row customHeight="1" ht="11.25">
      <c r="A528" s="0">
        <v>528</v>
      </c>
      <c r="B528" s="0" t="s">
        <v>5247</v>
      </c>
      <c r="C528" s="0" t="s">
        <v>5249</v>
      </c>
      <c r="D528" s="0" t="s">
        <v>5250</v>
      </c>
    </row>
    <row customHeight="1" ht="11.25">
      <c r="A529" s="0">
        <v>529</v>
      </c>
      <c r="B529" s="0" t="s">
        <v>5247</v>
      </c>
      <c r="C529" s="0" t="s">
        <v>5251</v>
      </c>
      <c r="D529" s="0" t="s">
        <v>5252</v>
      </c>
    </row>
    <row customHeight="1" ht="11.25">
      <c r="A530" s="0">
        <v>530</v>
      </c>
      <c r="B530" s="0" t="s">
        <v>5247</v>
      </c>
      <c r="C530" s="0" t="s">
        <v>5253</v>
      </c>
      <c r="D530" s="0" t="s">
        <v>5254</v>
      </c>
    </row>
    <row customHeight="1" ht="11.25">
      <c r="A531" s="0">
        <v>531</v>
      </c>
      <c r="B531" s="0" t="s">
        <v>5247</v>
      </c>
      <c r="C531" s="0" t="s">
        <v>5247</v>
      </c>
      <c r="D531" s="0" t="s">
        <v>5255</v>
      </c>
    </row>
    <row customHeight="1" ht="11.25">
      <c r="A532" s="0">
        <v>532</v>
      </c>
      <c r="B532" s="0" t="s">
        <v>5247</v>
      </c>
      <c r="C532" s="0" t="s">
        <v>5256</v>
      </c>
      <c r="D532" s="0" t="s">
        <v>5257</v>
      </c>
    </row>
    <row customHeight="1" ht="11.25">
      <c r="A533" s="0">
        <v>533</v>
      </c>
      <c r="B533" s="0" t="s">
        <v>5258</v>
      </c>
      <c r="C533" s="0" t="s">
        <v>5259</v>
      </c>
      <c r="D533" s="0" t="s">
        <v>5260</v>
      </c>
    </row>
    <row customHeight="1" ht="11.25">
      <c r="A534" s="0">
        <v>534</v>
      </c>
      <c r="B534" s="0" t="s">
        <v>5258</v>
      </c>
      <c r="C534" s="0" t="s">
        <v>5261</v>
      </c>
      <c r="D534" s="0" t="s">
        <v>5262</v>
      </c>
    </row>
    <row customHeight="1" ht="11.25">
      <c r="A535" s="0">
        <v>535</v>
      </c>
      <c r="B535" s="0" t="s">
        <v>5258</v>
      </c>
      <c r="C535" s="0" t="s">
        <v>4781</v>
      </c>
      <c r="D535" s="0" t="s">
        <v>5263</v>
      </c>
    </row>
    <row customHeight="1" ht="11.25">
      <c r="A536" s="0">
        <v>536</v>
      </c>
      <c r="B536" s="0" t="s">
        <v>5258</v>
      </c>
      <c r="C536" s="0" t="s">
        <v>5264</v>
      </c>
      <c r="D536" s="0" t="s">
        <v>5265</v>
      </c>
    </row>
    <row customHeight="1" ht="11.25">
      <c r="A537" s="0">
        <v>537</v>
      </c>
      <c r="B537" s="0" t="s">
        <v>5258</v>
      </c>
      <c r="C537" s="0" t="s">
        <v>5266</v>
      </c>
      <c r="D537" s="0" t="s">
        <v>5267</v>
      </c>
    </row>
    <row customHeight="1" ht="11.25">
      <c r="A538" s="0">
        <v>538</v>
      </c>
      <c r="B538" s="0" t="s">
        <v>5258</v>
      </c>
      <c r="C538" s="0" t="s">
        <v>5268</v>
      </c>
      <c r="D538" s="0" t="s">
        <v>5269</v>
      </c>
    </row>
    <row customHeight="1" ht="11.25">
      <c r="A539" s="0">
        <v>539</v>
      </c>
      <c r="B539" s="0" t="s">
        <v>5258</v>
      </c>
      <c r="C539" s="0" t="s">
        <v>4586</v>
      </c>
      <c r="D539" s="0" t="s">
        <v>5270</v>
      </c>
    </row>
    <row customHeight="1" ht="11.25">
      <c r="A540" s="0">
        <v>540</v>
      </c>
      <c r="B540" s="0" t="s">
        <v>5258</v>
      </c>
      <c r="C540" s="0" t="s">
        <v>5271</v>
      </c>
      <c r="D540" s="0" t="s">
        <v>5272</v>
      </c>
    </row>
    <row customHeight="1" ht="11.25">
      <c r="A541" s="0">
        <v>541</v>
      </c>
      <c r="B541" s="0" t="s">
        <v>5258</v>
      </c>
      <c r="C541" s="0" t="s">
        <v>5273</v>
      </c>
      <c r="D541" s="0" t="s">
        <v>5274</v>
      </c>
    </row>
    <row customHeight="1" ht="11.25">
      <c r="A542" s="0">
        <v>542</v>
      </c>
      <c r="B542" s="0" t="s">
        <v>5258</v>
      </c>
      <c r="C542" s="0" t="s">
        <v>5275</v>
      </c>
      <c r="D542" s="0" t="s">
        <v>5276</v>
      </c>
    </row>
    <row customHeight="1" ht="11.25">
      <c r="A543" s="0">
        <v>543</v>
      </c>
      <c r="B543" s="0" t="s">
        <v>5258</v>
      </c>
      <c r="C543" s="0" t="s">
        <v>5277</v>
      </c>
      <c r="D543" s="0" t="s">
        <v>5278</v>
      </c>
    </row>
    <row customHeight="1" ht="11.25">
      <c r="A544" s="0">
        <v>544</v>
      </c>
      <c r="B544" s="0" t="s">
        <v>5258</v>
      </c>
      <c r="C544" s="0" t="s">
        <v>5279</v>
      </c>
      <c r="D544" s="0" t="s">
        <v>5280</v>
      </c>
    </row>
    <row customHeight="1" ht="11.25">
      <c r="A545" s="0">
        <v>545</v>
      </c>
      <c r="B545" s="0" t="s">
        <v>5258</v>
      </c>
      <c r="C545" s="0" t="s">
        <v>5281</v>
      </c>
      <c r="D545" s="0" t="s">
        <v>5282</v>
      </c>
    </row>
    <row customHeight="1" ht="11.25">
      <c r="A546" s="0">
        <v>546</v>
      </c>
      <c r="B546" s="0" t="s">
        <v>5258</v>
      </c>
      <c r="C546" s="0" t="s">
        <v>5283</v>
      </c>
      <c r="D546" s="0" t="s">
        <v>5284</v>
      </c>
    </row>
    <row customHeight="1" ht="11.25">
      <c r="A547" s="0">
        <v>547</v>
      </c>
      <c r="B547" s="0" t="s">
        <v>5258</v>
      </c>
      <c r="C547" s="0" t="s">
        <v>5285</v>
      </c>
      <c r="D547" s="0" t="s">
        <v>5286</v>
      </c>
    </row>
    <row customHeight="1" ht="11.25">
      <c r="A548" s="0">
        <v>548</v>
      </c>
      <c r="B548" s="0" t="s">
        <v>5258</v>
      </c>
      <c r="C548" s="0" t="s">
        <v>5258</v>
      </c>
      <c r="D548" s="0" t="s">
        <v>5287</v>
      </c>
    </row>
    <row customHeight="1" ht="11.25">
      <c r="A549" s="0">
        <v>549</v>
      </c>
      <c r="B549" s="0" t="s">
        <v>5258</v>
      </c>
      <c r="C549" s="0" t="s">
        <v>5288</v>
      </c>
      <c r="D549" s="0" t="s">
        <v>5289</v>
      </c>
    </row>
    <row customHeight="1" ht="11.25">
      <c r="A550" s="0">
        <v>550</v>
      </c>
      <c r="B550" s="0" t="s">
        <v>5258</v>
      </c>
      <c r="C550" s="0" t="s">
        <v>5290</v>
      </c>
      <c r="D550" s="0" t="s">
        <v>5291</v>
      </c>
    </row>
    <row customHeight="1" ht="11.25">
      <c r="A551" s="0">
        <v>551</v>
      </c>
      <c r="B551" s="0" t="s">
        <v>5258</v>
      </c>
      <c r="C551" s="0" t="s">
        <v>5292</v>
      </c>
      <c r="D551" s="0" t="s">
        <v>5293</v>
      </c>
    </row>
    <row customHeight="1" ht="11.25">
      <c r="A552" s="0">
        <v>552</v>
      </c>
      <c r="B552" s="0" t="s">
        <v>5294</v>
      </c>
      <c r="C552" s="0" t="s">
        <v>5295</v>
      </c>
      <c r="D552" s="0" t="s">
        <v>5296</v>
      </c>
    </row>
    <row customHeight="1" ht="11.25">
      <c r="A553" s="0">
        <v>553</v>
      </c>
      <c r="B553" s="0" t="s">
        <v>5294</v>
      </c>
      <c r="C553" s="0" t="s">
        <v>5297</v>
      </c>
      <c r="D553" s="0" t="s">
        <v>5298</v>
      </c>
    </row>
    <row customHeight="1" ht="11.25">
      <c r="A554" s="0">
        <v>554</v>
      </c>
      <c r="B554" s="0" t="s">
        <v>5294</v>
      </c>
      <c r="C554" s="0" t="s">
        <v>5299</v>
      </c>
      <c r="D554" s="0" t="s">
        <v>5300</v>
      </c>
    </row>
    <row customHeight="1" ht="11.25">
      <c r="A555" s="0">
        <v>555</v>
      </c>
      <c r="B555" s="0" t="s">
        <v>5294</v>
      </c>
      <c r="C555" s="0" t="s">
        <v>5294</v>
      </c>
      <c r="D555" s="0" t="s">
        <v>5301</v>
      </c>
    </row>
    <row customHeight="1" ht="11.25">
      <c r="A556" s="0">
        <v>556</v>
      </c>
      <c r="B556" s="0" t="s">
        <v>5294</v>
      </c>
      <c r="C556" s="0" t="s">
        <v>5302</v>
      </c>
      <c r="D556" s="0" t="s">
        <v>5303</v>
      </c>
    </row>
    <row customHeight="1" ht="11.25">
      <c r="A557" s="0">
        <v>557</v>
      </c>
      <c r="B557" s="0" t="s">
        <v>5294</v>
      </c>
      <c r="C557" s="0" t="s">
        <v>5304</v>
      </c>
      <c r="D557" s="0" t="s">
        <v>5305</v>
      </c>
    </row>
    <row customHeight="1" ht="11.25">
      <c r="A558" s="0">
        <v>558</v>
      </c>
      <c r="B558" s="0" t="s">
        <v>5306</v>
      </c>
      <c r="C558" s="0" t="s">
        <v>5307</v>
      </c>
      <c r="D558" s="0" t="s">
        <v>5308</v>
      </c>
    </row>
    <row customHeight="1" ht="11.25">
      <c r="A559" s="0">
        <v>559</v>
      </c>
      <c r="B559" s="0" t="s">
        <v>5306</v>
      </c>
      <c r="C559" s="0" t="s">
        <v>5309</v>
      </c>
      <c r="D559" s="0" t="s">
        <v>5310</v>
      </c>
    </row>
    <row customHeight="1" ht="11.25">
      <c r="A560" s="0">
        <v>560</v>
      </c>
      <c r="B560" s="0" t="s">
        <v>5306</v>
      </c>
      <c r="C560" s="0" t="s">
        <v>5065</v>
      </c>
      <c r="D560" s="0" t="s">
        <v>5311</v>
      </c>
    </row>
    <row customHeight="1" ht="11.25">
      <c r="A561" s="0">
        <v>561</v>
      </c>
      <c r="B561" s="0" t="s">
        <v>5306</v>
      </c>
      <c r="C561" s="0" t="s">
        <v>4263</v>
      </c>
      <c r="D561" s="0" t="s">
        <v>5312</v>
      </c>
    </row>
    <row customHeight="1" ht="11.25">
      <c r="A562" s="0">
        <v>562</v>
      </c>
      <c r="B562" s="0" t="s">
        <v>5306</v>
      </c>
      <c r="C562" s="0" t="s">
        <v>4660</v>
      </c>
      <c r="D562" s="0" t="s">
        <v>5313</v>
      </c>
    </row>
    <row customHeight="1" ht="11.25">
      <c r="A563" s="0">
        <v>563</v>
      </c>
      <c r="B563" s="0" t="s">
        <v>5306</v>
      </c>
      <c r="C563" s="0" t="s">
        <v>5046</v>
      </c>
      <c r="D563" s="0" t="s">
        <v>5314</v>
      </c>
    </row>
    <row customHeight="1" ht="11.25">
      <c r="A564" s="0">
        <v>564</v>
      </c>
      <c r="B564" s="0" t="s">
        <v>5306</v>
      </c>
      <c r="C564" s="0" t="s">
        <v>4295</v>
      </c>
      <c r="D564" s="0" t="s">
        <v>5315</v>
      </c>
    </row>
    <row customHeight="1" ht="11.25">
      <c r="A565" s="0">
        <v>565</v>
      </c>
      <c r="B565" s="0" t="s">
        <v>5306</v>
      </c>
      <c r="C565" s="0" t="s">
        <v>5316</v>
      </c>
      <c r="D565" s="0" t="s">
        <v>5317</v>
      </c>
    </row>
    <row customHeight="1" ht="11.25">
      <c r="A566" s="0">
        <v>566</v>
      </c>
      <c r="B566" s="0" t="s">
        <v>5306</v>
      </c>
      <c r="C566" s="0" t="s">
        <v>5318</v>
      </c>
      <c r="D566" s="0" t="s">
        <v>5319</v>
      </c>
    </row>
    <row customHeight="1" ht="11.25">
      <c r="A567" s="0">
        <v>567</v>
      </c>
      <c r="B567" s="0" t="s">
        <v>5306</v>
      </c>
      <c r="C567" s="0" t="s">
        <v>5320</v>
      </c>
      <c r="D567" s="0" t="s">
        <v>5321</v>
      </c>
    </row>
    <row customHeight="1" ht="11.25">
      <c r="A568" s="0">
        <v>568</v>
      </c>
      <c r="B568" s="0" t="s">
        <v>5306</v>
      </c>
      <c r="C568" s="0" t="s">
        <v>4668</v>
      </c>
      <c r="D568" s="0" t="s">
        <v>5322</v>
      </c>
    </row>
    <row customHeight="1" ht="11.25">
      <c r="A569" s="0">
        <v>569</v>
      </c>
      <c r="B569" s="0" t="s">
        <v>5306</v>
      </c>
      <c r="C569" s="0" t="s">
        <v>5129</v>
      </c>
      <c r="D569" s="0" t="s">
        <v>5323</v>
      </c>
    </row>
    <row customHeight="1" ht="11.25">
      <c r="A570" s="0">
        <v>570</v>
      </c>
      <c r="B570" s="0" t="s">
        <v>5306</v>
      </c>
      <c r="C570" s="0" t="s">
        <v>5306</v>
      </c>
      <c r="D570" s="0" t="s">
        <v>5324</v>
      </c>
    </row>
    <row customHeight="1" ht="11.25">
      <c r="A571" s="0">
        <v>571</v>
      </c>
      <c r="B571" s="0" t="s">
        <v>5306</v>
      </c>
      <c r="C571" s="0" t="s">
        <v>5325</v>
      </c>
      <c r="D571" s="0" t="s">
        <v>5326</v>
      </c>
    </row>
    <row customHeight="1" ht="11.25">
      <c r="A572" s="0">
        <v>572</v>
      </c>
      <c r="B572" s="0" t="s">
        <v>5306</v>
      </c>
      <c r="C572" s="0" t="s">
        <v>5327</v>
      </c>
      <c r="D572" s="0" t="s">
        <v>5328</v>
      </c>
    </row>
    <row customHeight="1" ht="11.25">
      <c r="A573" s="0">
        <v>573</v>
      </c>
      <c r="B573" s="0" t="s">
        <v>5306</v>
      </c>
      <c r="C573" s="0" t="s">
        <v>5329</v>
      </c>
      <c r="D573" s="0" t="s">
        <v>5330</v>
      </c>
    </row>
    <row customHeight="1" ht="11.25">
      <c r="A574" s="0">
        <v>574</v>
      </c>
      <c r="B574" s="0" t="s">
        <v>5306</v>
      </c>
      <c r="C574" s="0" t="s">
        <v>5331</v>
      </c>
      <c r="D574" s="0" t="s">
        <v>5332</v>
      </c>
    </row>
    <row customHeight="1" ht="11.25">
      <c r="A575" s="0">
        <v>575</v>
      </c>
      <c r="B575" s="0" t="s">
        <v>5306</v>
      </c>
      <c r="C575" s="0" t="s">
        <v>5333</v>
      </c>
      <c r="D575" s="0" t="s">
        <v>5334</v>
      </c>
    </row>
    <row customHeight="1" ht="11.25">
      <c r="A576" s="0">
        <v>576</v>
      </c>
      <c r="B576" s="0" t="s">
        <v>5335</v>
      </c>
      <c r="C576" s="0" t="s">
        <v>5336</v>
      </c>
      <c r="D576" s="0" t="s">
        <v>5337</v>
      </c>
    </row>
    <row customHeight="1" ht="11.25">
      <c r="A577" s="0">
        <v>577</v>
      </c>
      <c r="B577" s="0" t="s">
        <v>5335</v>
      </c>
      <c r="C577" s="0" t="s">
        <v>5338</v>
      </c>
      <c r="D577" s="0" t="s">
        <v>5339</v>
      </c>
    </row>
    <row customHeight="1" ht="11.25">
      <c r="A578" s="0">
        <v>578</v>
      </c>
      <c r="B578" s="0" t="s">
        <v>5335</v>
      </c>
      <c r="C578" s="0" t="s">
        <v>5340</v>
      </c>
      <c r="D578" s="0" t="s">
        <v>5341</v>
      </c>
    </row>
    <row customHeight="1" ht="11.25">
      <c r="A579" s="0">
        <v>579</v>
      </c>
      <c r="B579" s="0" t="s">
        <v>5335</v>
      </c>
      <c r="C579" s="0" t="s">
        <v>5342</v>
      </c>
      <c r="D579" s="0" t="s">
        <v>5343</v>
      </c>
    </row>
    <row customHeight="1" ht="11.25">
      <c r="A580" s="0">
        <v>580</v>
      </c>
      <c r="B580" s="0" t="s">
        <v>5335</v>
      </c>
      <c r="C580" s="0" t="s">
        <v>5344</v>
      </c>
      <c r="D580" s="0" t="s">
        <v>5345</v>
      </c>
    </row>
    <row customHeight="1" ht="11.25">
      <c r="A581" s="0">
        <v>581</v>
      </c>
      <c r="B581" s="0" t="s">
        <v>5335</v>
      </c>
      <c r="C581" s="0" t="s">
        <v>5346</v>
      </c>
      <c r="D581" s="0" t="s">
        <v>5347</v>
      </c>
    </row>
    <row customHeight="1" ht="11.25">
      <c r="A582" s="0">
        <v>582</v>
      </c>
      <c r="B582" s="0" t="s">
        <v>5335</v>
      </c>
      <c r="C582" s="0" t="s">
        <v>5348</v>
      </c>
      <c r="D582" s="0" t="s">
        <v>5349</v>
      </c>
    </row>
    <row customHeight="1" ht="11.25">
      <c r="A583" s="0">
        <v>583</v>
      </c>
      <c r="B583" s="0" t="s">
        <v>5335</v>
      </c>
      <c r="C583" s="0" t="s">
        <v>5335</v>
      </c>
      <c r="D583" s="0" t="s">
        <v>5350</v>
      </c>
    </row>
    <row customHeight="1" ht="11.25">
      <c r="A584" s="0">
        <v>584</v>
      </c>
      <c r="B584" s="0" t="s">
        <v>5335</v>
      </c>
      <c r="C584" s="0" t="s">
        <v>5351</v>
      </c>
      <c r="D584" s="0" t="s">
        <v>5352</v>
      </c>
    </row>
    <row customHeight="1" ht="11.25">
      <c r="A585" s="0">
        <v>585</v>
      </c>
      <c r="B585" s="0" t="s">
        <v>5335</v>
      </c>
      <c r="C585" s="0" t="s">
        <v>5353</v>
      </c>
      <c r="D585" s="0" t="s">
        <v>5354</v>
      </c>
    </row>
    <row customHeight="1" ht="11.25">
      <c r="A586" s="0">
        <v>586</v>
      </c>
      <c r="B586" s="0" t="s">
        <v>5355</v>
      </c>
      <c r="C586" s="0" t="s">
        <v>4289</v>
      </c>
      <c r="D586" s="0" t="s">
        <v>5356</v>
      </c>
    </row>
    <row customHeight="1" ht="11.25">
      <c r="A587" s="0">
        <v>587</v>
      </c>
      <c r="B587" s="0" t="s">
        <v>5355</v>
      </c>
      <c r="C587" s="0" t="s">
        <v>5059</v>
      </c>
      <c r="D587" s="0" t="s">
        <v>5357</v>
      </c>
    </row>
    <row customHeight="1" ht="11.25">
      <c r="A588" s="0">
        <v>588</v>
      </c>
      <c r="B588" s="0" t="s">
        <v>5355</v>
      </c>
      <c r="C588" s="0" t="s">
        <v>5358</v>
      </c>
      <c r="D588" s="0" t="s">
        <v>5359</v>
      </c>
    </row>
    <row customHeight="1" ht="11.25">
      <c r="A589" s="0">
        <v>589</v>
      </c>
      <c r="B589" s="0" t="s">
        <v>5355</v>
      </c>
      <c r="C589" s="0" t="s">
        <v>5360</v>
      </c>
      <c r="D589" s="0" t="s">
        <v>5361</v>
      </c>
    </row>
    <row customHeight="1" ht="11.25">
      <c r="A590" s="0">
        <v>590</v>
      </c>
      <c r="B590" s="0" t="s">
        <v>5355</v>
      </c>
      <c r="C590" s="0" t="s">
        <v>5362</v>
      </c>
      <c r="D590" s="0" t="s">
        <v>5363</v>
      </c>
    </row>
    <row customHeight="1" ht="11.25">
      <c r="A591" s="0">
        <v>591</v>
      </c>
      <c r="B591" s="0" t="s">
        <v>5355</v>
      </c>
      <c r="C591" s="0" t="s">
        <v>4653</v>
      </c>
      <c r="D591" s="0" t="s">
        <v>5364</v>
      </c>
    </row>
    <row customHeight="1" ht="11.25">
      <c r="A592" s="0">
        <v>592</v>
      </c>
      <c r="B592" s="0" t="s">
        <v>5355</v>
      </c>
      <c r="C592" s="0" t="s">
        <v>5365</v>
      </c>
      <c r="D592" s="0" t="s">
        <v>5366</v>
      </c>
    </row>
    <row customHeight="1" ht="11.25">
      <c r="A593" s="0">
        <v>593</v>
      </c>
      <c r="B593" s="0" t="s">
        <v>5355</v>
      </c>
      <c r="C593" s="0" t="s">
        <v>5367</v>
      </c>
      <c r="D593" s="0" t="s">
        <v>5368</v>
      </c>
    </row>
    <row customHeight="1" ht="11.25">
      <c r="A594" s="0">
        <v>594</v>
      </c>
      <c r="B594" s="0" t="s">
        <v>5355</v>
      </c>
      <c r="C594" s="0" t="s">
        <v>5355</v>
      </c>
      <c r="D594" s="0" t="s">
        <v>5369</v>
      </c>
    </row>
    <row customHeight="1" ht="11.25">
      <c r="A595" s="0">
        <v>595</v>
      </c>
      <c r="B595" s="0" t="s">
        <v>5355</v>
      </c>
      <c r="C595" s="0" t="s">
        <v>5370</v>
      </c>
      <c r="D595" s="0" t="s">
        <v>5371</v>
      </c>
    </row>
    <row customHeight="1" ht="11.25">
      <c r="A596" s="0">
        <v>596</v>
      </c>
      <c r="B596" s="0" t="s">
        <v>5355</v>
      </c>
      <c r="C596" s="0" t="s">
        <v>5372</v>
      </c>
      <c r="D596" s="0" t="s">
        <v>5373</v>
      </c>
    </row>
    <row customHeight="1" ht="11.25">
      <c r="A597" s="0">
        <v>597</v>
      </c>
      <c r="B597" s="0" t="s">
        <v>5355</v>
      </c>
      <c r="C597" s="0" t="s">
        <v>5374</v>
      </c>
      <c r="D597" s="0" t="s">
        <v>5375</v>
      </c>
    </row>
    <row customHeight="1" ht="11.25">
      <c r="A598" s="0">
        <v>598</v>
      </c>
      <c r="B598" s="0" t="s">
        <v>5376</v>
      </c>
      <c r="C598" s="0" t="s">
        <v>5377</v>
      </c>
      <c r="D598" s="0" t="s">
        <v>5378</v>
      </c>
    </row>
    <row customHeight="1" ht="11.25">
      <c r="A599" s="0">
        <v>599</v>
      </c>
      <c r="B599" s="0" t="s">
        <v>5376</v>
      </c>
      <c r="C599" s="0" t="s">
        <v>4419</v>
      </c>
      <c r="D599" s="0" t="s">
        <v>5379</v>
      </c>
    </row>
    <row customHeight="1" ht="11.25">
      <c r="A600" s="0">
        <v>600</v>
      </c>
      <c r="B600" s="0" t="s">
        <v>5376</v>
      </c>
      <c r="C600" s="0" t="s">
        <v>5380</v>
      </c>
      <c r="D600" s="0" t="s">
        <v>5381</v>
      </c>
    </row>
    <row customHeight="1" ht="11.25">
      <c r="A601" s="0">
        <v>601</v>
      </c>
      <c r="B601" s="0" t="s">
        <v>5376</v>
      </c>
      <c r="C601" s="0" t="s">
        <v>5382</v>
      </c>
      <c r="D601" s="0" t="s">
        <v>5383</v>
      </c>
    </row>
    <row customHeight="1" ht="11.25">
      <c r="A602" s="0">
        <v>602</v>
      </c>
      <c r="B602" s="0" t="s">
        <v>5376</v>
      </c>
      <c r="C602" s="0" t="s">
        <v>5362</v>
      </c>
      <c r="D602" s="0" t="s">
        <v>5384</v>
      </c>
    </row>
    <row customHeight="1" ht="11.25">
      <c r="A603" s="0">
        <v>603</v>
      </c>
      <c r="B603" s="0" t="s">
        <v>5376</v>
      </c>
      <c r="C603" s="0" t="s">
        <v>5385</v>
      </c>
      <c r="D603" s="0" t="s">
        <v>5386</v>
      </c>
    </row>
    <row customHeight="1" ht="11.25">
      <c r="A604" s="0">
        <v>604</v>
      </c>
      <c r="B604" s="0" t="s">
        <v>5376</v>
      </c>
      <c r="C604" s="0" t="s">
        <v>5387</v>
      </c>
      <c r="D604" s="0" t="s">
        <v>5388</v>
      </c>
    </row>
    <row customHeight="1" ht="11.25">
      <c r="A605" s="0">
        <v>605</v>
      </c>
      <c r="B605" s="0" t="s">
        <v>5376</v>
      </c>
      <c r="C605" s="0" t="s">
        <v>5389</v>
      </c>
      <c r="D605" s="0" t="s">
        <v>5390</v>
      </c>
    </row>
    <row customHeight="1" ht="11.25">
      <c r="A606" s="0">
        <v>606</v>
      </c>
      <c r="B606" s="0" t="s">
        <v>5376</v>
      </c>
      <c r="C606" s="0" t="s">
        <v>5391</v>
      </c>
      <c r="D606" s="0" t="s">
        <v>5392</v>
      </c>
    </row>
    <row customHeight="1" ht="11.25">
      <c r="A607" s="0">
        <v>607</v>
      </c>
      <c r="B607" s="0" t="s">
        <v>5376</v>
      </c>
      <c r="C607" s="0" t="s">
        <v>5376</v>
      </c>
      <c r="D607" s="0" t="s">
        <v>5393</v>
      </c>
    </row>
    <row customHeight="1" ht="11.25">
      <c r="A608" s="0">
        <v>608</v>
      </c>
      <c r="B608" s="0" t="s">
        <v>5376</v>
      </c>
      <c r="C608" s="0" t="s">
        <v>5394</v>
      </c>
      <c r="D608" s="0" t="s">
        <v>5395</v>
      </c>
    </row>
    <row customHeight="1" ht="11.25">
      <c r="A609" s="0">
        <v>609</v>
      </c>
      <c r="B609" s="0" t="s">
        <v>5376</v>
      </c>
      <c r="C609" s="0" t="s">
        <v>5396</v>
      </c>
      <c r="D609" s="0" t="s">
        <v>5397</v>
      </c>
    </row>
    <row customHeight="1" ht="11.25">
      <c r="A610" s="0">
        <v>610</v>
      </c>
      <c r="B610" s="0" t="s">
        <v>5376</v>
      </c>
      <c r="C610" s="0" t="s">
        <v>4488</v>
      </c>
      <c r="D610" s="0" t="s">
        <v>5398</v>
      </c>
    </row>
    <row customHeight="1" ht="11.25">
      <c r="A611" s="0">
        <v>611</v>
      </c>
      <c r="B611" s="0" t="s">
        <v>5376</v>
      </c>
      <c r="C611" s="0" t="s">
        <v>5399</v>
      </c>
      <c r="D611" s="0" t="s">
        <v>5400</v>
      </c>
    </row>
    <row customHeight="1" ht="11.25">
      <c r="A612" s="0">
        <v>612</v>
      </c>
      <c r="B612" s="0" t="s">
        <v>5376</v>
      </c>
      <c r="C612" s="0" t="s">
        <v>5401</v>
      </c>
      <c r="D612" s="0" t="s">
        <v>5402</v>
      </c>
    </row>
    <row customHeight="1" ht="11.25">
      <c r="A613" s="0">
        <v>613</v>
      </c>
      <c r="B613" s="0" t="s">
        <v>5403</v>
      </c>
      <c r="C613" s="0" t="s">
        <v>5404</v>
      </c>
      <c r="D613" s="0" t="s">
        <v>5405</v>
      </c>
    </row>
    <row customHeight="1" ht="11.25">
      <c r="A614" s="0">
        <v>614</v>
      </c>
      <c r="B614" s="0" t="s">
        <v>5403</v>
      </c>
      <c r="C614" s="0" t="s">
        <v>5406</v>
      </c>
      <c r="D614" s="0" t="s">
        <v>5407</v>
      </c>
    </row>
    <row customHeight="1" ht="11.25">
      <c r="A615" s="0">
        <v>615</v>
      </c>
      <c r="B615" s="0" t="s">
        <v>5403</v>
      </c>
      <c r="C615" s="0" t="s">
        <v>5408</v>
      </c>
      <c r="D615" s="0" t="s">
        <v>5409</v>
      </c>
    </row>
    <row customHeight="1" ht="11.25">
      <c r="A616" s="0">
        <v>616</v>
      </c>
      <c r="B616" s="0" t="s">
        <v>5403</v>
      </c>
      <c r="C616" s="0" t="s">
        <v>4946</v>
      </c>
      <c r="D616" s="0" t="s">
        <v>5410</v>
      </c>
    </row>
    <row customHeight="1" ht="11.25">
      <c r="A617" s="0">
        <v>617</v>
      </c>
      <c r="B617" s="0" t="s">
        <v>5403</v>
      </c>
      <c r="C617" s="0" t="s">
        <v>5411</v>
      </c>
      <c r="D617" s="0" t="s">
        <v>5412</v>
      </c>
    </row>
    <row customHeight="1" ht="11.25">
      <c r="A618" s="0">
        <v>618</v>
      </c>
      <c r="B618" s="0" t="s">
        <v>5403</v>
      </c>
      <c r="C618" s="0" t="s">
        <v>5222</v>
      </c>
      <c r="D618" s="0" t="s">
        <v>5413</v>
      </c>
    </row>
    <row customHeight="1" ht="11.25">
      <c r="A619" s="0">
        <v>619</v>
      </c>
      <c r="B619" s="0" t="s">
        <v>5403</v>
      </c>
      <c r="C619" s="0" t="s">
        <v>5403</v>
      </c>
      <c r="D619" s="0" t="s">
        <v>5414</v>
      </c>
    </row>
    <row customHeight="1" ht="11.25">
      <c r="A620" s="0">
        <v>620</v>
      </c>
      <c r="B620" s="0" t="s">
        <v>5403</v>
      </c>
      <c r="C620" s="0" t="s">
        <v>5415</v>
      </c>
      <c r="D620" s="0" t="s">
        <v>5416</v>
      </c>
    </row>
    <row customHeight="1" ht="11.25">
      <c r="A621" s="0">
        <v>621</v>
      </c>
      <c r="B621" s="0" t="s">
        <v>5417</v>
      </c>
      <c r="C621" s="0" t="s">
        <v>5418</v>
      </c>
      <c r="D621" s="0" t="s">
        <v>5419</v>
      </c>
    </row>
    <row customHeight="1" ht="11.25">
      <c r="A622" s="0">
        <v>622</v>
      </c>
      <c r="B622" s="0" t="s">
        <v>5417</v>
      </c>
      <c r="C622" s="0" t="s">
        <v>4384</v>
      </c>
      <c r="D622" s="0" t="s">
        <v>5420</v>
      </c>
    </row>
    <row customHeight="1" ht="11.25">
      <c r="A623" s="0">
        <v>623</v>
      </c>
      <c r="B623" s="0" t="s">
        <v>5417</v>
      </c>
      <c r="C623" s="0" t="s">
        <v>5421</v>
      </c>
      <c r="D623" s="0" t="s">
        <v>5422</v>
      </c>
    </row>
    <row customHeight="1" ht="11.25">
      <c r="A624" s="0">
        <v>624</v>
      </c>
      <c r="B624" s="0" t="s">
        <v>5417</v>
      </c>
      <c r="C624" s="0" t="s">
        <v>5423</v>
      </c>
      <c r="D624" s="0" t="s">
        <v>5424</v>
      </c>
    </row>
    <row customHeight="1" ht="11.25">
      <c r="A625" s="0">
        <v>625</v>
      </c>
      <c r="B625" s="0" t="s">
        <v>5417</v>
      </c>
      <c r="C625" s="0" t="s">
        <v>5425</v>
      </c>
      <c r="D625" s="0" t="s">
        <v>5426</v>
      </c>
    </row>
    <row customHeight="1" ht="11.25">
      <c r="A626" s="0">
        <v>626</v>
      </c>
      <c r="B626" s="0" t="s">
        <v>5417</v>
      </c>
      <c r="C626" s="0" t="s">
        <v>5427</v>
      </c>
      <c r="D626" s="0" t="s">
        <v>5428</v>
      </c>
    </row>
    <row customHeight="1" ht="11.25">
      <c r="A627" s="0">
        <v>627</v>
      </c>
      <c r="B627" s="0" t="s">
        <v>5417</v>
      </c>
      <c r="C627" s="0" t="s">
        <v>5429</v>
      </c>
      <c r="D627" s="0" t="s">
        <v>5430</v>
      </c>
    </row>
    <row customHeight="1" ht="11.25">
      <c r="A628" s="0">
        <v>628</v>
      </c>
      <c r="B628" s="0" t="s">
        <v>5417</v>
      </c>
      <c r="C628" s="0" t="s">
        <v>5417</v>
      </c>
      <c r="D628" s="0" t="s">
        <v>5431</v>
      </c>
    </row>
    <row customHeight="1" ht="11.25">
      <c r="A629" s="0">
        <v>629</v>
      </c>
      <c r="B629" s="0" t="s">
        <v>5417</v>
      </c>
      <c r="C629" s="0" t="s">
        <v>5432</v>
      </c>
      <c r="D629" s="0" t="s">
        <v>5433</v>
      </c>
    </row>
    <row customHeight="1" ht="11.25">
      <c r="A630" s="0">
        <v>630</v>
      </c>
      <c r="B630" s="0" t="s">
        <v>5417</v>
      </c>
      <c r="C630" s="0" t="s">
        <v>5434</v>
      </c>
      <c r="D630" s="0" t="s">
        <v>5435</v>
      </c>
    </row>
    <row customHeight="1" ht="11.25">
      <c r="A631" s="0">
        <v>631</v>
      </c>
      <c r="B631" s="0" t="s">
        <v>5436</v>
      </c>
      <c r="C631" s="0" t="s">
        <v>4289</v>
      </c>
      <c r="D631" s="0" t="s">
        <v>5437</v>
      </c>
    </row>
    <row customHeight="1" ht="11.25">
      <c r="A632" s="0">
        <v>632</v>
      </c>
      <c r="B632" s="0" t="s">
        <v>5436</v>
      </c>
      <c r="C632" s="0" t="s">
        <v>5438</v>
      </c>
      <c r="D632" s="0" t="s">
        <v>5439</v>
      </c>
    </row>
    <row customHeight="1" ht="11.25">
      <c r="A633" s="0">
        <v>633</v>
      </c>
      <c r="B633" s="0" t="s">
        <v>5436</v>
      </c>
      <c r="C633" s="0" t="s">
        <v>5440</v>
      </c>
      <c r="D633" s="0" t="s">
        <v>5441</v>
      </c>
    </row>
    <row customHeight="1" ht="11.25">
      <c r="A634" s="0">
        <v>634</v>
      </c>
      <c r="B634" s="0" t="s">
        <v>5436</v>
      </c>
      <c r="C634" s="0" t="s">
        <v>5442</v>
      </c>
      <c r="D634" s="0" t="s">
        <v>5443</v>
      </c>
    </row>
    <row customHeight="1" ht="11.25">
      <c r="A635" s="0">
        <v>635</v>
      </c>
      <c r="B635" s="0" t="s">
        <v>5436</v>
      </c>
      <c r="C635" s="0" t="s">
        <v>5444</v>
      </c>
      <c r="D635" s="0" t="s">
        <v>5445</v>
      </c>
    </row>
    <row customHeight="1" ht="11.25">
      <c r="A636" s="0">
        <v>636</v>
      </c>
      <c r="B636" s="0" t="s">
        <v>5436</v>
      </c>
      <c r="C636" s="0" t="s">
        <v>5446</v>
      </c>
      <c r="D636" s="0" t="s">
        <v>5447</v>
      </c>
    </row>
    <row customHeight="1" ht="11.25">
      <c r="A637" s="0">
        <v>637</v>
      </c>
      <c r="B637" s="0" t="s">
        <v>5436</v>
      </c>
      <c r="C637" s="0" t="s">
        <v>5448</v>
      </c>
      <c r="D637" s="0" t="s">
        <v>5449</v>
      </c>
    </row>
    <row customHeight="1" ht="11.25">
      <c r="A638" s="0">
        <v>638</v>
      </c>
      <c r="B638" s="0" t="s">
        <v>5436</v>
      </c>
      <c r="C638" s="0" t="s">
        <v>5046</v>
      </c>
      <c r="D638" s="0" t="s">
        <v>5450</v>
      </c>
    </row>
    <row customHeight="1" ht="11.25">
      <c r="A639" s="0">
        <v>639</v>
      </c>
      <c r="B639" s="0" t="s">
        <v>5436</v>
      </c>
      <c r="C639" s="0" t="s">
        <v>5451</v>
      </c>
      <c r="D639" s="0" t="s">
        <v>5452</v>
      </c>
    </row>
    <row customHeight="1" ht="11.25">
      <c r="A640" s="0">
        <v>640</v>
      </c>
      <c r="B640" s="0" t="s">
        <v>5436</v>
      </c>
      <c r="C640" s="0" t="s">
        <v>5453</v>
      </c>
      <c r="D640" s="0" t="s">
        <v>5454</v>
      </c>
    </row>
    <row customHeight="1" ht="11.25">
      <c r="A641" s="0">
        <v>641</v>
      </c>
      <c r="B641" s="0" t="s">
        <v>5436</v>
      </c>
      <c r="C641" s="0" t="s">
        <v>5370</v>
      </c>
      <c r="D641" s="0" t="s">
        <v>5455</v>
      </c>
    </row>
    <row customHeight="1" ht="11.25">
      <c r="A642" s="0">
        <v>642</v>
      </c>
      <c r="B642" s="0" t="s">
        <v>5436</v>
      </c>
      <c r="C642" s="0" t="s">
        <v>5436</v>
      </c>
      <c r="D642" s="0" t="s">
        <v>5456</v>
      </c>
    </row>
    <row customHeight="1" ht="11.25">
      <c r="A643" s="0">
        <v>643</v>
      </c>
      <c r="B643" s="0" t="s">
        <v>5436</v>
      </c>
      <c r="C643" s="0" t="s">
        <v>5457</v>
      </c>
      <c r="D643" s="0" t="s">
        <v>5458</v>
      </c>
    </row>
    <row customHeight="1" ht="11.25">
      <c r="A644" s="0">
        <v>644</v>
      </c>
      <c r="B644" s="0" t="s">
        <v>5436</v>
      </c>
      <c r="C644" s="0" t="s">
        <v>5459</v>
      </c>
      <c r="D644" s="0" t="s">
        <v>5460</v>
      </c>
    </row>
    <row customHeight="1" ht="11.25">
      <c r="A645" s="0">
        <v>645</v>
      </c>
      <c r="B645" s="0" t="s">
        <v>5461</v>
      </c>
      <c r="C645" s="0" t="s">
        <v>5462</v>
      </c>
      <c r="D645" s="0" t="s">
        <v>5463</v>
      </c>
    </row>
    <row customHeight="1" ht="11.25">
      <c r="A646" s="0">
        <v>646</v>
      </c>
      <c r="B646" s="0" t="s">
        <v>5461</v>
      </c>
      <c r="C646" s="0" t="s">
        <v>5464</v>
      </c>
      <c r="D646" s="0" t="s">
        <v>5465</v>
      </c>
    </row>
    <row customHeight="1" ht="11.25">
      <c r="A647" s="0">
        <v>647</v>
      </c>
      <c r="B647" s="0" t="s">
        <v>5461</v>
      </c>
      <c r="C647" s="0" t="s">
        <v>5466</v>
      </c>
      <c r="D647" s="0" t="s">
        <v>5467</v>
      </c>
    </row>
    <row customHeight="1" ht="11.25">
      <c r="A648" s="0">
        <v>648</v>
      </c>
      <c r="B648" s="0" t="s">
        <v>5461</v>
      </c>
      <c r="C648" s="0" t="s">
        <v>5468</v>
      </c>
      <c r="D648" s="0" t="s">
        <v>5469</v>
      </c>
    </row>
    <row customHeight="1" ht="11.25">
      <c r="A649" s="0">
        <v>649</v>
      </c>
      <c r="B649" s="0" t="s">
        <v>5461</v>
      </c>
      <c r="C649" s="0" t="s">
        <v>5470</v>
      </c>
      <c r="D649" s="0" t="s">
        <v>5471</v>
      </c>
    </row>
    <row customHeight="1" ht="11.25">
      <c r="A650" s="0">
        <v>650</v>
      </c>
      <c r="B650" s="0" t="s">
        <v>5461</v>
      </c>
      <c r="C650" s="0" t="s">
        <v>5472</v>
      </c>
      <c r="D650" s="0" t="s">
        <v>5473</v>
      </c>
    </row>
    <row customHeight="1" ht="11.25">
      <c r="A651" s="0">
        <v>651</v>
      </c>
      <c r="B651" s="0" t="s">
        <v>5461</v>
      </c>
      <c r="C651" s="0" t="s">
        <v>5474</v>
      </c>
      <c r="D651" s="0" t="s">
        <v>5475</v>
      </c>
    </row>
    <row customHeight="1" ht="11.25">
      <c r="A652" s="0">
        <v>652</v>
      </c>
      <c r="B652" s="0" t="s">
        <v>5461</v>
      </c>
      <c r="C652" s="0" t="s">
        <v>5222</v>
      </c>
      <c r="D652" s="0" t="s">
        <v>5476</v>
      </c>
    </row>
    <row customHeight="1" ht="11.25">
      <c r="A653" s="0">
        <v>653</v>
      </c>
      <c r="B653" s="0" t="s">
        <v>5461</v>
      </c>
      <c r="C653" s="0" t="s">
        <v>5477</v>
      </c>
      <c r="D653" s="0" t="s">
        <v>5478</v>
      </c>
    </row>
    <row customHeight="1" ht="11.25">
      <c r="A654" s="0">
        <v>654</v>
      </c>
      <c r="B654" s="0" t="s">
        <v>5461</v>
      </c>
      <c r="C654" s="0" t="s">
        <v>5461</v>
      </c>
      <c r="D654" s="0" t="s">
        <v>5479</v>
      </c>
    </row>
    <row customHeight="1" ht="11.25">
      <c r="A655" s="0">
        <v>655</v>
      </c>
      <c r="B655" s="0" t="s">
        <v>5461</v>
      </c>
      <c r="C655" s="0" t="s">
        <v>5480</v>
      </c>
      <c r="D655" s="0" t="s">
        <v>5481</v>
      </c>
    </row>
    <row customHeight="1" ht="11.25">
      <c r="A656" s="0">
        <v>656</v>
      </c>
      <c r="B656" s="0" t="s">
        <v>5482</v>
      </c>
      <c r="C656" s="0" t="s">
        <v>5483</v>
      </c>
      <c r="D656" s="0" t="s">
        <v>5484</v>
      </c>
    </row>
    <row customHeight="1" ht="11.25">
      <c r="A657" s="0">
        <v>657</v>
      </c>
      <c r="B657" s="0" t="s">
        <v>5482</v>
      </c>
      <c r="C657" s="0" t="s">
        <v>5485</v>
      </c>
      <c r="D657" s="0" t="s">
        <v>5486</v>
      </c>
    </row>
    <row customHeight="1" ht="11.25">
      <c r="A658" s="0">
        <v>658</v>
      </c>
      <c r="B658" s="0" t="s">
        <v>5482</v>
      </c>
      <c r="C658" s="0" t="s">
        <v>4255</v>
      </c>
      <c r="D658" s="0" t="s">
        <v>5487</v>
      </c>
    </row>
    <row customHeight="1" ht="11.25">
      <c r="A659" s="0">
        <v>659</v>
      </c>
      <c r="B659" s="0" t="s">
        <v>5482</v>
      </c>
      <c r="C659" s="0" t="s">
        <v>5488</v>
      </c>
      <c r="D659" s="0" t="s">
        <v>5489</v>
      </c>
    </row>
    <row customHeight="1" ht="11.25">
      <c r="A660" s="0">
        <v>660</v>
      </c>
      <c r="B660" s="0" t="s">
        <v>5482</v>
      </c>
      <c r="C660" s="0" t="s">
        <v>5490</v>
      </c>
      <c r="D660" s="0" t="s">
        <v>5491</v>
      </c>
    </row>
    <row customHeight="1" ht="11.25">
      <c r="A661" s="0">
        <v>661</v>
      </c>
      <c r="B661" s="0" t="s">
        <v>5482</v>
      </c>
      <c r="C661" s="0" t="s">
        <v>5492</v>
      </c>
      <c r="D661" s="0" t="s">
        <v>5493</v>
      </c>
    </row>
    <row customHeight="1" ht="11.25">
      <c r="A662" s="0">
        <v>662</v>
      </c>
      <c r="B662" s="0" t="s">
        <v>5482</v>
      </c>
      <c r="C662" s="0" t="s">
        <v>5494</v>
      </c>
      <c r="D662" s="0" t="s">
        <v>5495</v>
      </c>
    </row>
    <row customHeight="1" ht="11.25">
      <c r="A663" s="0">
        <v>663</v>
      </c>
      <c r="B663" s="0" t="s">
        <v>5482</v>
      </c>
      <c r="C663" s="0" t="s">
        <v>5496</v>
      </c>
      <c r="D663" s="0" t="s">
        <v>5497</v>
      </c>
    </row>
    <row customHeight="1" ht="11.25">
      <c r="A664" s="0">
        <v>664</v>
      </c>
      <c r="B664" s="0" t="s">
        <v>5482</v>
      </c>
      <c r="C664" s="0" t="s">
        <v>5498</v>
      </c>
      <c r="D664" s="0" t="s">
        <v>5499</v>
      </c>
    </row>
    <row customHeight="1" ht="11.25">
      <c r="A665" s="0">
        <v>665</v>
      </c>
      <c r="B665" s="0" t="s">
        <v>5482</v>
      </c>
      <c r="C665" s="0" t="s">
        <v>5500</v>
      </c>
      <c r="D665" s="0" t="s">
        <v>5501</v>
      </c>
    </row>
    <row customHeight="1" ht="11.25">
      <c r="A666" s="0">
        <v>666</v>
      </c>
      <c r="B666" s="0" t="s">
        <v>5482</v>
      </c>
      <c r="C666" s="0" t="s">
        <v>5482</v>
      </c>
      <c r="D666" s="0" t="s">
        <v>5502</v>
      </c>
    </row>
    <row customHeight="1" ht="11.25">
      <c r="A667" s="0">
        <v>667</v>
      </c>
      <c r="B667" s="0" t="s">
        <v>5482</v>
      </c>
      <c r="C667" s="0" t="s">
        <v>5503</v>
      </c>
      <c r="D667" s="0" t="s">
        <v>5504</v>
      </c>
    </row>
    <row customHeight="1" ht="11.25">
      <c r="A668" s="0">
        <v>668</v>
      </c>
      <c r="B668" s="0" t="s">
        <v>5482</v>
      </c>
      <c r="C668" s="0" t="s">
        <v>5505</v>
      </c>
      <c r="D668" s="0" t="s">
        <v>5506</v>
      </c>
    </row>
    <row customHeight="1" ht="11.25">
      <c r="A669" s="0">
        <v>669</v>
      </c>
      <c r="B669" s="0" t="s">
        <v>5507</v>
      </c>
      <c r="C669" s="0" t="s">
        <v>4355</v>
      </c>
      <c r="D669" s="0" t="s">
        <v>5508</v>
      </c>
    </row>
    <row customHeight="1" ht="11.25">
      <c r="A670" s="0">
        <v>670</v>
      </c>
      <c r="B670" s="0" t="s">
        <v>5507</v>
      </c>
      <c r="C670" s="0" t="s">
        <v>4419</v>
      </c>
      <c r="D670" s="0" t="s">
        <v>5509</v>
      </c>
    </row>
    <row customHeight="1" ht="11.25">
      <c r="A671" s="0">
        <v>671</v>
      </c>
      <c r="B671" s="0" t="s">
        <v>5507</v>
      </c>
      <c r="C671" s="0" t="s">
        <v>4265</v>
      </c>
      <c r="D671" s="0" t="s">
        <v>5510</v>
      </c>
    </row>
    <row customHeight="1" ht="11.25">
      <c r="A672" s="0">
        <v>672</v>
      </c>
      <c r="B672" s="0" t="s">
        <v>5507</v>
      </c>
      <c r="C672" s="0" t="s">
        <v>5511</v>
      </c>
      <c r="D672" s="0" t="s">
        <v>5512</v>
      </c>
    </row>
    <row customHeight="1" ht="11.25">
      <c r="A673" s="0">
        <v>673</v>
      </c>
      <c r="B673" s="0" t="s">
        <v>5507</v>
      </c>
      <c r="C673" s="0" t="s">
        <v>4722</v>
      </c>
      <c r="D673" s="0" t="s">
        <v>5513</v>
      </c>
    </row>
    <row customHeight="1" ht="11.25">
      <c r="A674" s="0">
        <v>674</v>
      </c>
      <c r="B674" s="0" t="s">
        <v>5507</v>
      </c>
      <c r="C674" s="0" t="s">
        <v>5514</v>
      </c>
      <c r="D674" s="0" t="s">
        <v>5515</v>
      </c>
    </row>
    <row customHeight="1" ht="11.25">
      <c r="A675" s="0">
        <v>675</v>
      </c>
      <c r="B675" s="0" t="s">
        <v>5507</v>
      </c>
      <c r="C675" s="0" t="s">
        <v>5516</v>
      </c>
      <c r="D675" s="0" t="s">
        <v>5517</v>
      </c>
    </row>
    <row customHeight="1" ht="11.25">
      <c r="A676" s="0">
        <v>676</v>
      </c>
      <c r="B676" s="0" t="s">
        <v>5507</v>
      </c>
      <c r="C676" s="0" t="s">
        <v>5518</v>
      </c>
      <c r="D676" s="0" t="s">
        <v>5519</v>
      </c>
    </row>
    <row customHeight="1" ht="11.25">
      <c r="A677" s="0">
        <v>677</v>
      </c>
      <c r="B677" s="0" t="s">
        <v>5507</v>
      </c>
      <c r="C677" s="0" t="s">
        <v>5507</v>
      </c>
      <c r="D677" s="0" t="s">
        <v>5520</v>
      </c>
    </row>
    <row customHeight="1" ht="11.25">
      <c r="A678" s="0">
        <v>678</v>
      </c>
      <c r="B678" s="0" t="s">
        <v>5507</v>
      </c>
      <c r="C678" s="0" t="s">
        <v>5434</v>
      </c>
      <c r="D678" s="0" t="s">
        <v>5521</v>
      </c>
    </row>
    <row customHeight="1" ht="11.25">
      <c r="A679" s="0">
        <v>679</v>
      </c>
      <c r="B679" s="0" t="s">
        <v>5522</v>
      </c>
      <c r="C679" s="0" t="s">
        <v>5523</v>
      </c>
      <c r="D679" s="0" t="s">
        <v>5524</v>
      </c>
    </row>
    <row customHeight="1" ht="11.25">
      <c r="A680" s="0">
        <v>680</v>
      </c>
      <c r="B680" s="0" t="s">
        <v>5522</v>
      </c>
      <c r="C680" s="0" t="s">
        <v>5525</v>
      </c>
      <c r="D680" s="0" t="s">
        <v>5526</v>
      </c>
    </row>
    <row customHeight="1" ht="11.25">
      <c r="A681" s="0">
        <v>681</v>
      </c>
      <c r="B681" s="0" t="s">
        <v>5522</v>
      </c>
      <c r="C681" s="0" t="s">
        <v>5527</v>
      </c>
      <c r="D681" s="0" t="s">
        <v>5528</v>
      </c>
    </row>
    <row customHeight="1" ht="11.25">
      <c r="A682" s="0">
        <v>682</v>
      </c>
      <c r="B682" s="0" t="s">
        <v>5522</v>
      </c>
      <c r="C682" s="0" t="s">
        <v>5529</v>
      </c>
      <c r="D682" s="0" t="s">
        <v>5530</v>
      </c>
    </row>
    <row customHeight="1" ht="11.25">
      <c r="A683" s="0">
        <v>683</v>
      </c>
      <c r="B683" s="0" t="s">
        <v>5522</v>
      </c>
      <c r="C683" s="0" t="s">
        <v>5531</v>
      </c>
      <c r="D683" s="0" t="s">
        <v>5532</v>
      </c>
    </row>
    <row customHeight="1" ht="11.25">
      <c r="A684" s="0">
        <v>684</v>
      </c>
      <c r="B684" s="0" t="s">
        <v>5522</v>
      </c>
      <c r="C684" s="0" t="s">
        <v>5533</v>
      </c>
      <c r="D684" s="0" t="s">
        <v>5534</v>
      </c>
    </row>
    <row customHeight="1" ht="11.25">
      <c r="A685" s="0">
        <v>685</v>
      </c>
      <c r="B685" s="0" t="s">
        <v>5522</v>
      </c>
      <c r="C685" s="0" t="s">
        <v>5535</v>
      </c>
      <c r="D685" s="0" t="s">
        <v>5536</v>
      </c>
    </row>
    <row customHeight="1" ht="11.25">
      <c r="A686" s="0">
        <v>686</v>
      </c>
      <c r="B686" s="0" t="s">
        <v>5522</v>
      </c>
      <c r="C686" s="0" t="s">
        <v>5537</v>
      </c>
      <c r="D686" s="0" t="s">
        <v>5538</v>
      </c>
    </row>
    <row customHeight="1" ht="11.25">
      <c r="A687" s="0">
        <v>687</v>
      </c>
      <c r="B687" s="0" t="s">
        <v>5522</v>
      </c>
      <c r="C687" s="0" t="s">
        <v>5522</v>
      </c>
      <c r="D687" s="0" t="s">
        <v>5539</v>
      </c>
    </row>
    <row customHeight="1" ht="11.25">
      <c r="A688" s="0">
        <v>688</v>
      </c>
      <c r="B688" s="0" t="s">
        <v>5522</v>
      </c>
      <c r="C688" s="0" t="s">
        <v>5540</v>
      </c>
      <c r="D688" s="0" t="s">
        <v>5541</v>
      </c>
    </row>
    <row customHeight="1" ht="11.25">
      <c r="A689" s="0">
        <v>689</v>
      </c>
      <c r="B689" s="0" t="s">
        <v>5542</v>
      </c>
      <c r="C689" s="0" t="s">
        <v>5543</v>
      </c>
      <c r="D689" s="0" t="s">
        <v>5544</v>
      </c>
    </row>
    <row customHeight="1" ht="11.25">
      <c r="A690" s="0">
        <v>690</v>
      </c>
      <c r="B690" s="0" t="s">
        <v>5542</v>
      </c>
      <c r="C690" s="0" t="s">
        <v>4988</v>
      </c>
      <c r="D690" s="0" t="s">
        <v>5545</v>
      </c>
    </row>
    <row customHeight="1" ht="11.25">
      <c r="A691" s="0">
        <v>691</v>
      </c>
      <c r="B691" s="0" t="s">
        <v>5542</v>
      </c>
      <c r="C691" s="0" t="s">
        <v>5546</v>
      </c>
      <c r="D691" s="0" t="s">
        <v>5547</v>
      </c>
    </row>
    <row customHeight="1" ht="11.25">
      <c r="A692" s="0">
        <v>692</v>
      </c>
      <c r="B692" s="0" t="s">
        <v>5542</v>
      </c>
      <c r="C692" s="0" t="s">
        <v>5548</v>
      </c>
      <c r="D692" s="0" t="s">
        <v>5549</v>
      </c>
    </row>
    <row customHeight="1" ht="11.25">
      <c r="A693" s="0">
        <v>693</v>
      </c>
      <c r="B693" s="0" t="s">
        <v>5542</v>
      </c>
      <c r="C693" s="0" t="s">
        <v>4480</v>
      </c>
      <c r="D693" s="0" t="s">
        <v>5550</v>
      </c>
    </row>
    <row customHeight="1" ht="11.25">
      <c r="A694" s="0">
        <v>694</v>
      </c>
      <c r="B694" s="0" t="s">
        <v>5542</v>
      </c>
      <c r="C694" s="0" t="s">
        <v>5551</v>
      </c>
      <c r="D694" s="0" t="s">
        <v>5552</v>
      </c>
    </row>
    <row customHeight="1" ht="11.25">
      <c r="A695" s="0">
        <v>695</v>
      </c>
      <c r="B695" s="0" t="s">
        <v>5542</v>
      </c>
      <c r="C695" s="0" t="s">
        <v>5525</v>
      </c>
      <c r="D695" s="0" t="s">
        <v>5553</v>
      </c>
    </row>
    <row customHeight="1" ht="11.25">
      <c r="A696" s="0">
        <v>696</v>
      </c>
      <c r="B696" s="0" t="s">
        <v>5542</v>
      </c>
      <c r="C696" s="0" t="s">
        <v>5554</v>
      </c>
      <c r="D696" s="0" t="s">
        <v>5555</v>
      </c>
    </row>
    <row customHeight="1" ht="11.25">
      <c r="A697" s="0">
        <v>697</v>
      </c>
      <c r="B697" s="0" t="s">
        <v>5542</v>
      </c>
      <c r="C697" s="0" t="s">
        <v>5556</v>
      </c>
      <c r="D697" s="0" t="s">
        <v>5557</v>
      </c>
    </row>
    <row customHeight="1" ht="11.25">
      <c r="A698" s="0">
        <v>698</v>
      </c>
      <c r="B698" s="0" t="s">
        <v>5542</v>
      </c>
      <c r="C698" s="0" t="s">
        <v>5558</v>
      </c>
      <c r="D698" s="0" t="s">
        <v>5559</v>
      </c>
    </row>
    <row customHeight="1" ht="11.25">
      <c r="A699" s="0">
        <v>699</v>
      </c>
      <c r="B699" s="0" t="s">
        <v>5542</v>
      </c>
      <c r="C699" s="0" t="s">
        <v>4344</v>
      </c>
      <c r="D699" s="0" t="s">
        <v>5560</v>
      </c>
    </row>
    <row customHeight="1" ht="11.25">
      <c r="A700" s="0">
        <v>700</v>
      </c>
      <c r="B700" s="0" t="s">
        <v>5542</v>
      </c>
      <c r="C700" s="0" t="s">
        <v>5561</v>
      </c>
      <c r="D700" s="0" t="s">
        <v>5562</v>
      </c>
    </row>
    <row customHeight="1" ht="11.25">
      <c r="A701" s="0">
        <v>701</v>
      </c>
      <c r="B701" s="0" t="s">
        <v>5542</v>
      </c>
      <c r="C701" s="0" t="s">
        <v>5097</v>
      </c>
      <c r="D701" s="0" t="s">
        <v>5563</v>
      </c>
    </row>
    <row customHeight="1" ht="11.25">
      <c r="A702" s="0">
        <v>702</v>
      </c>
      <c r="B702" s="0" t="s">
        <v>5542</v>
      </c>
      <c r="C702" s="0" t="s">
        <v>5564</v>
      </c>
      <c r="D702" s="0" t="s">
        <v>5565</v>
      </c>
    </row>
    <row customHeight="1" ht="11.25">
      <c r="A703" s="0">
        <v>703</v>
      </c>
      <c r="B703" s="0" t="s">
        <v>5542</v>
      </c>
      <c r="C703" s="0" t="s">
        <v>5566</v>
      </c>
      <c r="D703" s="0" t="s">
        <v>5567</v>
      </c>
    </row>
    <row customHeight="1" ht="11.25">
      <c r="A704" s="0">
        <v>704</v>
      </c>
      <c r="B704" s="0" t="s">
        <v>5542</v>
      </c>
      <c r="C704" s="0" t="s">
        <v>5568</v>
      </c>
      <c r="D704" s="0" t="s">
        <v>5569</v>
      </c>
    </row>
    <row customHeight="1" ht="11.25">
      <c r="A705" s="0">
        <v>705</v>
      </c>
      <c r="B705" s="0" t="s">
        <v>5542</v>
      </c>
      <c r="C705" s="0" t="s">
        <v>5570</v>
      </c>
      <c r="D705" s="0" t="s">
        <v>5571</v>
      </c>
    </row>
    <row customHeight="1" ht="11.25">
      <c r="A706" s="0">
        <v>706</v>
      </c>
      <c r="B706" s="0" t="s">
        <v>5542</v>
      </c>
      <c r="C706" s="0" t="s">
        <v>5572</v>
      </c>
      <c r="D706" s="0" t="s">
        <v>5573</v>
      </c>
    </row>
    <row customHeight="1" ht="11.25">
      <c r="A707" s="0">
        <v>707</v>
      </c>
      <c r="B707" s="0" t="s">
        <v>5542</v>
      </c>
      <c r="C707" s="0" t="s">
        <v>5542</v>
      </c>
      <c r="D707" s="0" t="s">
        <v>5574</v>
      </c>
    </row>
    <row customHeight="1" ht="11.25">
      <c r="A708" s="0">
        <v>708</v>
      </c>
      <c r="B708" s="0" t="s">
        <v>5542</v>
      </c>
      <c r="C708" s="0" t="s">
        <v>5575</v>
      </c>
      <c r="D708" s="0" t="s">
        <v>5576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E1C6E3-6BE6-C62A-3168-8CCBA58D9D6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9985" width="9.140625"/>
    <col min="2" max="2" style="19985" width="84.28125" customWidth="1"/>
    <col min="3" max="3" style="19985" width="9.140625"/>
  </cols>
  <sheetData>
    <row customHeight="1" ht="11.25">
      <c r="A1" s="1176" t="s">
        <v>5577</v>
      </c>
      <c r="B1" s="1176" t="s">
        <v>5578</v>
      </c>
      <c r="C1" s="1176" t="s">
        <v>1344</v>
      </c>
    </row>
    <row customHeight="1" ht="11.25">
      <c r="A2" s="1176">
        <v>4189678</v>
      </c>
      <c r="B2" s="1176" t="s">
        <v>5579</v>
      </c>
      <c r="C2" s="1176" t="s">
        <v>5580</v>
      </c>
    </row>
    <row customHeight="1" ht="11.25">
      <c r="A3" s="1176">
        <v>4190415</v>
      </c>
      <c r="B3" s="1176" t="s">
        <v>5581</v>
      </c>
      <c r="C3" s="1176" t="s">
        <v>5580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465089-4BA6-AF74-D0DB-94980F90E9B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9989" width="38.421875" customWidth="1"/>
    <col min="2" max="5" style="19989" width="9.140625"/>
  </cols>
  <sheetData>
    <row customHeight="1" ht="15">
      <c r="A1" s="504" t="s">
        <v>5582</v>
      </c>
      <c r="B1" s="504" t="s">
        <v>5583</v>
      </c>
      <c r="C1" s="504"/>
      <c r="D1" s="504"/>
      <c r="E1" s="504"/>
    </row>
    <row customHeight="1" ht="15">
      <c r="A2" s="504"/>
      <c r="B2" s="504"/>
      <c r="C2" s="504"/>
      <c r="D2" s="504"/>
      <c r="E2" s="504"/>
    </row>
    <row customHeight="1" ht="15">
      <c r="A3" s="504"/>
      <c r="B3" s="504"/>
      <c r="C3" s="504"/>
      <c r="D3" s="504"/>
      <c r="E3" s="504"/>
    </row>
    <row customHeight="1" ht="15">
      <c r="A4" s="504"/>
      <c r="B4" s="504"/>
      <c r="C4" s="504"/>
      <c r="D4" s="504"/>
      <c r="E4" s="504"/>
    </row>
    <row customHeight="1" ht="15">
      <c r="A5" s="504"/>
      <c r="B5" s="504"/>
      <c r="C5" s="504"/>
      <c r="D5" s="504"/>
      <c r="E5" s="504"/>
    </row>
    <row customHeight="1" ht="15">
      <c r="A6" s="504"/>
      <c r="B6" s="504"/>
      <c r="C6" s="504"/>
      <c r="D6" s="504"/>
      <c r="E6" s="504"/>
    </row>
    <row customHeight="1" ht="15">
      <c r="A7" s="504"/>
      <c r="B7" s="504"/>
      <c r="C7" s="504"/>
      <c r="D7" s="504"/>
      <c r="E7" s="504"/>
    </row>
    <row customHeight="1" ht="15">
      <c r="A8" s="504"/>
      <c r="B8" s="504"/>
      <c r="C8" s="504"/>
      <c r="D8" s="504"/>
      <c r="E8" s="504"/>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33DC4C-582B-321B-9F37-AC1B61C88DF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5584</v>
      </c>
      <c r="B1" s="0" t="b">
        <v>1</v>
      </c>
    </row>
    <row customHeight="1" ht="11.25">
      <c r="A2" s="0" t="s">
        <v>5585</v>
      </c>
      <c r="B2" s="0" t="b">
        <v>0</v>
      </c>
    </row>
    <row customHeight="1" ht="11.25">
      <c r="A3" s="0" t="s">
        <v>5586</v>
      </c>
      <c r="B3" s="0" t="b">
        <v>1</v>
      </c>
    </row>
    <row customHeight="1" ht="11.25">
      <c r="A4" s="0" t="s">
        <v>5587</v>
      </c>
      <c r="B4" s="0" t="b">
        <v>0</v>
      </c>
    </row>
    <row customHeight="1" ht="11.25">
      <c r="A5" s="0" t="s">
        <v>5588</v>
      </c>
      <c r="B5" s="0" t="b">
        <v>0</v>
      </c>
    </row>
    <row customHeight="1" ht="11.25">
      <c r="A6" s="0" t="s">
        <v>5589</v>
      </c>
      <c r="B6" s="0" t="b">
        <v>0</v>
      </c>
    </row>
    <row customHeight="1" ht="11.25">
      <c r="A7" s="0" t="s">
        <v>5590</v>
      </c>
      <c r="B7" s="0" t="b">
        <v>0</v>
      </c>
    </row>
    <row customHeight="1" ht="11.25">
      <c r="A8" s="0" t="s">
        <v>5591</v>
      </c>
      <c r="B8" s="0" t="b">
        <v>0</v>
      </c>
    </row>
    <row customHeight="1" ht="11.25">
      <c r="A9" s="0" t="s">
        <v>5592</v>
      </c>
      <c r="B9" s="0" t="b">
        <v>0</v>
      </c>
    </row>
    <row customHeight="1" ht="11.25">
      <c r="A10" s="0" t="s">
        <v>5593</v>
      </c>
      <c r="B10" s="0" t="b">
        <v>0</v>
      </c>
    </row>
    <row customHeight="1" ht="11.25">
      <c r="A11" s="0" t="s">
        <v>5594</v>
      </c>
      <c r="B11" s="0" t="b">
        <v>0</v>
      </c>
    </row>
    <row customHeight="1" ht="11.25">
      <c r="A12" s="0" t="s">
        <v>5595</v>
      </c>
      <c r="B12" s="0" t="b">
        <v>1</v>
      </c>
    </row>
    <row customHeight="1" ht="11.25">
      <c r="A13" s="0" t="s">
        <v>5596</v>
      </c>
      <c r="B13" s="0" t="b">
        <v>0</v>
      </c>
    </row>
    <row customHeight="1" ht="11.25">
      <c r="A14" s="0" t="s">
        <v>5597</v>
      </c>
      <c r="B14" s="0" t="b">
        <v>0</v>
      </c>
    </row>
    <row customHeight="1" ht="11.25">
      <c r="A15" s="0" t="s">
        <v>5598</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68F9D3-40BA-5BE4-0E71-7226DC2D1F0D}"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7195" width="9.140625"/>
  </cols>
  <sheetData>
    <row customHeight="1" ht="12.75">
      <c r="A1" s="404"/>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DC6D63-CBC9-6548-1BFC-CEEE459E16DA}"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7376" width="36.28125" customWidth="1"/>
    <col min="2" max="2" style="17376" width="21.140625" customWidth="1"/>
  </cols>
  <sheetData>
    <row customHeight="1" ht="11.25">
      <c r="A1" s="408" t="s">
        <v>5599</v>
      </c>
      <c r="B1" s="408" t="s">
        <v>5600</v>
      </c>
    </row>
    <row customHeight="1" ht="11.25">
      <c r="A2" s="403" t="s">
        <v>5601</v>
      </c>
      <c r="B2" s="403" t="s">
        <v>5602</v>
      </c>
    </row>
    <row customHeight="1" ht="11.25">
      <c r="A3" s="403" t="s">
        <v>5603</v>
      </c>
      <c r="B3" s="403" t="s">
        <v>5604</v>
      </c>
    </row>
    <row customHeight="1" ht="11.25">
      <c r="A4" s="403" t="s">
        <v>5605</v>
      </c>
      <c r="B4" s="403" t="s">
        <v>5606</v>
      </c>
    </row>
    <row customHeight="1" ht="11.25">
      <c r="A5" s="403" t="s">
        <v>5607</v>
      </c>
      <c r="B5" s="403" t="s">
        <v>5608</v>
      </c>
    </row>
    <row customHeight="1" ht="11.25">
      <c r="A6" s="403" t="s">
        <v>5609</v>
      </c>
      <c r="B6" s="403" t="s">
        <v>5610</v>
      </c>
    </row>
    <row customHeight="1" ht="11.25">
      <c r="A7" s="403" t="s">
        <v>5611</v>
      </c>
      <c r="B7" s="403" t="s">
        <v>5612</v>
      </c>
    </row>
    <row customHeight="1" ht="11.25">
      <c r="A8" s="403" t="s">
        <v>5613</v>
      </c>
      <c r="B8" s="403" t="s">
        <v>5614</v>
      </c>
    </row>
    <row customHeight="1" ht="11.25">
      <c r="A9" s="403" t="s">
        <v>5615</v>
      </c>
      <c r="B9" s="403" t="s">
        <v>5616</v>
      </c>
    </row>
    <row customHeight="1" ht="11.25">
      <c r="A10" s="403" t="s">
        <v>5617</v>
      </c>
      <c r="B10" s="403" t="s">
        <v>5618</v>
      </c>
    </row>
    <row customHeight="1" ht="11.25">
      <c r="A11" s="403" t="s">
        <v>5619</v>
      </c>
      <c r="B11" s="403" t="s">
        <v>5620</v>
      </c>
    </row>
    <row customHeight="1" ht="11.25">
      <c r="A12" s="403" t="s">
        <v>5621</v>
      </c>
      <c r="B12" s="403" t="s">
        <v>5622</v>
      </c>
    </row>
    <row customHeight="1" ht="11.25">
      <c r="A13" s="403" t="s">
        <v>5623</v>
      </c>
      <c r="B13" s="403" t="s">
        <v>5624</v>
      </c>
    </row>
    <row customHeight="1" ht="11.25">
      <c r="A14" s="403" t="s">
        <v>5625</v>
      </c>
      <c r="B14" s="403" t="s">
        <v>5626</v>
      </c>
    </row>
    <row customHeight="1" ht="11.25">
      <c r="A15" s="403" t="s">
        <v>5627</v>
      </c>
      <c r="B15" s="403" t="s">
        <v>5628</v>
      </c>
    </row>
    <row customHeight="1" ht="11.25">
      <c r="A16" s="403" t="s">
        <v>5629</v>
      </c>
      <c r="B16" s="403" t="s">
        <v>5630</v>
      </c>
    </row>
    <row customHeight="1" ht="11.25">
      <c r="A17" s="403" t="s">
        <v>5631</v>
      </c>
      <c r="B17" s="403" t="s">
        <v>5632</v>
      </c>
    </row>
    <row customHeight="1" ht="11.25">
      <c r="A18" s="403" t="s">
        <v>5633</v>
      </c>
      <c r="B18" s="403" t="s">
        <v>5634</v>
      </c>
    </row>
    <row customHeight="1" ht="11.25">
      <c r="A19" s="403" t="s">
        <v>5635</v>
      </c>
      <c r="B19" s="403" t="s">
        <v>5636</v>
      </c>
    </row>
    <row customHeight="1" ht="11.25">
      <c r="A20" s="403" t="s">
        <v>5637</v>
      </c>
      <c r="B20" s="403" t="s">
        <v>5638</v>
      </c>
    </row>
    <row customHeight="1" ht="11.25">
      <c r="A21" s="403" t="s">
        <v>5639</v>
      </c>
      <c r="B21" s="403" t="s">
        <v>5640</v>
      </c>
    </row>
    <row customHeight="1" ht="11.25">
      <c r="A22" s="403" t="s">
        <v>5641</v>
      </c>
      <c r="B22" s="403" t="s">
        <v>5642</v>
      </c>
    </row>
    <row customHeight="1" ht="11.25">
      <c r="A23" s="403" t="s">
        <v>5643</v>
      </c>
      <c r="B23" s="403" t="s">
        <v>5644</v>
      </c>
    </row>
    <row customHeight="1" ht="11.25">
      <c r="A24" s="403" t="s">
        <v>5645</v>
      </c>
      <c r="B24" s="403" t="s">
        <v>5646</v>
      </c>
    </row>
    <row customHeight="1" ht="11.25">
      <c r="A25" s="403" t="s">
        <v>5647</v>
      </c>
      <c r="B25" s="403" t="s">
        <v>5648</v>
      </c>
    </row>
    <row customHeight="1" ht="11.25">
      <c r="A26" s="403" t="s">
        <v>5649</v>
      </c>
      <c r="B26" s="403" t="s">
        <v>5650</v>
      </c>
    </row>
    <row customHeight="1" ht="11.25">
      <c r="A27" s="403" t="s">
        <v>5651</v>
      </c>
      <c r="B27" s="403" t="s">
        <v>5652</v>
      </c>
    </row>
    <row customHeight="1" ht="11.25">
      <c r="A28" s="403" t="s">
        <v>5653</v>
      </c>
      <c r="B28" s="403" t="s">
        <v>5654</v>
      </c>
    </row>
    <row customHeight="1" ht="11.25">
      <c r="A29" s="403" t="s">
        <v>5655</v>
      </c>
      <c r="B29" s="403" t="s">
        <v>5656</v>
      </c>
    </row>
    <row customHeight="1" ht="11.25">
      <c r="A30" s="403" t="s">
        <v>5657</v>
      </c>
      <c r="B30" s="403" t="s">
        <v>5658</v>
      </c>
    </row>
    <row customHeight="1" ht="11.25">
      <c r="A31" s="403" t="s">
        <v>5659</v>
      </c>
      <c r="B31" s="403" t="s">
        <v>5660</v>
      </c>
    </row>
    <row customHeight="1" ht="11.25">
      <c r="A32" s="403" t="s">
        <v>5661</v>
      </c>
      <c r="B32" s="403" t="s">
        <v>5662</v>
      </c>
    </row>
    <row customHeight="1" ht="11.25">
      <c r="A33" s="403" t="s">
        <v>5663</v>
      </c>
      <c r="B33" s="403" t="s">
        <v>5664</v>
      </c>
    </row>
    <row customHeight="1" ht="11.25">
      <c r="A34" s="403" t="s">
        <v>5665</v>
      </c>
      <c r="B34" s="403" t="s">
        <v>5666</v>
      </c>
    </row>
    <row customHeight="1" ht="11.25">
      <c r="A35" s="403" t="s">
        <v>5667</v>
      </c>
      <c r="B35" s="403" t="s">
        <v>5668</v>
      </c>
    </row>
    <row customHeight="1" ht="11.25">
      <c r="A36" s="403" t="s">
        <v>5669</v>
      </c>
      <c r="B36" s="403" t="s">
        <v>5670</v>
      </c>
    </row>
    <row customHeight="1" ht="11.25">
      <c r="A37" s="403" t="s">
        <v>5671</v>
      </c>
      <c r="B37" s="403" t="s">
        <v>5672</v>
      </c>
    </row>
    <row customHeight="1" ht="11.25">
      <c r="A38" s="403" t="s">
        <v>5673</v>
      </c>
      <c r="B38" s="403" t="s">
        <v>5674</v>
      </c>
    </row>
    <row customHeight="1" ht="11.25">
      <c r="A39" s="403" t="s">
        <v>5675</v>
      </c>
      <c r="B39" s="403" t="s">
        <v>5676</v>
      </c>
    </row>
    <row customHeight="1" ht="11.25">
      <c r="A40" s="403" t="s">
        <v>5677</v>
      </c>
      <c r="B40" s="403" t="s">
        <v>5678</v>
      </c>
    </row>
    <row customHeight="1" ht="11.25">
      <c r="A41" s="403" t="s">
        <v>5679</v>
      </c>
      <c r="B41" s="403" t="s">
        <v>5680</v>
      </c>
    </row>
    <row customHeight="1" ht="11.25">
      <c r="A42" s="403" t="s">
        <v>5681</v>
      </c>
      <c r="B42" s="403" t="s">
        <v>5682</v>
      </c>
    </row>
    <row customHeight="1" ht="11.25">
      <c r="A43" s="403" t="s">
        <v>5683</v>
      </c>
      <c r="B43" s="403" t="s">
        <v>5684</v>
      </c>
    </row>
    <row customHeight="1" ht="11.25">
      <c r="A44" s="403" t="s">
        <v>5685</v>
      </c>
      <c r="B44" s="403" t="s">
        <v>5686</v>
      </c>
    </row>
    <row customHeight="1" ht="11.25">
      <c r="A45" s="403" t="s">
        <v>5687</v>
      </c>
      <c r="B45" s="403" t="s">
        <v>5688</v>
      </c>
    </row>
    <row customHeight="1" ht="11.25">
      <c r="A46" s="403" t="s">
        <v>5689</v>
      </c>
      <c r="B46" s="403" t="s">
        <v>5690</v>
      </c>
    </row>
    <row customHeight="1" ht="11.25">
      <c r="A47" s="403" t="s">
        <v>5691</v>
      </c>
      <c r="B47" s="403" t="s">
        <v>5692</v>
      </c>
    </row>
    <row customHeight="1" ht="11.25">
      <c r="A48" s="403" t="s">
        <v>5693</v>
      </c>
      <c r="B48" s="403" t="s">
        <v>5694</v>
      </c>
    </row>
    <row customHeight="1" ht="11.25">
      <c r="A49" s="403" t="s">
        <v>5695</v>
      </c>
      <c r="B49" s="403" t="s">
        <v>5696</v>
      </c>
    </row>
    <row customHeight="1" ht="11.25">
      <c r="A50" s="403" t="s">
        <v>5697</v>
      </c>
      <c r="B50" s="403" t="s">
        <v>5698</v>
      </c>
    </row>
    <row customHeight="1" ht="11.25">
      <c r="A51" s="403" t="s">
        <v>5699</v>
      </c>
      <c r="B51" s="403" t="s">
        <v>5700</v>
      </c>
    </row>
    <row customHeight="1" ht="11.25">
      <c r="A52" s="403" t="s">
        <v>5701</v>
      </c>
      <c r="B52" s="403" t="s">
        <v>5702</v>
      </c>
    </row>
    <row customHeight="1" ht="11.25">
      <c r="A53" s="403" t="s">
        <v>5703</v>
      </c>
      <c r="B53" s="403" t="s">
        <v>5704</v>
      </c>
    </row>
    <row customHeight="1" ht="11.25">
      <c r="A54" s="403" t="s">
        <v>5705</v>
      </c>
      <c r="B54" s="403" t="s">
        <v>5706</v>
      </c>
    </row>
    <row customHeight="1" ht="11.25">
      <c r="A55" s="403" t="s">
        <v>5707</v>
      </c>
      <c r="B55" s="403" t="s">
        <v>5708</v>
      </c>
    </row>
    <row customHeight="1" ht="11.25">
      <c r="A56" s="403" t="s">
        <v>5709</v>
      </c>
      <c r="B56" s="403" t="s">
        <v>5710</v>
      </c>
    </row>
    <row customHeight="1" ht="11.25">
      <c r="A57" s="403" t="s">
        <v>5711</v>
      </c>
      <c r="B57" s="403" t="s">
        <v>5712</v>
      </c>
    </row>
    <row customHeight="1" ht="11.25">
      <c r="A58" s="403" t="s">
        <v>5713</v>
      </c>
      <c r="B58" s="403" t="s">
        <v>5714</v>
      </c>
    </row>
    <row customHeight="1" ht="11.25">
      <c r="A59" s="403" t="s">
        <v>5715</v>
      </c>
      <c r="B59" s="403" t="s">
        <v>5716</v>
      </c>
    </row>
    <row customHeight="1" ht="11.25">
      <c r="A60" s="403" t="s">
        <v>5717</v>
      </c>
      <c r="B60" s="403" t="s">
        <v>5718</v>
      </c>
    </row>
    <row customHeight="1" ht="11.25">
      <c r="A61" s="403"/>
      <c r="B61" s="403" t="s">
        <v>5719</v>
      </c>
    </row>
    <row customHeight="1" ht="11.25">
      <c r="A62" s="403"/>
      <c r="B62" s="403" t="s">
        <v>5720</v>
      </c>
    </row>
    <row customHeight="1" ht="11.25">
      <c r="A63" s="403"/>
      <c r="B63" s="403" t="s">
        <v>5721</v>
      </c>
    </row>
    <row customHeight="1" ht="11.25">
      <c r="A64" s="403"/>
      <c r="B64" s="403" t="s">
        <v>5722</v>
      </c>
    </row>
    <row customHeight="1" ht="11.25">
      <c r="A65" s="403"/>
      <c r="B65" s="403" t="s">
        <v>5723</v>
      </c>
    </row>
    <row customHeight="1" ht="11.25">
      <c r="A66" s="403"/>
      <c r="B66" s="403" t="s">
        <v>5724</v>
      </c>
    </row>
    <row customHeight="1" ht="11.25">
      <c r="A67" s="403"/>
      <c r="B67" s="403" t="s">
        <v>5725</v>
      </c>
    </row>
    <row customHeight="1" ht="11.25">
      <c r="A68" s="403"/>
      <c r="B68" s="403" t="s">
        <v>5726</v>
      </c>
    </row>
    <row customHeight="1" ht="11.25">
      <c r="A69" s="403"/>
      <c r="B69" s="403" t="s">
        <v>5727</v>
      </c>
    </row>
    <row customHeight="1" ht="11.25">
      <c r="A70" s="403"/>
      <c r="B70" s="403" t="s">
        <v>5728</v>
      </c>
    </row>
    <row customHeight="1" ht="11.25">
      <c r="A71" s="403"/>
      <c r="B71" s="403"/>
    </row>
    <row customHeight="1" ht="11.25">
      <c r="A72" s="403"/>
      <c r="B72" s="403"/>
    </row>
    <row customHeight="1" ht="11.25">
      <c r="A73" s="403"/>
      <c r="B73" s="403"/>
    </row>
    <row customHeight="1" ht="11.25">
      <c r="A74" s="403"/>
      <c r="B74" s="403"/>
    </row>
    <row customHeight="1" ht="11.25">
      <c r="A75" s="403"/>
      <c r="B75" s="403"/>
    </row>
    <row customHeight="1" ht="11.25">
      <c r="A76" s="403"/>
      <c r="B76" s="403"/>
    </row>
    <row customHeight="1" ht="11.25">
      <c r="A77" s="403"/>
      <c r="B77" s="403"/>
    </row>
    <row customHeight="1" ht="11.25">
      <c r="A78" s="403"/>
      <c r="B78" s="403"/>
    </row>
    <row customHeight="1" ht="11.25">
      <c r="A79" s="403"/>
      <c r="B79" s="403"/>
    </row>
    <row customHeight="1" ht="11.25">
      <c r="A80" s="403"/>
      <c r="B80" s="403"/>
    </row>
    <row customHeight="1" ht="11.25">
      <c r="A81" s="403"/>
      <c r="B81" s="403"/>
    </row>
    <row customHeight="1" ht="11.25">
      <c r="A82" s="403"/>
      <c r="B82" s="403"/>
    </row>
    <row customHeight="1" ht="11.25">
      <c r="A83" s="403"/>
      <c r="B83" s="403"/>
    </row>
    <row customHeight="1" ht="11.25">
      <c r="A84" s="403"/>
      <c r="B84" s="403"/>
    </row>
    <row customHeight="1" ht="11.25">
      <c r="A85" s="403"/>
      <c r="B85" s="403"/>
    </row>
    <row customHeight="1" ht="11.25">
      <c r="A86" s="403"/>
      <c r="B86" s="403"/>
    </row>
    <row customHeight="1" ht="11.25">
      <c r="A87" s="403"/>
      <c r="B87" s="403"/>
    </row>
    <row customHeight="1" ht="11.25">
      <c r="A88" s="403"/>
      <c r="B88" s="403"/>
    </row>
    <row customHeight="1" ht="11.25">
      <c r="A89" s="403"/>
      <c r="B89" s="403"/>
    </row>
    <row customHeight="1" ht="11.25">
      <c r="A90" s="403"/>
      <c r="B90" s="403"/>
    </row>
    <row customHeight="1" ht="11.25">
      <c r="A91" s="403"/>
      <c r="B91" s="403"/>
    </row>
    <row customHeight="1" ht="11.25">
      <c r="A92" s="403"/>
      <c r="B92" s="403"/>
    </row>
    <row customHeight="1" ht="11.25">
      <c r="A93" s="403"/>
      <c r="B93" s="403"/>
    </row>
    <row customHeight="1" ht="11.25">
      <c r="A94" s="403"/>
      <c r="B94" s="403"/>
    </row>
    <row customHeight="1" ht="11.25">
      <c r="A95" s="403"/>
      <c r="B95" s="403"/>
    </row>
    <row customHeight="1" ht="11.25">
      <c r="A96" s="403"/>
      <c r="B96" s="403"/>
    </row>
    <row customHeight="1" ht="11.25">
      <c r="A97" s="403"/>
      <c r="B97" s="403"/>
    </row>
    <row customHeight="1" ht="11.25">
      <c r="A98" s="403"/>
      <c r="B98" s="403"/>
    </row>
    <row customHeight="1" ht="11.25">
      <c r="A99" s="403"/>
      <c r="B99" s="403"/>
    </row>
    <row customHeight="1" ht="11.25">
      <c r="A100" s="403"/>
      <c r="B100" s="403"/>
    </row>
    <row customHeight="1" ht="11.25">
      <c r="A101" s="403"/>
      <c r="B101" s="403"/>
    </row>
    <row customHeight="1" ht="11.25">
      <c r="A102" s="403"/>
      <c r="B102" s="403"/>
    </row>
    <row customHeight="1" ht="11.25">
      <c r="A103" s="403"/>
      <c r="B103" s="403"/>
    </row>
    <row customHeight="1" ht="11.25">
      <c r="A104" s="403"/>
      <c r="B104" s="403"/>
    </row>
    <row customHeight="1" ht="11.25">
      <c r="A105" s="403"/>
      <c r="B105" s="403"/>
    </row>
    <row customHeight="1" ht="11.25">
      <c r="A106" s="403"/>
      <c r="B106" s="403"/>
    </row>
    <row customHeight="1" ht="11.25">
      <c r="A107" s="403"/>
      <c r="B107" s="403"/>
    </row>
    <row customHeight="1" ht="11.25">
      <c r="A108" s="403"/>
      <c r="B108" s="403"/>
    </row>
    <row customHeight="1" ht="11.25">
      <c r="A109" s="403"/>
      <c r="B109" s="403"/>
    </row>
    <row customHeight="1" ht="11.25">
      <c r="A110" s="403"/>
      <c r="B110" s="403"/>
    </row>
    <row customHeight="1" ht="11.25">
      <c r="A111" s="403"/>
      <c r="B111" s="403"/>
    </row>
    <row customHeight="1" ht="11.25">
      <c r="A112" s="403"/>
      <c r="B112" s="403"/>
    </row>
    <row customHeight="1" ht="11.25">
      <c r="A113" s="403"/>
      <c r="B113" s="403"/>
    </row>
    <row customHeight="1" ht="11.25">
      <c r="A114" s="403"/>
      <c r="B114" s="403"/>
    </row>
    <row customHeight="1" ht="11.25">
      <c r="A115" s="403"/>
      <c r="B115" s="403"/>
    </row>
    <row customHeight="1" ht="11.25">
      <c r="A116" s="403"/>
      <c r="B116" s="403"/>
    </row>
    <row customHeight="1" ht="11.25">
      <c r="A117" s="403"/>
      <c r="B117" s="403"/>
    </row>
    <row customHeight="1" ht="11.25">
      <c r="A118" s="403"/>
      <c r="B118" s="403"/>
    </row>
    <row customHeight="1" ht="11.25">
      <c r="A119" s="403"/>
      <c r="B119" s="403"/>
    </row>
    <row customHeight="1" ht="11.25">
      <c r="A120" s="403"/>
      <c r="B120" s="403"/>
    </row>
    <row customHeight="1" ht="11.25">
      <c r="A121" s="403"/>
      <c r="B121" s="403"/>
    </row>
    <row customHeight="1" ht="11.25">
      <c r="A122" s="403"/>
      <c r="B122" s="403"/>
    </row>
    <row customHeight="1" ht="11.25">
      <c r="A123" s="403"/>
      <c r="B123" s="403"/>
    </row>
    <row customHeight="1" ht="11.25">
      <c r="A124" s="403"/>
      <c r="B124" s="403"/>
    </row>
    <row customHeight="1" ht="11.25">
      <c r="A125" s="403"/>
      <c r="B125" s="403"/>
    </row>
    <row customHeight="1" ht="11.25">
      <c r="A126" s="403"/>
      <c r="B126" s="403"/>
    </row>
    <row customHeight="1" ht="11.25">
      <c r="A127" s="403"/>
      <c r="B127" s="403"/>
    </row>
    <row customHeight="1" ht="11.25">
      <c r="A128" s="403"/>
      <c r="B128" s="403"/>
    </row>
    <row customHeight="1" ht="11.25">
      <c r="A129" s="403"/>
      <c r="B129" s="403"/>
    </row>
    <row customHeight="1" ht="11.25">
      <c r="A130" s="403"/>
      <c r="B130" s="403"/>
    </row>
    <row customHeight="1" ht="11.25">
      <c r="A131" s="403"/>
      <c r="B131" s="403"/>
    </row>
    <row customHeight="1" ht="11.25">
      <c r="A132" s="403"/>
      <c r="B132" s="403"/>
    </row>
    <row customHeight="1" ht="11.25">
      <c r="A133" s="403"/>
      <c r="B133" s="403"/>
    </row>
    <row customHeight="1" ht="11.25">
      <c r="A134" s="403"/>
      <c r="B134" s="403"/>
    </row>
    <row customHeight="1" ht="11.25">
      <c r="A135" s="403"/>
      <c r="B135" s="403"/>
    </row>
    <row customHeight="1" ht="11.25">
      <c r="A136" s="403"/>
      <c r="B136" s="403"/>
    </row>
    <row customHeight="1" ht="11.25">
      <c r="A137" s="403"/>
      <c r="B137" s="403"/>
    </row>
    <row customHeight="1" ht="11.25">
      <c r="A138" s="403"/>
      <c r="B138" s="403"/>
    </row>
    <row customHeight="1" ht="11.25">
      <c r="A139" s="403"/>
      <c r="B139" s="403"/>
    </row>
    <row customHeight="1" ht="11.25">
      <c r="A140" s="403"/>
      <c r="B140" s="403"/>
    </row>
    <row customHeight="1" ht="11.25">
      <c r="A141" s="403"/>
      <c r="B141" s="403"/>
    </row>
    <row customHeight="1" ht="11.25">
      <c r="A142" s="403"/>
      <c r="B142" s="403"/>
    </row>
    <row customHeight="1" ht="11.25">
      <c r="A143" s="403"/>
      <c r="B143" s="403"/>
    </row>
    <row customHeight="1" ht="11.25">
      <c r="A144" s="403"/>
      <c r="B144" s="403"/>
    </row>
    <row customHeight="1" ht="11.25">
      <c r="A145" s="403"/>
      <c r="B145" s="403"/>
    </row>
    <row customHeight="1" ht="11.25">
      <c r="A146" s="403"/>
      <c r="B146" s="403"/>
    </row>
    <row customHeight="1" ht="11.25">
      <c r="A147" s="403"/>
      <c r="B147" s="403"/>
    </row>
    <row customHeight="1" ht="11.25">
      <c r="A148" s="403"/>
      <c r="B148" s="403"/>
    </row>
    <row customHeight="1" ht="11.25">
      <c r="A149" s="403"/>
      <c r="B149" s="403"/>
    </row>
    <row customHeight="1" ht="11.25">
      <c r="A150" s="403"/>
      <c r="B150" s="403"/>
    </row>
    <row customHeight="1" ht="11.25">
      <c r="A151" s="403"/>
      <c r="B151" s="403"/>
    </row>
    <row customHeight="1" ht="11.25">
      <c r="A152" s="403"/>
      <c r="B152" s="403"/>
    </row>
    <row customHeight="1" ht="11.25">
      <c r="A153" s="403"/>
      <c r="B153" s="403"/>
    </row>
    <row customHeight="1" ht="11.25">
      <c r="A154" s="403"/>
      <c r="B154" s="403"/>
    </row>
    <row customHeight="1" ht="11.25">
      <c r="A155" s="403"/>
      <c r="B155" s="403"/>
    </row>
    <row customHeight="1" ht="11.25">
      <c r="A156" s="403"/>
      <c r="B156" s="403"/>
    </row>
    <row customHeight="1" ht="11.25">
      <c r="A157" s="403"/>
      <c r="B157" s="403"/>
    </row>
    <row customHeight="1" ht="11.25">
      <c r="A158" s="403"/>
      <c r="B158" s="403"/>
    </row>
    <row customHeight="1" ht="11.25">
      <c r="A159" s="403"/>
      <c r="B159" s="403"/>
    </row>
    <row customHeight="1" ht="11.25">
      <c r="A160" s="403"/>
      <c r="B160" s="403"/>
    </row>
    <row customHeight="1" ht="11.25">
      <c r="A161" s="403"/>
      <c r="B161" s="403"/>
    </row>
    <row customHeight="1" ht="11.25">
      <c r="A162" s="403"/>
      <c r="B162" s="403"/>
    </row>
    <row customHeight="1" ht="11.25">
      <c r="A163" s="403"/>
      <c r="B163" s="403"/>
    </row>
    <row customHeight="1" ht="11.25">
      <c r="A164" s="403"/>
      <c r="B164" s="403"/>
    </row>
    <row customHeight="1" ht="11.25">
      <c r="A165" s="403"/>
      <c r="B165" s="403"/>
    </row>
    <row customHeight="1" ht="11.25">
      <c r="A166" s="403"/>
      <c r="B166" s="403"/>
    </row>
    <row customHeight="1" ht="11.25">
      <c r="A167" s="403"/>
      <c r="B167" s="403"/>
    </row>
    <row customHeight="1" ht="11.25">
      <c r="A168" s="403"/>
      <c r="B168" s="403"/>
    </row>
    <row customHeight="1" ht="11.25">
      <c r="A169" s="403"/>
      <c r="B169" s="403"/>
    </row>
    <row customHeight="1" ht="11.25">
      <c r="A170" s="403"/>
      <c r="B170" s="403"/>
    </row>
    <row customHeight="1" ht="11.25">
      <c r="A171" s="403"/>
      <c r="B171" s="403"/>
    </row>
    <row customHeight="1" ht="11.25">
      <c r="A172" s="403"/>
      <c r="B172" s="403"/>
    </row>
    <row customHeight="1" ht="11.25">
      <c r="A173" s="403"/>
      <c r="B173" s="403"/>
    </row>
    <row customHeight="1" ht="11.25">
      <c r="A174" s="403"/>
      <c r="B174" s="403"/>
    </row>
    <row customHeight="1" ht="11.25">
      <c r="A175" s="403"/>
      <c r="B175" s="403"/>
    </row>
    <row customHeight="1" ht="11.25">
      <c r="A176" s="403"/>
      <c r="B176" s="403"/>
    </row>
    <row customHeight="1" ht="11.25">
      <c r="A177" s="403"/>
      <c r="B177" s="403"/>
    </row>
    <row customHeight="1" ht="11.25">
      <c r="A178" s="403"/>
      <c r="B178" s="403"/>
    </row>
    <row customHeight="1" ht="11.25">
      <c r="A179" s="403"/>
      <c r="B179" s="403"/>
    </row>
    <row customHeight="1" ht="11.25">
      <c r="A180" s="403"/>
      <c r="B180" s="403"/>
    </row>
    <row customHeight="1" ht="11.25">
      <c r="A181" s="403"/>
      <c r="B181" s="403"/>
    </row>
    <row customHeight="1" ht="11.25">
      <c r="A182" s="403"/>
      <c r="B182" s="403"/>
    </row>
    <row customHeight="1" ht="11.25">
      <c r="A183" s="403"/>
      <c r="B183" s="403"/>
    </row>
    <row customHeight="1" ht="11.25">
      <c r="A184" s="403"/>
      <c r="B184" s="403"/>
    </row>
    <row customHeight="1" ht="11.25">
      <c r="A185" s="403"/>
      <c r="B185" s="403"/>
    </row>
    <row customHeight="1" ht="11.25">
      <c r="A186" s="403"/>
      <c r="B186" s="403"/>
    </row>
    <row customHeight="1" ht="11.25">
      <c r="A187" s="403"/>
      <c r="B187" s="403"/>
    </row>
    <row customHeight="1" ht="11.25">
      <c r="A188" s="403"/>
      <c r="B188" s="403"/>
    </row>
    <row customHeight="1" ht="11.25">
      <c r="A189" s="403"/>
      <c r="B189" s="403"/>
    </row>
    <row customHeight="1" ht="11.25">
      <c r="A190" s="403"/>
      <c r="B190" s="403"/>
    </row>
    <row customHeight="1" ht="11.25">
      <c r="A191" s="403"/>
      <c r="B191" s="403"/>
    </row>
    <row customHeight="1" ht="11.25">
      <c r="A192" s="403"/>
      <c r="B192" s="403"/>
    </row>
    <row customHeight="1" ht="11.25">
      <c r="A193" s="403"/>
      <c r="B193" s="403"/>
    </row>
    <row customHeight="1" ht="11.25">
      <c r="A194" s="403"/>
      <c r="B194" s="403"/>
    </row>
    <row customHeight="1" ht="11.25">
      <c r="A195" s="403"/>
      <c r="B195" s="403"/>
    </row>
    <row customHeight="1" ht="11.25">
      <c r="A196" s="403"/>
      <c r="B196" s="403"/>
    </row>
    <row customHeight="1" ht="11.25">
      <c r="A197" s="403"/>
      <c r="B197" s="403"/>
    </row>
    <row customHeight="1" ht="11.25">
      <c r="A198" s="403"/>
      <c r="B198" s="403"/>
    </row>
    <row customHeight="1" ht="11.25">
      <c r="A199" s="403"/>
      <c r="B199" s="403"/>
    </row>
    <row customHeight="1" ht="11.25">
      <c r="A200" s="403"/>
      <c r="B200" s="403"/>
    </row>
    <row customHeight="1" ht="11.25">
      <c r="A201" s="403"/>
      <c r="B201" s="403"/>
    </row>
    <row customHeight="1" ht="11.25">
      <c r="A202" s="403"/>
      <c r="B202" s="403"/>
    </row>
    <row customHeight="1" ht="11.25">
      <c r="A203" s="403"/>
      <c r="B203" s="403"/>
    </row>
    <row customHeight="1" ht="11.25">
      <c r="A204" s="403"/>
      <c r="B204" s="403"/>
    </row>
    <row customHeight="1" ht="11.25">
      <c r="A205" s="403"/>
      <c r="B205" s="403"/>
    </row>
    <row customHeight="1" ht="11.25">
      <c r="A206" s="403"/>
      <c r="B206" s="403"/>
    </row>
    <row customHeight="1" ht="11.25">
      <c r="A207" s="403"/>
      <c r="B207" s="403"/>
    </row>
    <row customHeight="1" ht="11.25">
      <c r="A208" s="403"/>
      <c r="B208" s="403"/>
    </row>
    <row customHeight="1" ht="11.25">
      <c r="A209" s="403"/>
      <c r="B209" s="403"/>
    </row>
    <row customHeight="1" ht="11.25">
      <c r="A210" s="403"/>
      <c r="B210" s="403"/>
    </row>
    <row customHeight="1" ht="11.25">
      <c r="A211" s="403"/>
      <c r="B211" s="403"/>
    </row>
    <row customHeight="1" ht="11.25">
      <c r="A212" s="403"/>
      <c r="B212" s="403"/>
    </row>
    <row customHeight="1" ht="11.25">
      <c r="A213" s="403"/>
      <c r="B213" s="403"/>
    </row>
    <row customHeight="1" ht="11.25">
      <c r="A214" s="403"/>
      <c r="B214" s="403"/>
    </row>
    <row customHeight="1" ht="11.25">
      <c r="A215" s="403"/>
      <c r="B215" s="403"/>
    </row>
    <row customHeight="1" ht="11.25">
      <c r="A216" s="403"/>
      <c r="B216" s="403"/>
    </row>
    <row customHeight="1" ht="11.25">
      <c r="A217" s="403"/>
      <c r="B217" s="403"/>
    </row>
    <row customHeight="1" ht="11.25">
      <c r="A218" s="403"/>
      <c r="B218" s="403"/>
    </row>
    <row customHeight="1" ht="11.25">
      <c r="A219" s="403"/>
      <c r="B219" s="403"/>
    </row>
    <row customHeight="1" ht="11.25">
      <c r="A220" s="403"/>
      <c r="B220" s="403"/>
    </row>
    <row customHeight="1" ht="11.25">
      <c r="A221" s="403"/>
      <c r="B221" s="403"/>
    </row>
    <row customHeight="1" ht="11.25">
      <c r="A222" s="403"/>
      <c r="B222" s="403"/>
    </row>
    <row customHeight="1" ht="11.25">
      <c r="A223" s="403"/>
      <c r="B223" s="403"/>
    </row>
    <row customHeight="1" ht="11.25">
      <c r="A224" s="403"/>
      <c r="B224" s="403"/>
    </row>
    <row customHeight="1" ht="11.25">
      <c r="A225" s="403"/>
      <c r="B225" s="403"/>
    </row>
    <row customHeight="1" ht="11.25">
      <c r="A226" s="403"/>
      <c r="B226" s="403"/>
    </row>
    <row customHeight="1" ht="11.25">
      <c r="A227" s="403"/>
      <c r="B227" s="403"/>
    </row>
    <row customHeight="1" ht="11.25">
      <c r="A228" s="403"/>
      <c r="B228" s="403"/>
    </row>
    <row customHeight="1" ht="11.25">
      <c r="A229" s="403"/>
      <c r="B229" s="403"/>
    </row>
    <row customHeight="1" ht="11.25">
      <c r="A230" s="403"/>
      <c r="B230" s="403"/>
    </row>
    <row customHeight="1" ht="11.25">
      <c r="A231" s="403"/>
      <c r="B231" s="403"/>
    </row>
    <row customHeight="1" ht="11.25">
      <c r="A232" s="403"/>
      <c r="B232" s="403"/>
    </row>
    <row customHeight="1" ht="11.25">
      <c r="A233" s="403"/>
      <c r="B233" s="403"/>
    </row>
    <row customHeight="1" ht="11.25">
      <c r="A234" s="403"/>
      <c r="B234" s="403"/>
    </row>
    <row customHeight="1" ht="11.25">
      <c r="A235" s="403"/>
      <c r="B235" s="403"/>
    </row>
    <row customHeight="1" ht="11.25">
      <c r="A236" s="403"/>
      <c r="B236" s="403"/>
    </row>
    <row customHeight="1" ht="11.25">
      <c r="A237" s="403"/>
      <c r="B237" s="403"/>
    </row>
    <row customHeight="1" ht="11.25">
      <c r="A238" s="403"/>
      <c r="B238" s="403"/>
    </row>
    <row customHeight="1" ht="11.25">
      <c r="A239" s="403"/>
      <c r="B239" s="403"/>
    </row>
    <row customHeight="1" ht="11.25">
      <c r="A240" s="403"/>
      <c r="B240" s="403"/>
    </row>
    <row customHeight="1" ht="11.25">
      <c r="A241" s="403"/>
      <c r="B241" s="403"/>
    </row>
    <row customHeight="1" ht="11.25">
      <c r="A242" s="403"/>
      <c r="B242" s="403"/>
    </row>
    <row customHeight="1" ht="11.25">
      <c r="A243" s="403"/>
      <c r="B243" s="403"/>
    </row>
    <row customHeight="1" ht="11.25">
      <c r="A244" s="403"/>
      <c r="B244" s="403"/>
    </row>
    <row customHeight="1" ht="11.25">
      <c r="A245" s="403"/>
      <c r="B245" s="403"/>
    </row>
    <row customHeight="1" ht="11.25">
      <c r="A246" s="403"/>
      <c r="B246" s="403"/>
    </row>
    <row customHeight="1" ht="11.25">
      <c r="A247" s="403"/>
      <c r="B247" s="403"/>
    </row>
    <row customHeight="1" ht="11.25">
      <c r="A248" s="403"/>
      <c r="B248" s="403"/>
    </row>
    <row customHeight="1" ht="11.25">
      <c r="A249" s="403"/>
      <c r="B249" s="403"/>
    </row>
    <row customHeight="1" ht="11.25">
      <c r="A250" s="403"/>
      <c r="B250" s="403"/>
    </row>
    <row customHeight="1" ht="11.25">
      <c r="A251" s="403"/>
      <c r="B251" s="403"/>
    </row>
    <row customHeight="1" ht="11.25">
      <c r="A252" s="403"/>
      <c r="B252" s="403"/>
    </row>
    <row customHeight="1" ht="11.25">
      <c r="A253" s="403"/>
      <c r="B253" s="403"/>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508AD9-6A1C-0343-3292-040C99F1E587}"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7376" width="3.7109375" customWidth="1"/>
    <col min="2" max="2" style="17376" width="90.7109375" customWidth="1"/>
    <col min="3" max="4" style="17376" width="9.140625"/>
  </cols>
  <sheetData>
    <row customHeight="1" ht="11.25">
      <c r="B1" s="434" t="s">
        <v>5729</v>
      </c>
    </row>
    <row customHeight="1" ht="90">
      <c r="B2" s="435" t="s">
        <v>5730</v>
      </c>
    </row>
    <row customHeight="1" ht="67.5">
      <c r="B3" s="435" t="s">
        <v>5731</v>
      </c>
    </row>
    <row customHeight="1" ht="33.75">
      <c r="B4" s="435" t="s">
        <v>5732</v>
      </c>
    </row>
    <row customHeight="1" ht="11.25">
      <c r="B5" s="435" t="s">
        <v>5733</v>
      </c>
    </row>
    <row customHeight="1" ht="22.5">
      <c r="B6" s="435" t="s">
        <v>5734</v>
      </c>
    </row>
    <row customHeight="1" ht="22.5">
      <c r="B7" s="435" t="s">
        <v>5735</v>
      </c>
    </row>
    <row customHeight="1" ht="22.5">
      <c r="B8" s="435" t="s">
        <v>5736</v>
      </c>
    </row>
    <row customHeight="1" ht="22.5">
      <c r="B9" s="435" t="s">
        <v>5737</v>
      </c>
    </row>
    <row customHeight="1" ht="56.25">
      <c r="B10" s="435" t="s">
        <v>5738</v>
      </c>
    </row>
    <row customHeight="1" ht="12.75">
      <c r="B11" s="500" t="s">
        <v>5739</v>
      </c>
    </row>
    <row customHeight="1" ht="11.25">
      <c r="B12" s="434" t="s">
        <v>5740</v>
      </c>
    </row>
    <row customHeight="1" ht="22.5">
      <c r="B13" s="435" t="s">
        <v>5741</v>
      </c>
    </row>
    <row customHeight="1" ht="67.5">
      <c r="B14" s="435" t="s">
        <v>5742</v>
      </c>
    </row>
    <row customHeight="1" ht="22.5">
      <c r="B15" s="435" t="s">
        <v>5743</v>
      </c>
    </row>
    <row customHeight="1" ht="11.25">
      <c r="B16" s="434" t="s">
        <v>5744</v>
      </c>
      <c r="D16" s="441"/>
    </row>
    <row customHeight="1" ht="33.75">
      <c r="B17" s="435" t="s">
        <v>5745</v>
      </c>
    </row>
    <row customHeight="1" ht="33.75">
      <c r="B18" s="435" t="s">
        <v>5746</v>
      </c>
    </row>
    <row customHeight="1" ht="11.25">
      <c r="B19" s="435" t="s">
        <v>5747</v>
      </c>
    </row>
    <row customHeight="1" ht="33.75">
      <c r="B20" s="435" t="s">
        <v>5748</v>
      </c>
    </row>
    <row customHeight="1" ht="11.25">
      <c r="B21" s="434" t="s">
        <v>5749</v>
      </c>
    </row>
    <row customHeight="1" ht="11.25">
      <c r="B22" s="435" t="s">
        <v>5750</v>
      </c>
    </row>
    <row r="24" customHeight="1" ht="22.5">
      <c r="B24" s="502" t="s">
        <v>5751</v>
      </c>
    </row>
    <row r="26" customHeight="1" ht="11.25">
      <c r="B26" s="434" t="s">
        <v>5752</v>
      </c>
    </row>
    <row customHeight="1" ht="22.5">
      <c r="B27" s="501" t="s">
        <v>391</v>
      </c>
    </row>
    <row customHeight="1" ht="56.25">
      <c r="B28" s="501" t="s">
        <v>5753</v>
      </c>
    </row>
    <row customHeight="1" ht="11.25">
      <c r="B29" s="551" t="s">
        <v>5754</v>
      </c>
    </row>
    <row customHeight="1" ht="22.5">
      <c r="B30" s="501" t="s">
        <v>5755</v>
      </c>
    </row>
    <row r="32" customHeight="1" ht="11.25">
      <c r="A32" s="529"/>
      <c r="B32" s="530" t="s">
        <v>5756</v>
      </c>
    </row>
    <row customHeight="1" ht="14.25">
      <c r="A33" s="531">
        <v>1</v>
      </c>
      <c r="B33" s="532" t="s">
        <v>5757</v>
      </c>
    </row>
    <row customHeight="1" ht="14.25">
      <c r="A34" s="531">
        <v>2</v>
      </c>
      <c r="B34" s="532" t="s">
        <v>5758</v>
      </c>
    </row>
    <row customHeight="1" ht="11.25">
      <c r="B35" s="530" t="s">
        <v>5759</v>
      </c>
    </row>
    <row customHeight="1" ht="11.25">
      <c r="B36" s="532" t="s">
        <v>5760</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D35B58-19AA-B8AF-8688-64B54CC5BA56}"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7203" width="9.140625" hidden="1" customWidth="1"/>
    <col min="2" max="2" style="17239" width="9.140625" hidden="1" customWidth="1"/>
    <col min="3" max="3" style="17404" width="3.00390625" customWidth="1"/>
    <col min="4" max="4" style="17239" width="5.00390625" customWidth="1"/>
    <col min="5" max="5" style="17239" width="38.00390625" customWidth="1"/>
    <col min="6" max="7" style="17239" width="3.00390625" customWidth="1"/>
    <col min="8" max="8" style="17239" width="38.00390625" customWidth="1"/>
    <col min="9" max="9" style="17239" width="35.00390625" customWidth="1"/>
    <col min="10" max="10" style="17239" width="103.00390625" customWidth="1"/>
    <col min="11" max="11" style="17331" width="3.00390625" customWidth="1"/>
    <col min="12" max="14" style="17316" width="10.00390625" customWidth="1"/>
    <col min="15" max="15" style="17316" width="13.00390625" customWidth="1"/>
    <col min="16" max="16" style="17316" width="15.00390625" customWidth="1"/>
    <col min="17" max="17" style="17316" width="16.00390625" customWidth="1"/>
    <col min="18" max="21" style="17316" width="10.00390625" customWidth="1"/>
    <col min="22" max="22" style="17239" width="10.57421875" hidden="1"/>
  </cols>
  <sheetData>
    <row customHeight="1" ht="22.5" hidden="1">
      <c r="E1" s="753"/>
      <c r="F1" s="753"/>
      <c r="G1" s="753"/>
      <c r="H1" s="2558" t="s">
        <v>347</v>
      </c>
      <c r="I1" s="2558"/>
      <c r="V1" s="1948" t="s">
        <v>14</v>
      </c>
    </row>
    <row s="17239" customFormat="1" customHeight="1" ht="14.25" hidden="1">
      <c r="C2" s="1960"/>
      <c r="D2" s="2574" t="s">
        <v>106</v>
      </c>
      <c r="E2" s="2576"/>
      <c r="F2" s="1966"/>
      <c r="G2" s="1961" t="s">
        <v>106</v>
      </c>
      <c r="H2" s="1964"/>
      <c r="I2" s="1962"/>
      <c r="L2" s="1963"/>
      <c r="M2" s="1963"/>
      <c r="N2" s="1963"/>
      <c r="O2" s="1963" t="s">
        <v>377</v>
      </c>
      <c r="P2" s="1963"/>
      <c r="Q2" s="1963"/>
      <c r="R2" s="1965" t="s">
        <v>376</v>
      </c>
      <c r="S2" s="1965" t="s">
        <v>376</v>
      </c>
      <c r="T2" s="1963"/>
      <c r="U2" s="1963"/>
      <c r="V2" s="1959">
        <v>0</v>
      </c>
    </row>
    <row s="17239" customFormat="1" customHeight="1" ht="14.25" hidden="1">
      <c r="C3" s="1960"/>
      <c r="D3" s="2575"/>
      <c r="E3" s="2577"/>
      <c r="F3" s="746"/>
      <c r="G3" s="1210"/>
      <c r="H3" s="1210" t="s">
        <v>378</v>
      </c>
      <c r="I3" s="654"/>
      <c r="L3" s="1963"/>
      <c r="M3" s="1963"/>
      <c r="N3" s="1963"/>
      <c r="O3" s="1963"/>
      <c r="P3" s="1963"/>
      <c r="Q3" s="1963"/>
      <c r="R3" s="1965"/>
      <c r="S3" s="1965"/>
      <c r="T3" s="1963"/>
      <c r="U3" s="1963"/>
      <c r="V3" s="1959">
        <v>0</v>
      </c>
    </row>
    <row customHeight="1" ht="14.25" hidden="1">
      <c r="V4" s="1948">
        <v>0</v>
      </c>
    </row>
    <row s="17791" customFormat="1" customHeight="1" ht="5.25">
      <c r="C5" s="1042"/>
      <c r="D5" s="1043"/>
      <c r="E5" s="1043"/>
      <c r="F5" s="1043"/>
      <c r="G5" s="1043"/>
      <c r="H5" s="1043" t="s">
        <v>351</v>
      </c>
      <c r="I5" s="1043"/>
      <c r="J5" s="1043"/>
      <c r="L5" s="1955"/>
      <c r="M5" s="1955"/>
      <c r="N5" s="1955"/>
      <c r="O5" s="1955"/>
      <c r="P5" s="1955"/>
      <c r="Q5" s="1955"/>
      <c r="R5" s="1955"/>
      <c r="S5" s="1955"/>
      <c r="T5" s="1955"/>
      <c r="U5" s="1955"/>
      <c r="V5" s="1954">
        <v>5</v>
      </c>
    </row>
    <row customHeight="1" ht="29.25">
      <c r="C6" s="1857"/>
      <c r="D6" s="2578" t="s">
        <v>379</v>
      </c>
      <c r="E6" s="2578"/>
      <c r="F6" s="2578"/>
      <c r="G6" s="2578"/>
      <c r="H6" s="2578"/>
      <c r="I6" s="2578"/>
      <c r="J6" s="832"/>
      <c r="K6" s="1956"/>
      <c r="V6" s="1948">
        <v>28</v>
      </c>
    </row>
    <row customHeight="1" ht="18">
      <c r="C7" s="1857"/>
      <c r="D7" s="2517" t="str">
        <f>IF(org=0,"Не определено",org)</f>
        <v>АО "ДГК"</v>
      </c>
      <c r="E7" s="2517"/>
      <c r="F7" s="2517"/>
      <c r="G7" s="2517"/>
      <c r="H7" s="2517"/>
      <c r="I7" s="2517"/>
      <c r="J7" s="832"/>
      <c r="K7" s="1956"/>
      <c r="V7" s="1948">
        <v>17</v>
      </c>
    </row>
    <row s="17214" customFormat="1" customHeight="1" ht="5.25">
      <c r="A8" s="1952"/>
      <c r="C8" s="827"/>
      <c r="D8" s="826"/>
      <c r="E8" s="826"/>
      <c r="F8" s="826"/>
      <c r="G8" s="826"/>
      <c r="H8" s="826"/>
      <c r="I8" s="826"/>
      <c r="J8" s="826"/>
      <c r="L8" s="1955"/>
      <c r="M8" s="1955"/>
      <c r="N8" s="1955"/>
      <c r="O8" s="1955"/>
      <c r="P8" s="1955"/>
      <c r="Q8" s="1955"/>
      <c r="R8" s="1955"/>
      <c r="S8" s="1955"/>
      <c r="T8" s="1955"/>
      <c r="U8" s="1955"/>
      <c r="V8" s="1953">
        <v>5</v>
      </c>
    </row>
    <row s="17214" customFormat="1" customHeight="1" ht="5.25">
      <c r="A9" s="1952"/>
      <c r="C9" s="827"/>
      <c r="D9" s="826"/>
      <c r="E9" s="826"/>
      <c r="F9" s="826"/>
      <c r="G9" s="826"/>
      <c r="H9" s="826"/>
      <c r="I9" s="826"/>
      <c r="J9" s="826"/>
      <c r="L9" s="1963"/>
      <c r="M9" s="1963"/>
      <c r="N9" s="1963"/>
      <c r="O9" s="1963"/>
      <c r="P9" s="1963"/>
      <c r="Q9" s="1963"/>
      <c r="R9" s="1963"/>
      <c r="S9" s="1963"/>
      <c r="T9" s="1963"/>
      <c r="U9" s="1963"/>
      <c r="V9" s="1953">
        <v>5</v>
      </c>
    </row>
    <row customHeight="1" ht="14.699999999999998">
      <c r="C10" s="1857"/>
      <c r="D10" s="2559" t="s">
        <v>295</v>
      </c>
      <c r="E10" s="2560"/>
      <c r="F10" s="2560"/>
      <c r="G10" s="2560"/>
      <c r="H10" s="2560"/>
      <c r="I10" s="2560"/>
      <c r="J10" s="2564" t="s">
        <v>296</v>
      </c>
      <c r="V10" s="1948">
        <v>14</v>
      </c>
    </row>
    <row customHeight="1" ht="27.299999999999997">
      <c r="C11" s="1857"/>
      <c r="D11" s="2468" t="s">
        <v>88</v>
      </c>
      <c r="E11" s="2564" t="s">
        <v>102</v>
      </c>
      <c r="F11" s="2533" t="s">
        <v>88</v>
      </c>
      <c r="G11" s="2534"/>
      <c r="H11" s="2516" t="s">
        <v>380</v>
      </c>
      <c r="I11" s="2516" t="s">
        <v>381</v>
      </c>
      <c r="J11" s="2564"/>
      <c r="V11" s="1948">
        <v>26</v>
      </c>
    </row>
    <row customHeight="1" ht="14.699999999999998">
      <c r="C12" s="1857"/>
      <c r="D12" s="2468"/>
      <c r="E12" s="2564"/>
      <c r="F12" s="2541"/>
      <c r="G12" s="2542"/>
      <c r="H12" s="2573"/>
      <c r="I12" s="2573"/>
      <c r="J12" s="2564"/>
      <c r="V12" s="1948">
        <v>14</v>
      </c>
    </row>
    <row s="17832" customFormat="1" customHeight="1" ht="11.25" hidden="1">
      <c r="C13" s="839"/>
      <c r="D13" s="840" t="s">
        <v>371</v>
      </c>
      <c r="E13" s="840"/>
      <c r="F13" s="840"/>
      <c r="G13" s="840"/>
      <c r="H13" s="838"/>
      <c r="I13" s="838"/>
      <c r="J13" s="776"/>
      <c r="L13" s="1955"/>
      <c r="M13" s="1955"/>
      <c r="N13" s="1955"/>
      <c r="O13" s="1955"/>
      <c r="P13" s="1955"/>
      <c r="Q13" s="1955"/>
      <c r="R13" s="1955"/>
      <c r="S13" s="1955"/>
      <c r="T13" s="1955"/>
      <c r="U13" s="1955"/>
      <c r="V13" s="837">
        <v>0</v>
      </c>
    </row>
    <row customHeight="1" ht="14.699999999999998">
      <c r="A14" s="1948"/>
      <c r="C14" s="1857"/>
      <c r="D14" s="2574" t="s">
        <v>106</v>
      </c>
      <c r="E14" s="2576"/>
      <c r="F14" s="1958"/>
      <c r="G14" s="1957" t="s">
        <v>106</v>
      </c>
      <c r="H14" s="1964"/>
      <c r="I14" s="1962"/>
      <c r="J14" s="2510" t="s">
        <v>382</v>
      </c>
      <c r="K14" s="1948"/>
      <c r="R14" s="841" t="s">
        <v>376</v>
      </c>
      <c r="S14" s="841" t="s">
        <v>376</v>
      </c>
      <c r="V14" s="1948">
        <v>14</v>
      </c>
    </row>
    <row customHeight="1" ht="14.699999999999998">
      <c r="A15" s="1948"/>
      <c r="C15" s="1857"/>
      <c r="D15" s="2575"/>
      <c r="E15" s="2577"/>
      <c r="F15" s="746"/>
      <c r="G15" s="1210"/>
      <c r="H15" s="1210" t="s">
        <v>378</v>
      </c>
      <c r="I15" s="654"/>
      <c r="J15" s="2511"/>
      <c r="K15" s="1948"/>
      <c r="R15" s="841"/>
      <c r="S15" s="841"/>
      <c r="V15" s="1948">
        <v>14</v>
      </c>
    </row>
    <row customHeight="1" ht="14.699999999999998">
      <c r="A16" s="1948"/>
      <c r="C16" s="1857"/>
      <c r="D16" s="746"/>
      <c r="E16" s="1210" t="s">
        <v>118</v>
      </c>
      <c r="F16" s="654"/>
      <c r="G16" s="654"/>
      <c r="H16" s="747"/>
      <c r="I16" s="747"/>
      <c r="J16" s="2512"/>
      <c r="K16" s="1948"/>
      <c r="V16" s="1948">
        <v>14</v>
      </c>
    </row>
    <row customHeight="1" ht="14.699999999999998">
      <c r="K17" s="1948"/>
      <c r="V17" s="1948">
        <v>14</v>
      </c>
    </row>
    <row customHeight="1" ht="22.5" hidden="1">
      <c r="A18" s="1949" t="s">
        <v>82</v>
      </c>
      <c r="B18" s="1948">
        <v>0</v>
      </c>
      <c r="C18" s="792">
        <v>3</v>
      </c>
      <c r="D18" s="1948">
        <v>5</v>
      </c>
      <c r="E18" s="1948">
        <v>38</v>
      </c>
      <c r="F18" s="1948">
        <v>3</v>
      </c>
      <c r="G18" s="1948">
        <v>3</v>
      </c>
      <c r="H18" s="1948">
        <v>38</v>
      </c>
      <c r="I18" s="1948">
        <v>35</v>
      </c>
      <c r="J18" s="1948">
        <v>103</v>
      </c>
      <c r="K18" s="1950">
        <v>3</v>
      </c>
      <c r="L18" s="1955">
        <v>10</v>
      </c>
      <c r="M18" s="1955">
        <v>10</v>
      </c>
      <c r="N18" s="1955">
        <v>10</v>
      </c>
      <c r="O18" s="1955">
        <v>13</v>
      </c>
      <c r="P18" s="1955">
        <v>15</v>
      </c>
      <c r="Q18" s="1955">
        <v>16</v>
      </c>
      <c r="R18" s="1955">
        <v>10</v>
      </c>
      <c r="S18" s="1955">
        <v>10</v>
      </c>
      <c r="T18" s="1955">
        <v>10</v>
      </c>
      <c r="U18" s="1955">
        <v>10</v>
      </c>
      <c r="V18" s="1948">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